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ThisWorkbook"/>
  <mc:AlternateContent xmlns:mc="http://schemas.openxmlformats.org/markup-compatibility/2006">
    <mc:Choice Requires="x15">
      <x15ac:absPath xmlns:x15ac="http://schemas.microsoft.com/office/spreadsheetml/2010/11/ac" url="\\tsclient\D\failebi\d disc\ავტომატურები-12 30.06.2019\სატესტო-საკრედიტო ლიმიტი\"/>
    </mc:Choice>
  </mc:AlternateContent>
  <bookViews>
    <workbookView xWindow="0" yWindow="60" windowWidth="19440" windowHeight="7695" tabRatio="958"/>
  </bookViews>
  <sheets>
    <sheet name="საქმიანობა" sheetId="7" r:id="rId1"/>
    <sheet name="კალკულატორი დამტკიცებული" sheetId="18" state="hidden" r:id="rId2"/>
    <sheet name="კომიტეტის ოქმი" sheetId="12" r:id="rId3"/>
    <sheet name="lists" sheetId="3" state="hidden" r:id="rId4"/>
    <sheet name="სესხის კალკულატორი" sheetId="16" r:id="rId5"/>
    <sheet name="დამატებითი საქ-ბის ანალიზი" sheetId="13" r:id="rId6"/>
    <sheet name="UFE-ს მონაცემები" sheetId="15" r:id="rId7"/>
    <sheet name="სურათების ატვირთვა" sheetId="11" r:id="rId8"/>
    <sheet name="აგრო ბარათი" sheetId="4" r:id="rId9"/>
    <sheet name="აგრო ბარათი დამატებითი" sheetId="14" state="hidden" r:id="rId10"/>
  </sheets>
  <externalReferences>
    <externalReference r:id="rId11"/>
    <externalReference r:id="rId12"/>
    <externalReference r:id="rId13"/>
  </externalReferences>
  <definedNames>
    <definedName name="_Fill" localSheetId="8" hidden="1">#REF!</definedName>
    <definedName name="_Fill" localSheetId="0" hidden="1">#REF!</definedName>
    <definedName name="_Fill" hidden="1">#REF!</definedName>
    <definedName name="a" localSheetId="8" hidden="1">#REF!</definedName>
    <definedName name="a" localSheetId="0" hidden="1">#REF!</definedName>
    <definedName name="a" hidden="1">#REF!</definedName>
    <definedName name="asdf" localSheetId="8" hidden="1">#REF!</definedName>
    <definedName name="asdf" localSheetId="0" hidden="1">#REF!</definedName>
    <definedName name="asdf" hidden="1">#REF!</definedName>
    <definedName name="b" localSheetId="8" hidden="1">#REF!</definedName>
    <definedName name="b" localSheetId="0" hidden="1">#REF!</definedName>
    <definedName name="b" hidden="1">#REF!</definedName>
    <definedName name="DIS">lists!$Y$1:$Y$7</definedName>
    <definedName name="Inst_type">lists!$AG$1:$AG$1</definedName>
    <definedName name="list1">'აგრო ბარათი'!$B$3:$B$40</definedName>
    <definedName name="list2">'აგრო ბარათი'!$B$41:$B$70</definedName>
    <definedName name="list3">'აგრო ბარათი'!$B$71:$B$82</definedName>
    <definedName name="Per">lists!$J$1:$J$11</definedName>
    <definedName name="_xlnm.Print_Area" localSheetId="6">'UFE-ს მონაცემები'!$A$1:$B$15</definedName>
    <definedName name="_xlnm.Print_Area" localSheetId="8">'აგრო ბარათი'!$A$1:$I$83</definedName>
    <definedName name="_xlnm.Print_Area" localSheetId="5">'დამატებითი საქ-ბის ანალიზი'!$A$1:$R$41</definedName>
    <definedName name="_xlnm.Print_Area" localSheetId="2">'კომიტეტის ოქმი'!$A$1:$M$51</definedName>
    <definedName name="_xlnm.Print_Area" localSheetId="0">საქმიანობა!$A$1:$J$177</definedName>
    <definedName name="PRODUCT">lists!$AG$1:$AG$7</definedName>
    <definedName name="QS">lists!$U$1:$U$2</definedName>
    <definedName name="SAQ">lists!$C$1:$C$5</definedName>
    <definedName name="SC">lists!$A$1:$A$36</definedName>
    <definedName name="SCH">lists!$S$1:$S$3</definedName>
    <definedName name="UW">lists!$W$1:$W$9</definedName>
    <definedName name="YN">lists!$H$1:$H$2</definedName>
    <definedName name="გადაწყვეტილება">'[1]დამატებითი ინფორმაცია'!$X$2:$X$4</definedName>
    <definedName name="გრაფიკის_ტიპი">'[2]დამატებითი ინფორმაცია'!$F$2:$F$6</definedName>
    <definedName name="პროდუქტი">'[2]დამატებითი ინფორმაცია'!$A$2:$A$7</definedName>
    <definedName name="სესხის_ტიპი">'[2]დამატებითი ინფორმაცია'!$G$2:$G$4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95" i="7" l="1"/>
  <c r="M11" i="12" l="1"/>
  <c r="K19" i="12" l="1"/>
  <c r="K20" i="12"/>
  <c r="I19" i="12"/>
  <c r="I20" i="12"/>
  <c r="G19" i="12"/>
  <c r="G20" i="12"/>
  <c r="E20" i="12"/>
  <c r="E19" i="12"/>
  <c r="K18" i="12"/>
  <c r="I18" i="12"/>
  <c r="G18" i="12"/>
  <c r="E18" i="12"/>
  <c r="M142" i="7" l="1"/>
  <c r="M139" i="7"/>
  <c r="M136" i="7"/>
  <c r="M137" i="7"/>
  <c r="A51" i="7" l="1"/>
  <c r="L52" i="7"/>
  <c r="M51" i="7" l="1"/>
  <c r="L51" i="7"/>
  <c r="K51" i="7"/>
  <c r="M52" i="7" l="1"/>
  <c r="F10" i="16"/>
  <c r="H20" i="16" l="1"/>
  <c r="H14" i="16"/>
  <c r="GH80" i="16" s="1"/>
  <c r="AU200" i="16"/>
  <c r="AT200" i="16"/>
  <c r="AE200" i="16"/>
  <c r="AD200" i="16"/>
  <c r="O200" i="16"/>
  <c r="AU199" i="16"/>
  <c r="AT199" i="16"/>
  <c r="AE199" i="16"/>
  <c r="AD199" i="16"/>
  <c r="O199" i="16"/>
  <c r="AU198" i="16"/>
  <c r="AT198" i="16"/>
  <c r="AE198" i="16"/>
  <c r="AD198" i="16"/>
  <c r="O198" i="16"/>
  <c r="AU197" i="16"/>
  <c r="AT197" i="16"/>
  <c r="AE197" i="16"/>
  <c r="AD197" i="16"/>
  <c r="O197" i="16"/>
  <c r="AU196" i="16"/>
  <c r="AT196" i="16"/>
  <c r="AE196" i="16"/>
  <c r="AD196" i="16"/>
  <c r="O196" i="16"/>
  <c r="AU195" i="16"/>
  <c r="AT195" i="16"/>
  <c r="AE195" i="16"/>
  <c r="AD195" i="16"/>
  <c r="O195" i="16"/>
  <c r="AU194" i="16"/>
  <c r="AT194" i="16"/>
  <c r="AE194" i="16"/>
  <c r="AD194" i="16"/>
  <c r="O194" i="16"/>
  <c r="AU193" i="16"/>
  <c r="AT193" i="16"/>
  <c r="AE193" i="16"/>
  <c r="AD193" i="16"/>
  <c r="O193" i="16"/>
  <c r="AU192" i="16"/>
  <c r="AT192" i="16"/>
  <c r="AE192" i="16"/>
  <c r="AD192" i="16"/>
  <c r="O192" i="16"/>
  <c r="AU191" i="16"/>
  <c r="AT191" i="16"/>
  <c r="AE191" i="16"/>
  <c r="AD191" i="16"/>
  <c r="O191" i="16"/>
  <c r="AU190" i="16"/>
  <c r="AT190" i="16"/>
  <c r="AE190" i="16"/>
  <c r="AD190" i="16"/>
  <c r="O190" i="16"/>
  <c r="AU189" i="16"/>
  <c r="AT189" i="16"/>
  <c r="AE189" i="16"/>
  <c r="AD189" i="16"/>
  <c r="O189" i="16"/>
  <c r="AU188" i="16"/>
  <c r="AT188" i="16"/>
  <c r="AE188" i="16"/>
  <c r="AD188" i="16"/>
  <c r="O188" i="16"/>
  <c r="AU187" i="16"/>
  <c r="AT187" i="16"/>
  <c r="AE187" i="16"/>
  <c r="AD187" i="16"/>
  <c r="O187" i="16"/>
  <c r="AU186" i="16"/>
  <c r="AT186" i="16"/>
  <c r="AE186" i="16"/>
  <c r="AD186" i="16"/>
  <c r="O186" i="16"/>
  <c r="AU185" i="16"/>
  <c r="AT185" i="16"/>
  <c r="AE185" i="16"/>
  <c r="AD185" i="16"/>
  <c r="O185" i="16"/>
  <c r="AU184" i="16"/>
  <c r="AT184" i="16"/>
  <c r="AE184" i="16"/>
  <c r="AD184" i="16"/>
  <c r="O184" i="16"/>
  <c r="AU183" i="16"/>
  <c r="AT183" i="16"/>
  <c r="AE183" i="16"/>
  <c r="AD183" i="16"/>
  <c r="O183" i="16"/>
  <c r="AU182" i="16"/>
  <c r="AT182" i="16"/>
  <c r="AE182" i="16"/>
  <c r="AD182" i="16"/>
  <c r="O182" i="16"/>
  <c r="AU181" i="16"/>
  <c r="AT181" i="16"/>
  <c r="AE181" i="16"/>
  <c r="AD181" i="16"/>
  <c r="O181" i="16"/>
  <c r="AU180" i="16"/>
  <c r="AT180" i="16"/>
  <c r="AE180" i="16"/>
  <c r="AD180" i="16"/>
  <c r="O180" i="16"/>
  <c r="AU179" i="16"/>
  <c r="AT179" i="16"/>
  <c r="AE179" i="16"/>
  <c r="AD179" i="16"/>
  <c r="O179" i="16"/>
  <c r="AU178" i="16"/>
  <c r="AT178" i="16"/>
  <c r="AE178" i="16"/>
  <c r="AD178" i="16"/>
  <c r="O178" i="16"/>
  <c r="AU177" i="16"/>
  <c r="AT177" i="16"/>
  <c r="AE177" i="16"/>
  <c r="AD177" i="16"/>
  <c r="O177" i="16"/>
  <c r="AU176" i="16"/>
  <c r="AT176" i="16"/>
  <c r="AE176" i="16"/>
  <c r="AD176" i="16"/>
  <c r="O176" i="16"/>
  <c r="AU175" i="16"/>
  <c r="AT175" i="16"/>
  <c r="AE175" i="16"/>
  <c r="AD175" i="16"/>
  <c r="O175" i="16"/>
  <c r="AU174" i="16"/>
  <c r="AT174" i="16"/>
  <c r="AE174" i="16"/>
  <c r="AD174" i="16"/>
  <c r="O174" i="16"/>
  <c r="AU173" i="16"/>
  <c r="AT173" i="16"/>
  <c r="AE173" i="16"/>
  <c r="AD173" i="16"/>
  <c r="O173" i="16"/>
  <c r="AU172" i="16"/>
  <c r="AT172" i="16"/>
  <c r="AE172" i="16"/>
  <c r="AD172" i="16"/>
  <c r="O172" i="16"/>
  <c r="AU171" i="16"/>
  <c r="AT171" i="16"/>
  <c r="AE171" i="16"/>
  <c r="AD171" i="16"/>
  <c r="O171" i="16"/>
  <c r="AU170" i="16"/>
  <c r="AT170" i="16"/>
  <c r="AE170" i="16"/>
  <c r="AD170" i="16"/>
  <c r="O170" i="16"/>
  <c r="AU169" i="16"/>
  <c r="AT169" i="16"/>
  <c r="AE169" i="16"/>
  <c r="AD169" i="16"/>
  <c r="O169" i="16"/>
  <c r="AU168" i="16"/>
  <c r="AT168" i="16"/>
  <c r="AE168" i="16"/>
  <c r="AD168" i="16"/>
  <c r="O168" i="16"/>
  <c r="AU167" i="16"/>
  <c r="AT167" i="16"/>
  <c r="AE167" i="16"/>
  <c r="AD167" i="16"/>
  <c r="O167" i="16"/>
  <c r="AU166" i="16"/>
  <c r="AT166" i="16"/>
  <c r="AE166" i="16"/>
  <c r="AD166" i="16"/>
  <c r="O166" i="16"/>
  <c r="AU165" i="16"/>
  <c r="AT165" i="16"/>
  <c r="AE165" i="16"/>
  <c r="AD165" i="16"/>
  <c r="O165" i="16"/>
  <c r="AU164" i="16"/>
  <c r="AT164" i="16"/>
  <c r="AE164" i="16"/>
  <c r="AD164" i="16"/>
  <c r="O164" i="16"/>
  <c r="AU163" i="16"/>
  <c r="AT163" i="16"/>
  <c r="AE163" i="16"/>
  <c r="AD163" i="16"/>
  <c r="O163" i="16"/>
  <c r="AU162" i="16"/>
  <c r="AT162" i="16"/>
  <c r="AE162" i="16"/>
  <c r="AD162" i="16"/>
  <c r="O162" i="16"/>
  <c r="AU161" i="16"/>
  <c r="AT161" i="16"/>
  <c r="AE161" i="16"/>
  <c r="AD161" i="16"/>
  <c r="O161" i="16"/>
  <c r="AU160" i="16"/>
  <c r="AT160" i="16"/>
  <c r="AE160" i="16"/>
  <c r="AD160" i="16"/>
  <c r="O160" i="16"/>
  <c r="AU159" i="16"/>
  <c r="AT159" i="16"/>
  <c r="AE159" i="16"/>
  <c r="AD159" i="16"/>
  <c r="O159" i="16"/>
  <c r="AU158" i="16"/>
  <c r="AT158" i="16"/>
  <c r="AE158" i="16"/>
  <c r="AD158" i="16"/>
  <c r="O158" i="16"/>
  <c r="AU157" i="16"/>
  <c r="AT157" i="16"/>
  <c r="AE157" i="16"/>
  <c r="AD157" i="16"/>
  <c r="O157" i="16"/>
  <c r="AU156" i="16"/>
  <c r="AT156" i="16"/>
  <c r="AE156" i="16"/>
  <c r="AD156" i="16"/>
  <c r="O156" i="16"/>
  <c r="AU155" i="16"/>
  <c r="AT155" i="16"/>
  <c r="AE155" i="16"/>
  <c r="AD155" i="16"/>
  <c r="O155" i="16"/>
  <c r="AU154" i="16"/>
  <c r="AT154" i="16"/>
  <c r="AE154" i="16"/>
  <c r="AD154" i="16"/>
  <c r="O154" i="16"/>
  <c r="AU153" i="16"/>
  <c r="AT153" i="16"/>
  <c r="AE153" i="16"/>
  <c r="AD153" i="16"/>
  <c r="O153" i="16"/>
  <c r="AU152" i="16"/>
  <c r="AT152" i="16"/>
  <c r="AE152" i="16"/>
  <c r="AD152" i="16"/>
  <c r="O152" i="16"/>
  <c r="AU151" i="16"/>
  <c r="AT151" i="16"/>
  <c r="AE151" i="16"/>
  <c r="AD151" i="16"/>
  <c r="O151" i="16"/>
  <c r="AU150" i="16"/>
  <c r="AT150" i="16"/>
  <c r="AE150" i="16"/>
  <c r="AD150" i="16"/>
  <c r="O150" i="16"/>
  <c r="AU149" i="16"/>
  <c r="AT149" i="16"/>
  <c r="AE149" i="16"/>
  <c r="AD149" i="16"/>
  <c r="O149" i="16"/>
  <c r="AU148" i="16"/>
  <c r="AT148" i="16"/>
  <c r="AE148" i="16"/>
  <c r="AD148" i="16"/>
  <c r="O148" i="16"/>
  <c r="AU147" i="16"/>
  <c r="AT147" i="16"/>
  <c r="AE147" i="16"/>
  <c r="AD147" i="16"/>
  <c r="O147" i="16"/>
  <c r="AU146" i="16"/>
  <c r="AT146" i="16"/>
  <c r="AE146" i="16"/>
  <c r="AD146" i="16"/>
  <c r="O146" i="16"/>
  <c r="AU145" i="16"/>
  <c r="AT145" i="16"/>
  <c r="AE145" i="16"/>
  <c r="AD145" i="16"/>
  <c r="O145" i="16"/>
  <c r="AU144" i="16"/>
  <c r="AT144" i="16"/>
  <c r="AE144" i="16"/>
  <c r="AD144" i="16"/>
  <c r="O144" i="16"/>
  <c r="AU143" i="16"/>
  <c r="AT143" i="16"/>
  <c r="AE143" i="16"/>
  <c r="AD143" i="16"/>
  <c r="O143" i="16"/>
  <c r="AU142" i="16"/>
  <c r="AT142" i="16"/>
  <c r="AE142" i="16"/>
  <c r="AD142" i="16"/>
  <c r="O142" i="16"/>
  <c r="AU141" i="16"/>
  <c r="AT141" i="16"/>
  <c r="AE141" i="16"/>
  <c r="AD141" i="16"/>
  <c r="O141" i="16"/>
  <c r="AU140" i="16"/>
  <c r="AT140" i="16"/>
  <c r="AE140" i="16"/>
  <c r="AD140" i="16"/>
  <c r="O140" i="16"/>
  <c r="AU139" i="16"/>
  <c r="AT139" i="16"/>
  <c r="AE139" i="16"/>
  <c r="AD139" i="16"/>
  <c r="O139" i="16"/>
  <c r="AU138" i="16"/>
  <c r="AT138" i="16"/>
  <c r="AE138" i="16"/>
  <c r="AD138" i="16"/>
  <c r="O138" i="16"/>
  <c r="AU137" i="16"/>
  <c r="AT137" i="16"/>
  <c r="AE137" i="16"/>
  <c r="AD137" i="16"/>
  <c r="O137" i="16"/>
  <c r="AU136" i="16"/>
  <c r="AT136" i="16"/>
  <c r="AE136" i="16"/>
  <c r="AD136" i="16"/>
  <c r="O136" i="16"/>
  <c r="AU135" i="16"/>
  <c r="AT135" i="16"/>
  <c r="AE135" i="16"/>
  <c r="AD135" i="16"/>
  <c r="O135" i="16"/>
  <c r="AU134" i="16"/>
  <c r="AT134" i="16"/>
  <c r="AE134" i="16"/>
  <c r="AD134" i="16"/>
  <c r="O134" i="16"/>
  <c r="AU133" i="16"/>
  <c r="AT133" i="16"/>
  <c r="AE133" i="16"/>
  <c r="AD133" i="16"/>
  <c r="O133" i="16"/>
  <c r="AU132" i="16"/>
  <c r="AT132" i="16"/>
  <c r="AE132" i="16"/>
  <c r="AD132" i="16"/>
  <c r="O132" i="16"/>
  <c r="AU131" i="16"/>
  <c r="AT131" i="16"/>
  <c r="AE131" i="16"/>
  <c r="AD131" i="16"/>
  <c r="O131" i="16"/>
  <c r="AU130" i="16"/>
  <c r="AT130" i="16"/>
  <c r="AE130" i="16"/>
  <c r="AD130" i="16"/>
  <c r="O130" i="16"/>
  <c r="AU129" i="16"/>
  <c r="AT129" i="16"/>
  <c r="AE129" i="16"/>
  <c r="AD129" i="16"/>
  <c r="O129" i="16"/>
  <c r="AU128" i="16"/>
  <c r="AT128" i="16"/>
  <c r="AE128" i="16"/>
  <c r="AD128" i="16"/>
  <c r="O128" i="16"/>
  <c r="AU127" i="16"/>
  <c r="AT127" i="16"/>
  <c r="AE127" i="16"/>
  <c r="AD127" i="16"/>
  <c r="O127" i="16"/>
  <c r="AU126" i="16"/>
  <c r="AT126" i="16"/>
  <c r="AE126" i="16"/>
  <c r="AD126" i="16"/>
  <c r="O126" i="16"/>
  <c r="AU125" i="16"/>
  <c r="AT125" i="16"/>
  <c r="AE125" i="16"/>
  <c r="AD125" i="16"/>
  <c r="O125" i="16"/>
  <c r="AU124" i="16"/>
  <c r="AT124" i="16"/>
  <c r="AE124" i="16"/>
  <c r="AD124" i="16"/>
  <c r="O124" i="16"/>
  <c r="AU123" i="16"/>
  <c r="AT123" i="16"/>
  <c r="AE123" i="16"/>
  <c r="AD123" i="16"/>
  <c r="O123" i="16"/>
  <c r="BV122" i="16"/>
  <c r="AU122" i="16"/>
  <c r="AT122" i="16"/>
  <c r="AE122" i="16"/>
  <c r="AD122" i="16"/>
  <c r="O122" i="16"/>
  <c r="BV121" i="16"/>
  <c r="AU121" i="16"/>
  <c r="AT121" i="16"/>
  <c r="AE121" i="16"/>
  <c r="AD121" i="16"/>
  <c r="O121" i="16"/>
  <c r="BV120" i="16"/>
  <c r="AU120" i="16"/>
  <c r="AT120" i="16"/>
  <c r="AE120" i="16"/>
  <c r="AD120" i="16"/>
  <c r="O120" i="16"/>
  <c r="BV119" i="16"/>
  <c r="AU119" i="16"/>
  <c r="AT119" i="16"/>
  <c r="AE119" i="16"/>
  <c r="AD119" i="16"/>
  <c r="O119" i="16"/>
  <c r="BV118" i="16"/>
  <c r="AU118" i="16"/>
  <c r="AT118" i="16"/>
  <c r="AE118" i="16"/>
  <c r="AD118" i="16"/>
  <c r="O118" i="16"/>
  <c r="CE117" i="16"/>
  <c r="CD117" i="16"/>
  <c r="CC117" i="16"/>
  <c r="CB117" i="16"/>
  <c r="CA117" i="16"/>
  <c r="BZ117" i="16"/>
  <c r="BY117" i="16"/>
  <c r="BX117" i="16"/>
  <c r="BW117" i="16"/>
  <c r="AU117" i="16"/>
  <c r="AT117" i="16"/>
  <c r="AE117" i="16"/>
  <c r="AD117" i="16"/>
  <c r="O117" i="16"/>
  <c r="AU116" i="16"/>
  <c r="AT116" i="16"/>
  <c r="AE116" i="16"/>
  <c r="AD116" i="16"/>
  <c r="O116" i="16"/>
  <c r="AU115" i="16"/>
  <c r="AT115" i="16"/>
  <c r="AE115" i="16"/>
  <c r="AD115" i="16"/>
  <c r="O115" i="16"/>
  <c r="AU114" i="16"/>
  <c r="AT114" i="16"/>
  <c r="AE114" i="16"/>
  <c r="AD114" i="16"/>
  <c r="O114" i="16"/>
  <c r="AU113" i="16"/>
  <c r="AT113" i="16"/>
  <c r="AE113" i="16"/>
  <c r="AD113" i="16"/>
  <c r="O113" i="16"/>
  <c r="AU112" i="16"/>
  <c r="AT112" i="16"/>
  <c r="AE112" i="16"/>
  <c r="AD112" i="16"/>
  <c r="O112" i="16"/>
  <c r="AU111" i="16"/>
  <c r="AT111" i="16"/>
  <c r="AE111" i="16"/>
  <c r="AD111" i="16"/>
  <c r="O111" i="16"/>
  <c r="BV110" i="16"/>
  <c r="AU110" i="16"/>
  <c r="AT110" i="16"/>
  <c r="AE110" i="16"/>
  <c r="AD110" i="16"/>
  <c r="O110" i="16"/>
  <c r="BV109" i="16"/>
  <c r="AU109" i="16"/>
  <c r="AT109" i="16"/>
  <c r="AE109" i="16"/>
  <c r="AD109" i="16"/>
  <c r="O109" i="16"/>
  <c r="BV108" i="16"/>
  <c r="AU108" i="16"/>
  <c r="AT108" i="16"/>
  <c r="AE108" i="16"/>
  <c r="AD108" i="16"/>
  <c r="O108" i="16"/>
  <c r="BV107" i="16"/>
  <c r="AU107" i="16"/>
  <c r="AT107" i="16"/>
  <c r="AE107" i="16"/>
  <c r="AD107" i="16"/>
  <c r="O107" i="16"/>
  <c r="BV106" i="16"/>
  <c r="AU106" i="16"/>
  <c r="AT106" i="16"/>
  <c r="AE106" i="16"/>
  <c r="AD106" i="16"/>
  <c r="O106" i="16"/>
  <c r="BV105" i="16"/>
  <c r="AU105" i="16"/>
  <c r="AT105" i="16"/>
  <c r="AE105" i="16"/>
  <c r="AD105" i="16"/>
  <c r="O105" i="16"/>
  <c r="BV104" i="16"/>
  <c r="AU104" i="16"/>
  <c r="AT104" i="16"/>
  <c r="AE104" i="16"/>
  <c r="AD104" i="16"/>
  <c r="O104" i="16"/>
  <c r="CE103" i="16"/>
  <c r="CD103" i="16"/>
  <c r="CC103" i="16"/>
  <c r="CB103" i="16"/>
  <c r="CA103" i="16"/>
  <c r="BZ103" i="16"/>
  <c r="BY103" i="16"/>
  <c r="BX103" i="16"/>
  <c r="BW103" i="16"/>
  <c r="AU103" i="16"/>
  <c r="AT103" i="16"/>
  <c r="AE103" i="16"/>
  <c r="AD103" i="16"/>
  <c r="O103" i="16"/>
  <c r="AU102" i="16"/>
  <c r="AT102" i="16"/>
  <c r="AE102" i="16"/>
  <c r="AD102" i="16"/>
  <c r="O102" i="16"/>
  <c r="AU101" i="16"/>
  <c r="AT101" i="16"/>
  <c r="AE101" i="16"/>
  <c r="AD101" i="16"/>
  <c r="O101" i="16"/>
  <c r="AU100" i="16"/>
  <c r="AT100" i="16"/>
  <c r="AE100" i="16"/>
  <c r="AD100" i="16"/>
  <c r="O100" i="16"/>
  <c r="AU99" i="16"/>
  <c r="AT99" i="16"/>
  <c r="AE99" i="16"/>
  <c r="AD99" i="16"/>
  <c r="O99" i="16"/>
  <c r="AU98" i="16"/>
  <c r="AT98" i="16"/>
  <c r="AE98" i="16"/>
  <c r="AD98" i="16"/>
  <c r="O98" i="16"/>
  <c r="AU97" i="16"/>
  <c r="AT97" i="16"/>
  <c r="AE97" i="16"/>
  <c r="AD97" i="16"/>
  <c r="O97" i="16"/>
  <c r="AU96" i="16"/>
  <c r="AT96" i="16"/>
  <c r="AE96" i="16"/>
  <c r="AD96" i="16"/>
  <c r="O96" i="16"/>
  <c r="AU95" i="16"/>
  <c r="AT95" i="16"/>
  <c r="AE95" i="16"/>
  <c r="AD95" i="16"/>
  <c r="O95" i="16"/>
  <c r="AU94" i="16"/>
  <c r="AT94" i="16"/>
  <c r="AE94" i="16"/>
  <c r="AD94" i="16"/>
  <c r="O94" i="16"/>
  <c r="AU93" i="16"/>
  <c r="AT93" i="16"/>
  <c r="AE93" i="16"/>
  <c r="AD93" i="16"/>
  <c r="O93" i="16"/>
  <c r="AU92" i="16"/>
  <c r="AT92" i="16"/>
  <c r="AE92" i="16"/>
  <c r="AD92" i="16"/>
  <c r="O92" i="16"/>
  <c r="AU91" i="16"/>
  <c r="AT91" i="16"/>
  <c r="AE91" i="16"/>
  <c r="AD91" i="16"/>
  <c r="O91" i="16"/>
  <c r="BV90" i="16"/>
  <c r="AU90" i="16"/>
  <c r="AT90" i="16"/>
  <c r="AE90" i="16"/>
  <c r="AD90" i="16"/>
  <c r="O90" i="16"/>
  <c r="BV89" i="16"/>
  <c r="AU89" i="16"/>
  <c r="AT89" i="16"/>
  <c r="AE89" i="16"/>
  <c r="AD89" i="16"/>
  <c r="O89" i="16"/>
  <c r="BV88" i="16"/>
  <c r="AU88" i="16"/>
  <c r="AT88" i="16"/>
  <c r="AE88" i="16"/>
  <c r="AD88" i="16"/>
  <c r="O88" i="16"/>
  <c r="BV87" i="16"/>
  <c r="AU87" i="16"/>
  <c r="AT87" i="16"/>
  <c r="AE87" i="16"/>
  <c r="AD87" i="16"/>
  <c r="O87" i="16"/>
  <c r="BV86" i="16"/>
  <c r="AU86" i="16"/>
  <c r="AT86" i="16"/>
  <c r="AE86" i="16"/>
  <c r="AD86" i="16"/>
  <c r="O86" i="16"/>
  <c r="BV85" i="16"/>
  <c r="AU85" i="16"/>
  <c r="AT85" i="16"/>
  <c r="AE85" i="16"/>
  <c r="AD85" i="16"/>
  <c r="O85" i="16"/>
  <c r="BV84" i="16"/>
  <c r="AU84" i="16"/>
  <c r="AT84" i="16"/>
  <c r="AE84" i="16"/>
  <c r="AD84" i="16"/>
  <c r="O84" i="16"/>
  <c r="BV83" i="16"/>
  <c r="AU83" i="16"/>
  <c r="AT83" i="16"/>
  <c r="AE83" i="16"/>
  <c r="AD83" i="16"/>
  <c r="O83" i="16"/>
  <c r="CE82" i="16"/>
  <c r="CD82" i="16"/>
  <c r="CC82" i="16"/>
  <c r="CB82" i="16"/>
  <c r="CA82" i="16"/>
  <c r="BZ82" i="16"/>
  <c r="BY82" i="16"/>
  <c r="BX82" i="16"/>
  <c r="BW82" i="16"/>
  <c r="AU82" i="16"/>
  <c r="AT82" i="16"/>
  <c r="AE82" i="16"/>
  <c r="AD82" i="16"/>
  <c r="O82" i="16"/>
  <c r="AU81" i="16"/>
  <c r="AT81" i="16"/>
  <c r="AE81" i="16"/>
  <c r="AD81" i="16"/>
  <c r="O81" i="16"/>
  <c r="K81" i="16"/>
  <c r="K82" i="16" s="1"/>
  <c r="KA80" i="16"/>
  <c r="JQ80" i="16"/>
  <c r="JG80" i="16"/>
  <c r="IW80" i="16"/>
  <c r="IM80" i="16"/>
  <c r="IC80" i="16"/>
  <c r="HS80" i="16"/>
  <c r="HI80" i="16"/>
  <c r="GY80" i="16"/>
  <c r="GO80" i="16"/>
  <c r="GL80" i="16"/>
  <c r="AU80" i="16"/>
  <c r="AT80" i="16"/>
  <c r="AE80" i="16"/>
  <c r="AD80" i="16"/>
  <c r="R80" i="16"/>
  <c r="I81" i="16" s="1" a="1"/>
  <c r="I81" i="16" s="1"/>
  <c r="Q80" i="16"/>
  <c r="L80" i="16"/>
  <c r="R79" i="16"/>
  <c r="J79" i="16"/>
  <c r="L62" i="16"/>
  <c r="B62" i="16"/>
  <c r="R60" i="16"/>
  <c r="B60" i="16"/>
  <c r="R58" i="16"/>
  <c r="B58" i="16"/>
  <c r="B56" i="16"/>
  <c r="H52" i="16"/>
  <c r="L50" i="16"/>
  <c r="H50" i="16"/>
  <c r="G50" i="16"/>
  <c r="F50" i="16"/>
  <c r="B50" i="16"/>
  <c r="H48" i="16"/>
  <c r="G48" i="16"/>
  <c r="F48" i="16"/>
  <c r="R46" i="16"/>
  <c r="L42" i="16"/>
  <c r="R34" i="16"/>
  <c r="S34" i="16" s="1"/>
  <c r="B34" i="16"/>
  <c r="L32" i="16"/>
  <c r="B32" i="16"/>
  <c r="L30" i="16"/>
  <c r="B30" i="16"/>
  <c r="L24" i="16"/>
  <c r="B24" i="16"/>
  <c r="G20" i="16"/>
  <c r="B20" i="16"/>
  <c r="L18" i="16"/>
  <c r="R16" i="16"/>
  <c r="B12" i="16"/>
  <c r="B3" i="16"/>
  <c r="L81" i="16" l="1"/>
  <c r="L82" i="16"/>
  <c r="H80" i="16"/>
  <c r="DP80" i="16"/>
  <c r="FD80" i="16"/>
  <c r="B81" i="16"/>
  <c r="B82" i="16" s="1"/>
  <c r="B83" i="16" s="1"/>
  <c r="J80" i="16"/>
  <c r="CS80" i="16"/>
  <c r="DZ80" i="16"/>
  <c r="FN80" i="16"/>
  <c r="CV80" i="16"/>
  <c r="EJ80" i="16"/>
  <c r="FX80" i="16"/>
  <c r="DF80" i="16"/>
  <c r="ET80" i="16"/>
  <c r="AF80" i="16"/>
  <c r="AW80" i="16" s="1"/>
  <c r="P34" i="16"/>
  <c r="IL81" i="16" s="1"/>
  <c r="I82" i="16" a="1"/>
  <c r="I82" i="16" s="1"/>
  <c r="C80" i="16"/>
  <c r="AV80" i="16"/>
  <c r="I83" i="16" a="1"/>
  <c r="I83" i="16" s="1"/>
  <c r="K83" i="16"/>
  <c r="N81" i="16"/>
  <c r="AP81" i="16" s="1"/>
  <c r="BF81" i="16" s="1"/>
  <c r="HR81" i="16"/>
  <c r="JZ81" i="16" l="1"/>
  <c r="P81" i="16" s="1"/>
  <c r="GX81" i="16"/>
  <c r="GL82" i="16"/>
  <c r="JF81" i="16"/>
  <c r="AG80" i="16"/>
  <c r="GL83" i="16"/>
  <c r="L83" i="16"/>
  <c r="K84" i="16"/>
  <c r="B84" i="16"/>
  <c r="U80" i="16"/>
  <c r="A81" i="16" a="1"/>
  <c r="A81" i="16" s="1"/>
  <c r="JP81" i="16"/>
  <c r="IB81" i="16"/>
  <c r="GN81" i="16"/>
  <c r="GL81" i="16"/>
  <c r="IV81" i="16"/>
  <c r="HH81" i="16"/>
  <c r="B85" i="16" l="1"/>
  <c r="V80" i="16"/>
  <c r="Z80" i="16"/>
  <c r="L84" i="16"/>
  <c r="GL84" i="16"/>
  <c r="K85" i="16"/>
  <c r="GM81" i="16"/>
  <c r="I84" i="16" a="1"/>
  <c r="I84" i="16" s="1"/>
  <c r="B86" i="16" l="1"/>
  <c r="GO81" i="16"/>
  <c r="I85" i="16" a="1"/>
  <c r="I85" i="16" s="1"/>
  <c r="GL85" i="16"/>
  <c r="L85" i="16"/>
  <c r="K86" i="16"/>
  <c r="B87" i="16" l="1"/>
  <c r="I86" i="16" a="1"/>
  <c r="I86" i="16" s="1"/>
  <c r="GN82" i="16"/>
  <c r="GM82" i="16" s="1"/>
  <c r="GO82" i="16" s="1"/>
  <c r="L86" i="16"/>
  <c r="K87" i="16"/>
  <c r="GL86" i="16"/>
  <c r="GN83" i="16" l="1"/>
  <c r="GM83" i="16" s="1"/>
  <c r="GO83" i="16"/>
  <c r="GL87" i="16"/>
  <c r="K88" i="16"/>
  <c r="L87" i="16"/>
  <c r="I88" i="16" a="1"/>
  <c r="I88" i="16" s="1"/>
  <c r="I87" i="16" a="1"/>
  <c r="I87" i="16" s="1"/>
  <c r="B88" i="16"/>
  <c r="GN84" i="16" l="1"/>
  <c r="GM84" i="16" s="1"/>
  <c r="GO84" i="16" s="1"/>
  <c r="L88" i="16"/>
  <c r="K89" i="16"/>
  <c r="GL88" i="16"/>
  <c r="B89" i="16"/>
  <c r="GL89" i="16" l="1"/>
  <c r="L89" i="16"/>
  <c r="I90" i="16" s="1" a="1"/>
  <c r="I90" i="16" s="1"/>
  <c r="K90" i="16"/>
  <c r="B90" i="16"/>
  <c r="I89" i="16" a="1"/>
  <c r="I89" i="16" s="1"/>
  <c r="GN85" i="16"/>
  <c r="GM85" i="16" s="1"/>
  <c r="GO85" i="16" s="1"/>
  <c r="GN86" i="16" l="1"/>
  <c r="GM86" i="16" s="1"/>
  <c r="GO86" i="16" s="1"/>
  <c r="B91" i="16"/>
  <c r="L90" i="16"/>
  <c r="GL90" i="16"/>
  <c r="K91" i="16"/>
  <c r="K92" i="16" l="1"/>
  <c r="GL91" i="16"/>
  <c r="L91" i="16"/>
  <c r="I92" i="16" s="1" a="1"/>
  <c r="I92" i="16" s="1"/>
  <c r="GN87" i="16"/>
  <c r="GM87" i="16" s="1"/>
  <c r="GO87" i="16" s="1"/>
  <c r="B92" i="16"/>
  <c r="I91" i="16" a="1"/>
  <c r="I91" i="16" s="1"/>
  <c r="B93" i="16" l="1"/>
  <c r="GN88" i="16"/>
  <c r="GM88" i="16" s="1"/>
  <c r="GO88" i="16" s="1"/>
  <c r="GL92" i="16"/>
  <c r="K93" i="16"/>
  <c r="L92" i="16"/>
  <c r="K94" i="16" l="1"/>
  <c r="KA93" i="16"/>
  <c r="JV93" i="16"/>
  <c r="JQ93" i="16"/>
  <c r="JL93" i="16"/>
  <c r="JG93" i="16"/>
  <c r="JB93" i="16"/>
  <c r="IW93" i="16"/>
  <c r="IR93" i="16"/>
  <c r="IM93" i="16"/>
  <c r="IH93" i="16"/>
  <c r="IC93" i="16"/>
  <c r="HX93" i="16"/>
  <c r="HS93" i="16"/>
  <c r="HN93" i="16"/>
  <c r="HI93" i="16"/>
  <c r="HD93" i="16"/>
  <c r="GY93" i="16"/>
  <c r="GT93" i="16"/>
  <c r="GO93" i="16"/>
  <c r="P93" i="16"/>
  <c r="L93" i="16"/>
  <c r="JZ93" i="16"/>
  <c r="JT93" i="16"/>
  <c r="JN93" i="16"/>
  <c r="JF93" i="16"/>
  <c r="IZ93" i="16"/>
  <c r="IT93" i="16"/>
  <c r="IL93" i="16"/>
  <c r="IF93" i="16"/>
  <c r="HZ93" i="16"/>
  <c r="HR93" i="16"/>
  <c r="HL93" i="16"/>
  <c r="HF93" i="16"/>
  <c r="GX93" i="16"/>
  <c r="GR93" i="16"/>
  <c r="GL93" i="16"/>
  <c r="M93" i="16"/>
  <c r="JY93" i="16"/>
  <c r="JS93" i="16"/>
  <c r="JK93" i="16"/>
  <c r="JE93" i="16"/>
  <c r="IY93" i="16"/>
  <c r="IQ93" i="16"/>
  <c r="IK93" i="16"/>
  <c r="IE93" i="16"/>
  <c r="HW93" i="16"/>
  <c r="HQ93" i="16"/>
  <c r="HK93" i="16"/>
  <c r="HC93" i="16"/>
  <c r="GW93" i="16"/>
  <c r="GQ93" i="16"/>
  <c r="Q93" i="16"/>
  <c r="JX93" i="16"/>
  <c r="JP93" i="16"/>
  <c r="JJ93" i="16"/>
  <c r="JD93" i="16"/>
  <c r="IV93" i="16"/>
  <c r="IP93" i="16"/>
  <c r="IJ93" i="16"/>
  <c r="IB93" i="16"/>
  <c r="HV93" i="16"/>
  <c r="HP93" i="16"/>
  <c r="HH93" i="16"/>
  <c r="HB93" i="16"/>
  <c r="GV93" i="16"/>
  <c r="GN93" i="16"/>
  <c r="JA93" i="16"/>
  <c r="IA93" i="16"/>
  <c r="HA93" i="16"/>
  <c r="N93" i="16"/>
  <c r="AP93" i="16" s="1"/>
  <c r="JU93" i="16"/>
  <c r="IU93" i="16"/>
  <c r="HU93" i="16"/>
  <c r="GS93" i="16"/>
  <c r="JO93" i="16"/>
  <c r="IO93" i="16"/>
  <c r="HM93" i="16"/>
  <c r="GM93" i="16"/>
  <c r="JI93" i="16"/>
  <c r="IG93" i="16"/>
  <c r="HG93" i="16"/>
  <c r="GN89" i="16"/>
  <c r="GM89" i="16" s="1"/>
  <c r="GO89" i="16" s="1"/>
  <c r="I93" i="16" a="1"/>
  <c r="I93" i="16" s="1"/>
  <c r="B94" i="16"/>
  <c r="GN90" i="16" l="1"/>
  <c r="GM90" i="16" s="1"/>
  <c r="GO90" i="16" s="1"/>
  <c r="JZ94" i="16"/>
  <c r="JU94" i="16"/>
  <c r="JP94" i="16"/>
  <c r="JK94" i="16"/>
  <c r="JF94" i="16"/>
  <c r="JA94" i="16"/>
  <c r="IV94" i="16"/>
  <c r="IQ94" i="16"/>
  <c r="IL94" i="16"/>
  <c r="IG94" i="16"/>
  <c r="IB94" i="16"/>
  <c r="HW94" i="16"/>
  <c r="HR94" i="16"/>
  <c r="HM94" i="16"/>
  <c r="HH94" i="16"/>
  <c r="HC94" i="16"/>
  <c r="GX94" i="16"/>
  <c r="GS94" i="16"/>
  <c r="GN94" i="16"/>
  <c r="KA94" i="16"/>
  <c r="JT94" i="16"/>
  <c r="JN94" i="16"/>
  <c r="JG94" i="16"/>
  <c r="IZ94" i="16"/>
  <c r="IT94" i="16"/>
  <c r="IM94" i="16"/>
  <c r="IF94" i="16"/>
  <c r="HZ94" i="16"/>
  <c r="HS94" i="16"/>
  <c r="HL94" i="16"/>
  <c r="HF94" i="16"/>
  <c r="GY94" i="16"/>
  <c r="GR94" i="16"/>
  <c r="GL94" i="16"/>
  <c r="N94" i="16"/>
  <c r="AP94" i="16" s="1"/>
  <c r="JY94" i="16"/>
  <c r="JS94" i="16"/>
  <c r="JL94" i="16"/>
  <c r="JE94" i="16"/>
  <c r="IY94" i="16"/>
  <c r="IR94" i="16"/>
  <c r="IK94" i="16"/>
  <c r="IE94" i="16"/>
  <c r="HX94" i="16"/>
  <c r="HQ94" i="16"/>
  <c r="HK94" i="16"/>
  <c r="HD94" i="16"/>
  <c r="GW94" i="16"/>
  <c r="GQ94" i="16"/>
  <c r="Q94" i="16"/>
  <c r="M94" i="16"/>
  <c r="JX94" i="16"/>
  <c r="JQ94" i="16"/>
  <c r="JJ94" i="16"/>
  <c r="JD94" i="16"/>
  <c r="IW94" i="16"/>
  <c r="IP94" i="16"/>
  <c r="IJ94" i="16"/>
  <c r="IC94" i="16"/>
  <c r="HV94" i="16"/>
  <c r="HP94" i="16"/>
  <c r="HI94" i="16"/>
  <c r="HB94" i="16"/>
  <c r="GV94" i="16"/>
  <c r="GO94" i="16"/>
  <c r="P94" i="16"/>
  <c r="L94" i="16"/>
  <c r="K95" i="16"/>
  <c r="JO94" i="16"/>
  <c r="IO94" i="16"/>
  <c r="HN94" i="16"/>
  <c r="GM94" i="16"/>
  <c r="JI94" i="16"/>
  <c r="IH94" i="16"/>
  <c r="HG94" i="16"/>
  <c r="JB94" i="16"/>
  <c r="IA94" i="16"/>
  <c r="HA94" i="16"/>
  <c r="JV94" i="16"/>
  <c r="IU94" i="16"/>
  <c r="HU94" i="16"/>
  <c r="GT94" i="16"/>
  <c r="B95" i="16"/>
  <c r="I94" i="16" a="1"/>
  <c r="I94" i="16" s="1"/>
  <c r="GN91" i="16" l="1"/>
  <c r="GM91" i="16" s="1"/>
  <c r="GO91" i="16" s="1"/>
  <c r="I95" i="16" a="1"/>
  <c r="I95" i="16" s="1"/>
  <c r="B96" i="16"/>
  <c r="JY95" i="16"/>
  <c r="JT95" i="16"/>
  <c r="JO95" i="16"/>
  <c r="JJ95" i="16"/>
  <c r="JE95" i="16"/>
  <c r="IZ95" i="16"/>
  <c r="IU95" i="16"/>
  <c r="IP95" i="16"/>
  <c r="IK95" i="16"/>
  <c r="IF95" i="16"/>
  <c r="IA95" i="16"/>
  <c r="HV95" i="16"/>
  <c r="HQ95" i="16"/>
  <c r="HL95" i="16"/>
  <c r="HG95" i="16"/>
  <c r="HB95" i="16"/>
  <c r="GW95" i="16"/>
  <c r="GR95" i="16"/>
  <c r="GM95" i="16"/>
  <c r="N95" i="16"/>
  <c r="AP95" i="16" s="1"/>
  <c r="K96" i="16"/>
  <c r="JV95" i="16"/>
  <c r="JP95" i="16"/>
  <c r="JI95" i="16"/>
  <c r="JB95" i="16"/>
  <c r="IV95" i="16"/>
  <c r="IO95" i="16"/>
  <c r="IH95" i="16"/>
  <c r="IB95" i="16"/>
  <c r="HU95" i="16"/>
  <c r="HN95" i="16"/>
  <c r="HH95" i="16"/>
  <c r="HA95" i="16"/>
  <c r="GT95" i="16"/>
  <c r="GN95" i="16"/>
  <c r="KA95" i="16"/>
  <c r="JU95" i="16"/>
  <c r="JN95" i="16"/>
  <c r="JG95" i="16"/>
  <c r="JA95" i="16"/>
  <c r="IT95" i="16"/>
  <c r="IM95" i="16"/>
  <c r="IG95" i="16"/>
  <c r="HZ95" i="16"/>
  <c r="HS95" i="16"/>
  <c r="HM95" i="16"/>
  <c r="HF95" i="16"/>
  <c r="GY95" i="16"/>
  <c r="GS95" i="16"/>
  <c r="GL95" i="16"/>
  <c r="M95" i="16"/>
  <c r="JZ95" i="16"/>
  <c r="JS95" i="16"/>
  <c r="JL95" i="16"/>
  <c r="JF95" i="16"/>
  <c r="IY95" i="16"/>
  <c r="IR95" i="16"/>
  <c r="IL95" i="16"/>
  <c r="IE95" i="16"/>
  <c r="HX95" i="16"/>
  <c r="HR95" i="16"/>
  <c r="HK95" i="16"/>
  <c r="HD95" i="16"/>
  <c r="GX95" i="16"/>
  <c r="GQ95" i="16"/>
  <c r="Q95" i="16"/>
  <c r="L95" i="16"/>
  <c r="JD95" i="16"/>
  <c r="IC95" i="16"/>
  <c r="HC95" i="16"/>
  <c r="JX95" i="16"/>
  <c r="IW95" i="16"/>
  <c r="HW95" i="16"/>
  <c r="GV95" i="16"/>
  <c r="JQ95" i="16"/>
  <c r="IQ95" i="16"/>
  <c r="HP95" i="16"/>
  <c r="GO95" i="16"/>
  <c r="P95" i="16"/>
  <c r="JK95" i="16"/>
  <c r="IJ95" i="16"/>
  <c r="HI95" i="16"/>
  <c r="BF94" i="16"/>
  <c r="JX96" i="16" l="1"/>
  <c r="JS96" i="16"/>
  <c r="JN96" i="16"/>
  <c r="JI96" i="16"/>
  <c r="JD96" i="16"/>
  <c r="IY96" i="16"/>
  <c r="IT96" i="16"/>
  <c r="IO96" i="16"/>
  <c r="IJ96" i="16"/>
  <c r="IE96" i="16"/>
  <c r="HZ96" i="16"/>
  <c r="HU96" i="16"/>
  <c r="HP96" i="16"/>
  <c r="HK96" i="16"/>
  <c r="HF96" i="16"/>
  <c r="HA96" i="16"/>
  <c r="GV96" i="16"/>
  <c r="GQ96" i="16"/>
  <c r="GL96" i="16"/>
  <c r="Q96" i="16"/>
  <c r="M96" i="16"/>
  <c r="JY96" i="16"/>
  <c r="JQ96" i="16"/>
  <c r="JK96" i="16"/>
  <c r="JE96" i="16"/>
  <c r="IW96" i="16"/>
  <c r="IQ96" i="16"/>
  <c r="IK96" i="16"/>
  <c r="IC96" i="16"/>
  <c r="HW96" i="16"/>
  <c r="HQ96" i="16"/>
  <c r="HI96" i="16"/>
  <c r="HC96" i="16"/>
  <c r="GW96" i="16"/>
  <c r="GO96" i="16"/>
  <c r="P96" i="16"/>
  <c r="K97" i="16"/>
  <c r="JV96" i="16"/>
  <c r="JP96" i="16"/>
  <c r="JJ96" i="16"/>
  <c r="JB96" i="16"/>
  <c r="IV96" i="16"/>
  <c r="IP96" i="16"/>
  <c r="IH96" i="16"/>
  <c r="IB96" i="16"/>
  <c r="HV96" i="16"/>
  <c r="HN96" i="16"/>
  <c r="HH96" i="16"/>
  <c r="HB96" i="16"/>
  <c r="GT96" i="16"/>
  <c r="GN96" i="16"/>
  <c r="KA96" i="16"/>
  <c r="JU96" i="16"/>
  <c r="JO96" i="16"/>
  <c r="JG96" i="16"/>
  <c r="JA96" i="16"/>
  <c r="IU96" i="16"/>
  <c r="IM96" i="16"/>
  <c r="IG96" i="16"/>
  <c r="IA96" i="16"/>
  <c r="HS96" i="16"/>
  <c r="HM96" i="16"/>
  <c r="HG96" i="16"/>
  <c r="GY96" i="16"/>
  <c r="GS96" i="16"/>
  <c r="GM96" i="16"/>
  <c r="N96" i="16"/>
  <c r="AP96" i="16" s="1"/>
  <c r="JF96" i="16"/>
  <c r="IF96" i="16"/>
  <c r="HD96" i="16"/>
  <c r="JZ96" i="16"/>
  <c r="IZ96" i="16"/>
  <c r="HX96" i="16"/>
  <c r="GX96" i="16"/>
  <c r="JT96" i="16"/>
  <c r="IR96" i="16"/>
  <c r="HR96" i="16"/>
  <c r="GR96" i="16"/>
  <c r="L96" i="16"/>
  <c r="BF96" i="16" s="1"/>
  <c r="JL96" i="16"/>
  <c r="IL96" i="16"/>
  <c r="HL96" i="16"/>
  <c r="GN92" i="16"/>
  <c r="GM92" i="16" s="1"/>
  <c r="GO92" i="16" s="1"/>
  <c r="BF95" i="16"/>
  <c r="B97" i="16"/>
  <c r="I97" i="16" a="1"/>
  <c r="I97" i="16" s="1"/>
  <c r="I96" i="16" a="1"/>
  <c r="I96" i="16" s="1"/>
  <c r="B98" i="16" l="1"/>
  <c r="K98" i="16"/>
  <c r="KA97" i="16"/>
  <c r="JV97" i="16"/>
  <c r="JQ97" i="16"/>
  <c r="JL97" i="16"/>
  <c r="JG97" i="16"/>
  <c r="JB97" i="16"/>
  <c r="IW97" i="16"/>
  <c r="IR97" i="16"/>
  <c r="IM97" i="16"/>
  <c r="IH97" i="16"/>
  <c r="IC97" i="16"/>
  <c r="HX97" i="16"/>
  <c r="HS97" i="16"/>
  <c r="HN97" i="16"/>
  <c r="HI97" i="16"/>
  <c r="HD97" i="16"/>
  <c r="GY97" i="16"/>
  <c r="GT97" i="16"/>
  <c r="GO97" i="16"/>
  <c r="P97" i="16"/>
  <c r="L97" i="16"/>
  <c r="I98" i="16" s="1" a="1"/>
  <c r="I98" i="16" s="1"/>
  <c r="JZ97" i="16"/>
  <c r="JT97" i="16"/>
  <c r="JN97" i="16"/>
  <c r="JF97" i="16"/>
  <c r="IZ97" i="16"/>
  <c r="IT97" i="16"/>
  <c r="IL97" i="16"/>
  <c r="IF97" i="16"/>
  <c r="HZ97" i="16"/>
  <c r="HR97" i="16"/>
  <c r="HL97" i="16"/>
  <c r="HF97" i="16"/>
  <c r="GX97" i="16"/>
  <c r="GR97" i="16"/>
  <c r="GL97" i="16"/>
  <c r="M97" i="16"/>
  <c r="JY97" i="16"/>
  <c r="JS97" i="16"/>
  <c r="JK97" i="16"/>
  <c r="JE97" i="16"/>
  <c r="IY97" i="16"/>
  <c r="IQ97" i="16"/>
  <c r="IK97" i="16"/>
  <c r="IE97" i="16"/>
  <c r="HW97" i="16"/>
  <c r="HQ97" i="16"/>
  <c r="HK97" i="16"/>
  <c r="HC97" i="16"/>
  <c r="GW97" i="16"/>
  <c r="GQ97" i="16"/>
  <c r="Q97" i="16"/>
  <c r="JX97" i="16"/>
  <c r="JP97" i="16"/>
  <c r="JJ97" i="16"/>
  <c r="JD97" i="16"/>
  <c r="IV97" i="16"/>
  <c r="IP97" i="16"/>
  <c r="IJ97" i="16"/>
  <c r="IB97" i="16"/>
  <c r="HV97" i="16"/>
  <c r="HP97" i="16"/>
  <c r="HH97" i="16"/>
  <c r="HB97" i="16"/>
  <c r="GV97" i="16"/>
  <c r="GN97" i="16"/>
  <c r="JO97" i="16"/>
  <c r="IO97" i="16"/>
  <c r="HM97" i="16"/>
  <c r="GM97" i="16"/>
  <c r="JI97" i="16"/>
  <c r="IG97" i="16"/>
  <c r="HG97" i="16"/>
  <c r="JA97" i="16"/>
  <c r="IA97" i="16"/>
  <c r="HA97" i="16"/>
  <c r="N97" i="16"/>
  <c r="AP97" i="16" s="1"/>
  <c r="JU97" i="16"/>
  <c r="IU97" i="16"/>
  <c r="HU97" i="16"/>
  <c r="GS97" i="16"/>
  <c r="BF97" i="16"/>
  <c r="B99" i="16" l="1"/>
  <c r="JZ98" i="16"/>
  <c r="JU98" i="16"/>
  <c r="JP98" i="16"/>
  <c r="JK98" i="16"/>
  <c r="JF98" i="16"/>
  <c r="JA98" i="16"/>
  <c r="IV98" i="16"/>
  <c r="IQ98" i="16"/>
  <c r="IL98" i="16"/>
  <c r="IG98" i="16"/>
  <c r="IB98" i="16"/>
  <c r="HW98" i="16"/>
  <c r="HR98" i="16"/>
  <c r="HM98" i="16"/>
  <c r="HH98" i="16"/>
  <c r="HC98" i="16"/>
  <c r="GX98" i="16"/>
  <c r="GS98" i="16"/>
  <c r="GN98" i="16"/>
  <c r="KA98" i="16"/>
  <c r="JT98" i="16"/>
  <c r="JN98" i="16"/>
  <c r="JG98" i="16"/>
  <c r="IZ98" i="16"/>
  <c r="IT98" i="16"/>
  <c r="IM98" i="16"/>
  <c r="IF98" i="16"/>
  <c r="HZ98" i="16"/>
  <c r="HS98" i="16"/>
  <c r="HL98" i="16"/>
  <c r="HF98" i="16"/>
  <c r="GY98" i="16"/>
  <c r="GR98" i="16"/>
  <c r="GL98" i="16"/>
  <c r="N98" i="16"/>
  <c r="AP98" i="16" s="1"/>
  <c r="JY98" i="16"/>
  <c r="JS98" i="16"/>
  <c r="JL98" i="16"/>
  <c r="JE98" i="16"/>
  <c r="IY98" i="16"/>
  <c r="IR98" i="16"/>
  <c r="IK98" i="16"/>
  <c r="IE98" i="16"/>
  <c r="HX98" i="16"/>
  <c r="HQ98" i="16"/>
  <c r="HK98" i="16"/>
  <c r="HD98" i="16"/>
  <c r="GW98" i="16"/>
  <c r="GQ98" i="16"/>
  <c r="Q98" i="16"/>
  <c r="M98" i="16"/>
  <c r="JX98" i="16"/>
  <c r="JQ98" i="16"/>
  <c r="JJ98" i="16"/>
  <c r="JD98" i="16"/>
  <c r="IW98" i="16"/>
  <c r="IP98" i="16"/>
  <c r="IJ98" i="16"/>
  <c r="IC98" i="16"/>
  <c r="HV98" i="16"/>
  <c r="HP98" i="16"/>
  <c r="HI98" i="16"/>
  <c r="HB98" i="16"/>
  <c r="GV98" i="16"/>
  <c r="GO98" i="16"/>
  <c r="P98" i="16"/>
  <c r="L98" i="16"/>
  <c r="JB98" i="16"/>
  <c r="IA98" i="16"/>
  <c r="HA98" i="16"/>
  <c r="JV98" i="16"/>
  <c r="IU98" i="16"/>
  <c r="HU98" i="16"/>
  <c r="GT98" i="16"/>
  <c r="K99" i="16"/>
  <c r="JO98" i="16"/>
  <c r="IO98" i="16"/>
  <c r="HN98" i="16"/>
  <c r="GM98" i="16"/>
  <c r="JI98" i="16"/>
  <c r="IH98" i="16"/>
  <c r="HG98" i="16"/>
  <c r="JY99" i="16" l="1"/>
  <c r="JT99" i="16"/>
  <c r="JO99" i="16"/>
  <c r="JJ99" i="16"/>
  <c r="JE99" i="16"/>
  <c r="IZ99" i="16"/>
  <c r="IU99" i="16"/>
  <c r="IP99" i="16"/>
  <c r="IK99" i="16"/>
  <c r="IF99" i="16"/>
  <c r="IA99" i="16"/>
  <c r="HV99" i="16"/>
  <c r="HQ99" i="16"/>
  <c r="HL99" i="16"/>
  <c r="HG99" i="16"/>
  <c r="HB99" i="16"/>
  <c r="GW99" i="16"/>
  <c r="GR99" i="16"/>
  <c r="GM99" i="16"/>
  <c r="N99" i="16"/>
  <c r="AP99" i="16" s="1"/>
  <c r="K100" i="16"/>
  <c r="JV99" i="16"/>
  <c r="JP99" i="16"/>
  <c r="JI99" i="16"/>
  <c r="JB99" i="16"/>
  <c r="IV99" i="16"/>
  <c r="IO99" i="16"/>
  <c r="IH99" i="16"/>
  <c r="IB99" i="16"/>
  <c r="HU99" i="16"/>
  <c r="HN99" i="16"/>
  <c r="HH99" i="16"/>
  <c r="HA99" i="16"/>
  <c r="GT99" i="16"/>
  <c r="GN99" i="16"/>
  <c r="KA99" i="16"/>
  <c r="JU99" i="16"/>
  <c r="JN99" i="16"/>
  <c r="JG99" i="16"/>
  <c r="JA99" i="16"/>
  <c r="IT99" i="16"/>
  <c r="IM99" i="16"/>
  <c r="IG99" i="16"/>
  <c r="HZ99" i="16"/>
  <c r="HS99" i="16"/>
  <c r="HM99" i="16"/>
  <c r="HF99" i="16"/>
  <c r="GY99" i="16"/>
  <c r="GS99" i="16"/>
  <c r="GL99" i="16"/>
  <c r="M99" i="16"/>
  <c r="JZ99" i="16"/>
  <c r="JS99" i="16"/>
  <c r="JL99" i="16"/>
  <c r="JF99" i="16"/>
  <c r="IY99" i="16"/>
  <c r="IR99" i="16"/>
  <c r="IL99" i="16"/>
  <c r="IE99" i="16"/>
  <c r="HX99" i="16"/>
  <c r="HR99" i="16"/>
  <c r="HK99" i="16"/>
  <c r="HD99" i="16"/>
  <c r="GX99" i="16"/>
  <c r="GQ99" i="16"/>
  <c r="Q99" i="16"/>
  <c r="L99" i="16"/>
  <c r="JQ99" i="16"/>
  <c r="IQ99" i="16"/>
  <c r="HP99" i="16"/>
  <c r="GO99" i="16"/>
  <c r="P99" i="16"/>
  <c r="JK99" i="16"/>
  <c r="IJ99" i="16"/>
  <c r="HI99" i="16"/>
  <c r="JD99" i="16"/>
  <c r="IC99" i="16"/>
  <c r="HC99" i="16"/>
  <c r="JX99" i="16"/>
  <c r="IW99" i="16"/>
  <c r="HW99" i="16"/>
  <c r="GV99" i="16"/>
  <c r="I100" i="16" a="1"/>
  <c r="I100" i="16" s="1"/>
  <c r="BF99" i="16"/>
  <c r="B100" i="16"/>
  <c r="I99" i="16" a="1"/>
  <c r="I99" i="16" s="1"/>
  <c r="BF98" i="16"/>
  <c r="B101" i="16" l="1"/>
  <c r="JX100" i="16"/>
  <c r="JS100" i="16"/>
  <c r="JN100" i="16"/>
  <c r="JI100" i="16"/>
  <c r="JD100" i="16"/>
  <c r="IY100" i="16"/>
  <c r="IT100" i="16"/>
  <c r="IO100" i="16"/>
  <c r="IJ100" i="16"/>
  <c r="IE100" i="16"/>
  <c r="HZ100" i="16"/>
  <c r="HU100" i="16"/>
  <c r="HP100" i="16"/>
  <c r="HK100" i="16"/>
  <c r="HF100" i="16"/>
  <c r="HA100" i="16"/>
  <c r="GV100" i="16"/>
  <c r="GQ100" i="16"/>
  <c r="GL100" i="16"/>
  <c r="Q100" i="16"/>
  <c r="M100" i="16"/>
  <c r="JY100" i="16"/>
  <c r="JQ100" i="16"/>
  <c r="JK100" i="16"/>
  <c r="JE100" i="16"/>
  <c r="IW100" i="16"/>
  <c r="IQ100" i="16"/>
  <c r="IK100" i="16"/>
  <c r="IC100" i="16"/>
  <c r="HW100" i="16"/>
  <c r="HQ100" i="16"/>
  <c r="HI100" i="16"/>
  <c r="HC100" i="16"/>
  <c r="GW100" i="16"/>
  <c r="GO100" i="16"/>
  <c r="P100" i="16"/>
  <c r="K101" i="16"/>
  <c r="JV100" i="16"/>
  <c r="JP100" i="16"/>
  <c r="JJ100" i="16"/>
  <c r="JB100" i="16"/>
  <c r="IV100" i="16"/>
  <c r="IP100" i="16"/>
  <c r="IH100" i="16"/>
  <c r="IB100" i="16"/>
  <c r="HV100" i="16"/>
  <c r="HN100" i="16"/>
  <c r="HH100" i="16"/>
  <c r="HB100" i="16"/>
  <c r="GT100" i="16"/>
  <c r="GN100" i="16"/>
  <c r="KA100" i="16"/>
  <c r="JU100" i="16"/>
  <c r="JO100" i="16"/>
  <c r="JG100" i="16"/>
  <c r="JA100" i="16"/>
  <c r="IU100" i="16"/>
  <c r="IM100" i="16"/>
  <c r="IG100" i="16"/>
  <c r="IA100" i="16"/>
  <c r="HS100" i="16"/>
  <c r="HM100" i="16"/>
  <c r="HG100" i="16"/>
  <c r="GY100" i="16"/>
  <c r="GS100" i="16"/>
  <c r="GM100" i="16"/>
  <c r="N100" i="16"/>
  <c r="AP100" i="16" s="1"/>
  <c r="JT100" i="16"/>
  <c r="IR100" i="16"/>
  <c r="HR100" i="16"/>
  <c r="GR100" i="16"/>
  <c r="L100" i="16"/>
  <c r="JL100" i="16"/>
  <c r="IL100" i="16"/>
  <c r="HL100" i="16"/>
  <c r="JF100" i="16"/>
  <c r="IF100" i="16"/>
  <c r="HD100" i="16"/>
  <c r="JZ100" i="16"/>
  <c r="IZ100" i="16"/>
  <c r="HX100" i="16"/>
  <c r="GX100" i="16"/>
  <c r="K102" i="16" l="1"/>
  <c r="KA101" i="16"/>
  <c r="JV101" i="16"/>
  <c r="JQ101" i="16"/>
  <c r="JL101" i="16"/>
  <c r="JG101" i="16"/>
  <c r="JB101" i="16"/>
  <c r="IW101" i="16"/>
  <c r="IR101" i="16"/>
  <c r="IM101" i="16"/>
  <c r="IH101" i="16"/>
  <c r="IC101" i="16"/>
  <c r="HX101" i="16"/>
  <c r="HS101" i="16"/>
  <c r="HN101" i="16"/>
  <c r="HI101" i="16"/>
  <c r="HD101" i="16"/>
  <c r="GY101" i="16"/>
  <c r="GT101" i="16"/>
  <c r="GO101" i="16"/>
  <c r="P101" i="16"/>
  <c r="L101" i="16"/>
  <c r="JZ101" i="16"/>
  <c r="JT101" i="16"/>
  <c r="JN101" i="16"/>
  <c r="JF101" i="16"/>
  <c r="IZ101" i="16"/>
  <c r="IT101" i="16"/>
  <c r="IL101" i="16"/>
  <c r="IF101" i="16"/>
  <c r="HZ101" i="16"/>
  <c r="HR101" i="16"/>
  <c r="HL101" i="16"/>
  <c r="HF101" i="16"/>
  <c r="GX101" i="16"/>
  <c r="GR101" i="16"/>
  <c r="GL101" i="16"/>
  <c r="M101" i="16"/>
  <c r="JY101" i="16"/>
  <c r="JS101" i="16"/>
  <c r="JK101" i="16"/>
  <c r="JE101" i="16"/>
  <c r="IY101" i="16"/>
  <c r="IQ101" i="16"/>
  <c r="IK101" i="16"/>
  <c r="IE101" i="16"/>
  <c r="HW101" i="16"/>
  <c r="HQ101" i="16"/>
  <c r="HK101" i="16"/>
  <c r="HC101" i="16"/>
  <c r="GW101" i="16"/>
  <c r="GQ101" i="16"/>
  <c r="Q101" i="16"/>
  <c r="JX101" i="16"/>
  <c r="JP101" i="16"/>
  <c r="JJ101" i="16"/>
  <c r="JD101" i="16"/>
  <c r="IV101" i="16"/>
  <c r="IP101" i="16"/>
  <c r="IJ101" i="16"/>
  <c r="IB101" i="16"/>
  <c r="HV101" i="16"/>
  <c r="HP101" i="16"/>
  <c r="HH101" i="16"/>
  <c r="HB101" i="16"/>
  <c r="GV101" i="16"/>
  <c r="GN101" i="16"/>
  <c r="JA101" i="16"/>
  <c r="IA101" i="16"/>
  <c r="HA101" i="16"/>
  <c r="N101" i="16"/>
  <c r="AP101" i="16" s="1"/>
  <c r="JU101" i="16"/>
  <c r="IU101" i="16"/>
  <c r="HU101" i="16"/>
  <c r="GS101" i="16"/>
  <c r="JO101" i="16"/>
  <c r="IO101" i="16"/>
  <c r="HM101" i="16"/>
  <c r="GM101" i="16"/>
  <c r="JI101" i="16"/>
  <c r="IG101" i="16"/>
  <c r="HG101" i="16"/>
  <c r="I101" i="16" a="1"/>
  <c r="I101" i="16" s="1"/>
  <c r="B102" i="16"/>
  <c r="BF100" i="16"/>
  <c r="I102" i="16" a="1"/>
  <c r="I102" i="16" s="1"/>
  <c r="JZ102" i="16" l="1"/>
  <c r="JU102" i="16"/>
  <c r="JP102" i="16"/>
  <c r="JK102" i="16"/>
  <c r="JF102" i="16"/>
  <c r="JA102" i="16"/>
  <c r="IV102" i="16"/>
  <c r="IQ102" i="16"/>
  <c r="IL102" i="16"/>
  <c r="IG102" i="16"/>
  <c r="IB102" i="16"/>
  <c r="HW102" i="16"/>
  <c r="HR102" i="16"/>
  <c r="HM102" i="16"/>
  <c r="HH102" i="16"/>
  <c r="HC102" i="16"/>
  <c r="GX102" i="16"/>
  <c r="GS102" i="16"/>
  <c r="GN102" i="16"/>
  <c r="KA102" i="16"/>
  <c r="JT102" i="16"/>
  <c r="JN102" i="16"/>
  <c r="JG102" i="16"/>
  <c r="IZ102" i="16"/>
  <c r="IT102" i="16"/>
  <c r="IM102" i="16"/>
  <c r="IF102" i="16"/>
  <c r="HZ102" i="16"/>
  <c r="HS102" i="16"/>
  <c r="HL102" i="16"/>
  <c r="HF102" i="16"/>
  <c r="GY102" i="16"/>
  <c r="GR102" i="16"/>
  <c r="GL102" i="16"/>
  <c r="N102" i="16"/>
  <c r="AP102" i="16" s="1"/>
  <c r="JY102" i="16"/>
  <c r="JS102" i="16"/>
  <c r="JL102" i="16"/>
  <c r="JE102" i="16"/>
  <c r="IY102" i="16"/>
  <c r="IR102" i="16"/>
  <c r="IK102" i="16"/>
  <c r="IE102" i="16"/>
  <c r="HX102" i="16"/>
  <c r="HQ102" i="16"/>
  <c r="HK102" i="16"/>
  <c r="HD102" i="16"/>
  <c r="GW102" i="16"/>
  <c r="GQ102" i="16"/>
  <c r="Q102" i="16"/>
  <c r="M102" i="16"/>
  <c r="JX102" i="16"/>
  <c r="JQ102" i="16"/>
  <c r="JJ102" i="16"/>
  <c r="JD102" i="16"/>
  <c r="IW102" i="16"/>
  <c r="IP102" i="16"/>
  <c r="IJ102" i="16"/>
  <c r="IC102" i="16"/>
  <c r="HV102" i="16"/>
  <c r="HP102" i="16"/>
  <c r="HI102" i="16"/>
  <c r="HB102" i="16"/>
  <c r="GV102" i="16"/>
  <c r="GO102" i="16"/>
  <c r="P102" i="16"/>
  <c r="L102" i="16"/>
  <c r="BF102" i="16" s="1"/>
  <c r="K103" i="16"/>
  <c r="JO102" i="16"/>
  <c r="IO102" i="16"/>
  <c r="HN102" i="16"/>
  <c r="GM102" i="16"/>
  <c r="JI102" i="16"/>
  <c r="IH102" i="16"/>
  <c r="HG102" i="16"/>
  <c r="JB102" i="16"/>
  <c r="IA102" i="16"/>
  <c r="HA102" i="16"/>
  <c r="JV102" i="16"/>
  <c r="IU102" i="16"/>
  <c r="HU102" i="16"/>
  <c r="GT102" i="16"/>
  <c r="B103" i="16"/>
  <c r="BF101" i="16"/>
  <c r="B104" i="16" l="1"/>
  <c r="I103" i="16" a="1"/>
  <c r="I103" i="16" s="1"/>
  <c r="JX103" i="16"/>
  <c r="JS103" i="16"/>
  <c r="JN103" i="16"/>
  <c r="JI103" i="16"/>
  <c r="JD103" i="16"/>
  <c r="IY103" i="16"/>
  <c r="IT103" i="16"/>
  <c r="IO103" i="16"/>
  <c r="IJ103" i="16"/>
  <c r="IE103" i="16"/>
  <c r="HZ103" i="16"/>
  <c r="HU103" i="16"/>
  <c r="HP103" i="16"/>
  <c r="HK103" i="16"/>
  <c r="HF103" i="16"/>
  <c r="HA103" i="16"/>
  <c r="GV103" i="16"/>
  <c r="GQ103" i="16"/>
  <c r="GL103" i="16"/>
  <c r="N103" i="16"/>
  <c r="AP103" i="16" s="1"/>
  <c r="KA103" i="16"/>
  <c r="JU103" i="16"/>
  <c r="JO103" i="16"/>
  <c r="JG103" i="16"/>
  <c r="JA103" i="16"/>
  <c r="IU103" i="16"/>
  <c r="IM103" i="16"/>
  <c r="IG103" i="16"/>
  <c r="IA103" i="16"/>
  <c r="HS103" i="16"/>
  <c r="HM103" i="16"/>
  <c r="HG103" i="16"/>
  <c r="GY103" i="16"/>
  <c r="GS103" i="16"/>
  <c r="GM103" i="16"/>
  <c r="JZ103" i="16"/>
  <c r="JT103" i="16"/>
  <c r="JL103" i="16"/>
  <c r="JF103" i="16"/>
  <c r="IZ103" i="16"/>
  <c r="IR103" i="16"/>
  <c r="IL103" i="16"/>
  <c r="IF103" i="16"/>
  <c r="HX103" i="16"/>
  <c r="HR103" i="16"/>
  <c r="HL103" i="16"/>
  <c r="HD103" i="16"/>
  <c r="GX103" i="16"/>
  <c r="GR103" i="16"/>
  <c r="M103" i="16"/>
  <c r="JY103" i="16"/>
  <c r="JQ103" i="16"/>
  <c r="JK103" i="16"/>
  <c r="JE103" i="16"/>
  <c r="IW103" i="16"/>
  <c r="IQ103" i="16"/>
  <c r="IK103" i="16"/>
  <c r="IC103" i="16"/>
  <c r="HW103" i="16"/>
  <c r="HQ103" i="16"/>
  <c r="HI103" i="16"/>
  <c r="HC103" i="16"/>
  <c r="GW103" i="16"/>
  <c r="GO103" i="16"/>
  <c r="Q103" i="16"/>
  <c r="L103" i="16"/>
  <c r="BF103" i="16" s="1"/>
  <c r="JV103" i="16"/>
  <c r="IV103" i="16"/>
  <c r="HV103" i="16"/>
  <c r="GT103" i="16"/>
  <c r="K104" i="16"/>
  <c r="JP103" i="16"/>
  <c r="IP103" i="16"/>
  <c r="HN103" i="16"/>
  <c r="GN103" i="16"/>
  <c r="JJ103" i="16"/>
  <c r="IH103" i="16"/>
  <c r="HH103" i="16"/>
  <c r="P103" i="16"/>
  <c r="JB103" i="16"/>
  <c r="IB103" i="16"/>
  <c r="HB103" i="16"/>
  <c r="JZ104" i="16" l="1"/>
  <c r="JU104" i="16"/>
  <c r="JP104" i="16"/>
  <c r="JK104" i="16"/>
  <c r="JF104" i="16"/>
  <c r="JA104" i="16"/>
  <c r="IV104" i="16"/>
  <c r="IQ104" i="16"/>
  <c r="IL104" i="16"/>
  <c r="IG104" i="16"/>
  <c r="IB104" i="16"/>
  <c r="HW104" i="16"/>
  <c r="HR104" i="16"/>
  <c r="HM104" i="16"/>
  <c r="HH104" i="16"/>
  <c r="HC104" i="16"/>
  <c r="GX104" i="16"/>
  <c r="GS104" i="16"/>
  <c r="GN104" i="16"/>
  <c r="P104" i="16"/>
  <c r="L104" i="16"/>
  <c r="K105" i="16"/>
  <c r="JV104" i="16"/>
  <c r="JO104" i="16"/>
  <c r="JI104" i="16"/>
  <c r="JB104" i="16"/>
  <c r="IU104" i="16"/>
  <c r="IO104" i="16"/>
  <c r="IH104" i="16"/>
  <c r="IA104" i="16"/>
  <c r="HU104" i="16"/>
  <c r="HN104" i="16"/>
  <c r="HG104" i="16"/>
  <c r="HA104" i="16"/>
  <c r="GT104" i="16"/>
  <c r="GM104" i="16"/>
  <c r="KA104" i="16"/>
  <c r="JT104" i="16"/>
  <c r="JN104" i="16"/>
  <c r="JG104" i="16"/>
  <c r="IZ104" i="16"/>
  <c r="IT104" i="16"/>
  <c r="IM104" i="16"/>
  <c r="IF104" i="16"/>
  <c r="HZ104" i="16"/>
  <c r="HS104" i="16"/>
  <c r="HL104" i="16"/>
  <c r="HF104" i="16"/>
  <c r="GY104" i="16"/>
  <c r="GR104" i="16"/>
  <c r="GL104" i="16"/>
  <c r="N104" i="16"/>
  <c r="AP104" i="16" s="1"/>
  <c r="JY104" i="16"/>
  <c r="JS104" i="16"/>
  <c r="JL104" i="16"/>
  <c r="JE104" i="16"/>
  <c r="IY104" i="16"/>
  <c r="IR104" i="16"/>
  <c r="IK104" i="16"/>
  <c r="IE104" i="16"/>
  <c r="HX104" i="16"/>
  <c r="HQ104" i="16"/>
  <c r="HK104" i="16"/>
  <c r="HD104" i="16"/>
  <c r="GW104" i="16"/>
  <c r="GQ104" i="16"/>
  <c r="M104" i="16"/>
  <c r="JD104" i="16"/>
  <c r="IC104" i="16"/>
  <c r="HB104" i="16"/>
  <c r="JX104" i="16"/>
  <c r="IW104" i="16"/>
  <c r="HV104" i="16"/>
  <c r="GV104" i="16"/>
  <c r="JQ104" i="16"/>
  <c r="IP104" i="16"/>
  <c r="HP104" i="16"/>
  <c r="GO104" i="16"/>
  <c r="JJ104" i="16"/>
  <c r="IJ104" i="16"/>
  <c r="HI104" i="16"/>
  <c r="Q104" i="16"/>
  <c r="I104" i="16" a="1"/>
  <c r="I104" i="16" s="1"/>
  <c r="B105" i="16"/>
  <c r="I105" i="16" a="1"/>
  <c r="I105" i="16" s="1"/>
  <c r="BF104" i="16" l="1"/>
  <c r="B106" i="16"/>
  <c r="JX105" i="16"/>
  <c r="JS105" i="16"/>
  <c r="JN105" i="16"/>
  <c r="JI105" i="16"/>
  <c r="JD105" i="16"/>
  <c r="IY105" i="16"/>
  <c r="IT105" i="16"/>
  <c r="IO105" i="16"/>
  <c r="IJ105" i="16"/>
  <c r="IE105" i="16"/>
  <c r="HZ105" i="16"/>
  <c r="HU105" i="16"/>
  <c r="HP105" i="16"/>
  <c r="HK105" i="16"/>
  <c r="HF105" i="16"/>
  <c r="HA105" i="16"/>
  <c r="GV105" i="16"/>
  <c r="GQ105" i="16"/>
  <c r="GL105" i="16"/>
  <c r="N105" i="16"/>
  <c r="AP105" i="16" s="1"/>
  <c r="K106" i="16"/>
  <c r="JV105" i="16"/>
  <c r="JP105" i="16"/>
  <c r="JJ105" i="16"/>
  <c r="JB105" i="16"/>
  <c r="IV105" i="16"/>
  <c r="IP105" i="16"/>
  <c r="IH105" i="16"/>
  <c r="IB105" i="16"/>
  <c r="HV105" i="16"/>
  <c r="HN105" i="16"/>
  <c r="HH105" i="16"/>
  <c r="HB105" i="16"/>
  <c r="GT105" i="16"/>
  <c r="GN105" i="16"/>
  <c r="P105" i="16"/>
  <c r="KA105" i="16"/>
  <c r="JU105" i="16"/>
  <c r="JO105" i="16"/>
  <c r="JG105" i="16"/>
  <c r="JA105" i="16"/>
  <c r="IU105" i="16"/>
  <c r="IM105" i="16"/>
  <c r="IG105" i="16"/>
  <c r="IA105" i="16"/>
  <c r="HS105" i="16"/>
  <c r="HM105" i="16"/>
  <c r="HG105" i="16"/>
  <c r="GY105" i="16"/>
  <c r="GS105" i="16"/>
  <c r="GM105" i="16"/>
  <c r="JZ105" i="16"/>
  <c r="JT105" i="16"/>
  <c r="JL105" i="16"/>
  <c r="JF105" i="16"/>
  <c r="IZ105" i="16"/>
  <c r="IR105" i="16"/>
  <c r="IL105" i="16"/>
  <c r="IF105" i="16"/>
  <c r="HX105" i="16"/>
  <c r="HR105" i="16"/>
  <c r="HL105" i="16"/>
  <c r="HD105" i="16"/>
  <c r="GX105" i="16"/>
  <c r="GR105" i="16"/>
  <c r="M105" i="16"/>
  <c r="JK105" i="16"/>
  <c r="IK105" i="16"/>
  <c r="HI105" i="16"/>
  <c r="Q105" i="16"/>
  <c r="JE105" i="16"/>
  <c r="IC105" i="16"/>
  <c r="HC105" i="16"/>
  <c r="JY105" i="16"/>
  <c r="IW105" i="16"/>
  <c r="HW105" i="16"/>
  <c r="GW105" i="16"/>
  <c r="L105" i="16"/>
  <c r="JQ105" i="16"/>
  <c r="IQ105" i="16"/>
  <c r="HQ105" i="16"/>
  <c r="GO105" i="16"/>
  <c r="I106" i="16" l="1" a="1"/>
  <c r="I106" i="16" s="1"/>
  <c r="BF105" i="16"/>
  <c r="JZ106" i="16"/>
  <c r="JU106" i="16"/>
  <c r="JP106" i="16"/>
  <c r="JK106" i="16"/>
  <c r="JF106" i="16"/>
  <c r="JA106" i="16"/>
  <c r="IV106" i="16"/>
  <c r="IQ106" i="16"/>
  <c r="IL106" i="16"/>
  <c r="IG106" i="16"/>
  <c r="IB106" i="16"/>
  <c r="HW106" i="16"/>
  <c r="HR106" i="16"/>
  <c r="HM106" i="16"/>
  <c r="HH106" i="16"/>
  <c r="HC106" i="16"/>
  <c r="GX106" i="16"/>
  <c r="GS106" i="16"/>
  <c r="GN106" i="16"/>
  <c r="P106" i="16"/>
  <c r="L106" i="16"/>
  <c r="BF106" i="16" s="1"/>
  <c r="JX106" i="16"/>
  <c r="JQ106" i="16"/>
  <c r="JJ106" i="16"/>
  <c r="JD106" i="16"/>
  <c r="IW106" i="16"/>
  <c r="IP106" i="16"/>
  <c r="IJ106" i="16"/>
  <c r="IC106" i="16"/>
  <c r="HV106" i="16"/>
  <c r="HP106" i="16"/>
  <c r="HI106" i="16"/>
  <c r="HB106" i="16"/>
  <c r="GV106" i="16"/>
  <c r="GO106" i="16"/>
  <c r="Q106" i="16"/>
  <c r="K107" i="16"/>
  <c r="JV106" i="16"/>
  <c r="JO106" i="16"/>
  <c r="JI106" i="16"/>
  <c r="JB106" i="16"/>
  <c r="IU106" i="16"/>
  <c r="IO106" i="16"/>
  <c r="IH106" i="16"/>
  <c r="IA106" i="16"/>
  <c r="HU106" i="16"/>
  <c r="HN106" i="16"/>
  <c r="HG106" i="16"/>
  <c r="HA106" i="16"/>
  <c r="GT106" i="16"/>
  <c r="GM106" i="16"/>
  <c r="KA106" i="16"/>
  <c r="JT106" i="16"/>
  <c r="JN106" i="16"/>
  <c r="JG106" i="16"/>
  <c r="IZ106" i="16"/>
  <c r="IT106" i="16"/>
  <c r="IM106" i="16"/>
  <c r="IF106" i="16"/>
  <c r="HZ106" i="16"/>
  <c r="HS106" i="16"/>
  <c r="HL106" i="16"/>
  <c r="HF106" i="16"/>
  <c r="GY106" i="16"/>
  <c r="GR106" i="16"/>
  <c r="GL106" i="16"/>
  <c r="N106" i="16"/>
  <c r="AP106" i="16" s="1"/>
  <c r="JE106" i="16"/>
  <c r="IE106" i="16"/>
  <c r="HD106" i="16"/>
  <c r="JY106" i="16"/>
  <c r="IY106" i="16"/>
  <c r="HX106" i="16"/>
  <c r="GW106" i="16"/>
  <c r="JS106" i="16"/>
  <c r="IR106" i="16"/>
  <c r="HQ106" i="16"/>
  <c r="GQ106" i="16"/>
  <c r="JL106" i="16"/>
  <c r="IK106" i="16"/>
  <c r="HK106" i="16"/>
  <c r="M106" i="16"/>
  <c r="B107" i="16"/>
  <c r="JX107" i="16" l="1"/>
  <c r="JS107" i="16"/>
  <c r="JN107" i="16"/>
  <c r="JI107" i="16"/>
  <c r="JD107" i="16"/>
  <c r="IY107" i="16"/>
  <c r="IT107" i="16"/>
  <c r="IO107" i="16"/>
  <c r="IJ107" i="16"/>
  <c r="IE107" i="16"/>
  <c r="HZ107" i="16"/>
  <c r="HU107" i="16"/>
  <c r="HP107" i="16"/>
  <c r="HK107" i="16"/>
  <c r="HF107" i="16"/>
  <c r="HA107" i="16"/>
  <c r="GV107" i="16"/>
  <c r="GQ107" i="16"/>
  <c r="GL107" i="16"/>
  <c r="N107" i="16"/>
  <c r="AP107" i="16" s="1"/>
  <c r="JY107" i="16"/>
  <c r="JQ107" i="16"/>
  <c r="JK107" i="16"/>
  <c r="JE107" i="16"/>
  <c r="IW107" i="16"/>
  <c r="IQ107" i="16"/>
  <c r="IK107" i="16"/>
  <c r="IC107" i="16"/>
  <c r="HW107" i="16"/>
  <c r="HQ107" i="16"/>
  <c r="HI107" i="16"/>
  <c r="HC107" i="16"/>
  <c r="GW107" i="16"/>
  <c r="GO107" i="16"/>
  <c r="Q107" i="16"/>
  <c r="L107" i="16"/>
  <c r="K108" i="16"/>
  <c r="JV107" i="16"/>
  <c r="JP107" i="16"/>
  <c r="JJ107" i="16"/>
  <c r="JB107" i="16"/>
  <c r="IV107" i="16"/>
  <c r="IP107" i="16"/>
  <c r="IH107" i="16"/>
  <c r="IB107" i="16"/>
  <c r="HV107" i="16"/>
  <c r="HN107" i="16"/>
  <c r="HH107" i="16"/>
  <c r="HB107" i="16"/>
  <c r="GT107" i="16"/>
  <c r="GN107" i="16"/>
  <c r="P107" i="16"/>
  <c r="KA107" i="16"/>
  <c r="JU107" i="16"/>
  <c r="JO107" i="16"/>
  <c r="JG107" i="16"/>
  <c r="JA107" i="16"/>
  <c r="IU107" i="16"/>
  <c r="IM107" i="16"/>
  <c r="IG107" i="16"/>
  <c r="IA107" i="16"/>
  <c r="HS107" i="16"/>
  <c r="HM107" i="16"/>
  <c r="HG107" i="16"/>
  <c r="GY107" i="16"/>
  <c r="GS107" i="16"/>
  <c r="GM107" i="16"/>
  <c r="JZ107" i="16"/>
  <c r="IZ107" i="16"/>
  <c r="HX107" i="16"/>
  <c r="GX107" i="16"/>
  <c r="JT107" i="16"/>
  <c r="IR107" i="16"/>
  <c r="HR107" i="16"/>
  <c r="GR107" i="16"/>
  <c r="JL107" i="16"/>
  <c r="IL107" i="16"/>
  <c r="HL107" i="16"/>
  <c r="M107" i="16"/>
  <c r="JF107" i="16"/>
  <c r="IF107" i="16"/>
  <c r="HD107" i="16"/>
  <c r="I107" i="16" a="1"/>
  <c r="I107" i="16" s="1"/>
  <c r="I108" i="16" a="1"/>
  <c r="I108" i="16" s="1"/>
  <c r="B108" i="16"/>
  <c r="BF107" i="16"/>
  <c r="B109" i="16" l="1"/>
  <c r="JZ108" i="16"/>
  <c r="JU108" i="16"/>
  <c r="JP108" i="16"/>
  <c r="JK108" i="16"/>
  <c r="JF108" i="16"/>
  <c r="JA108" i="16"/>
  <c r="IV108" i="16"/>
  <c r="IQ108" i="16"/>
  <c r="IL108" i="16"/>
  <c r="IG108" i="16"/>
  <c r="IB108" i="16"/>
  <c r="HW108" i="16"/>
  <c r="HR108" i="16"/>
  <c r="HM108" i="16"/>
  <c r="HH108" i="16"/>
  <c r="HC108" i="16"/>
  <c r="GX108" i="16"/>
  <c r="GS108" i="16"/>
  <c r="GN108" i="16"/>
  <c r="P108" i="16"/>
  <c r="L108" i="16"/>
  <c r="JY108" i="16"/>
  <c r="JS108" i="16"/>
  <c r="JL108" i="16"/>
  <c r="JE108" i="16"/>
  <c r="IY108" i="16"/>
  <c r="IR108" i="16"/>
  <c r="IK108" i="16"/>
  <c r="IE108" i="16"/>
  <c r="HX108" i="16"/>
  <c r="HQ108" i="16"/>
  <c r="HK108" i="16"/>
  <c r="HD108" i="16"/>
  <c r="GW108" i="16"/>
  <c r="GQ108" i="16"/>
  <c r="M108" i="16"/>
  <c r="JX108" i="16"/>
  <c r="JQ108" i="16"/>
  <c r="JJ108" i="16"/>
  <c r="JD108" i="16"/>
  <c r="IW108" i="16"/>
  <c r="IP108" i="16"/>
  <c r="IJ108" i="16"/>
  <c r="IC108" i="16"/>
  <c r="HV108" i="16"/>
  <c r="HP108" i="16"/>
  <c r="HI108" i="16"/>
  <c r="HB108" i="16"/>
  <c r="GV108" i="16"/>
  <c r="GO108" i="16"/>
  <c r="Q108" i="16"/>
  <c r="K109" i="16"/>
  <c r="JV108" i="16"/>
  <c r="JO108" i="16"/>
  <c r="JI108" i="16"/>
  <c r="JB108" i="16"/>
  <c r="IU108" i="16"/>
  <c r="IO108" i="16"/>
  <c r="IH108" i="16"/>
  <c r="IA108" i="16"/>
  <c r="HU108" i="16"/>
  <c r="HN108" i="16"/>
  <c r="HG108" i="16"/>
  <c r="HA108" i="16"/>
  <c r="GT108" i="16"/>
  <c r="GM108" i="16"/>
  <c r="KA108" i="16"/>
  <c r="IZ108" i="16"/>
  <c r="HZ108" i="16"/>
  <c r="GY108" i="16"/>
  <c r="JT108" i="16"/>
  <c r="IT108" i="16"/>
  <c r="HS108" i="16"/>
  <c r="GR108" i="16"/>
  <c r="N108" i="16"/>
  <c r="AP108" i="16" s="1"/>
  <c r="JN108" i="16"/>
  <c r="IM108" i="16"/>
  <c r="HL108" i="16"/>
  <c r="GL108" i="16"/>
  <c r="JG108" i="16"/>
  <c r="IF108" i="16"/>
  <c r="HF108" i="16"/>
  <c r="B110" i="16" l="1"/>
  <c r="I109" i="16" a="1"/>
  <c r="I109" i="16" s="1"/>
  <c r="JX109" i="16"/>
  <c r="JS109" i="16"/>
  <c r="JN109" i="16"/>
  <c r="JI109" i="16"/>
  <c r="JD109" i="16"/>
  <c r="IY109" i="16"/>
  <c r="IT109" i="16"/>
  <c r="IO109" i="16"/>
  <c r="IJ109" i="16"/>
  <c r="IE109" i="16"/>
  <c r="HZ109" i="16"/>
  <c r="HU109" i="16"/>
  <c r="HP109" i="16"/>
  <c r="HK109" i="16"/>
  <c r="HF109" i="16"/>
  <c r="HA109" i="16"/>
  <c r="GV109" i="16"/>
  <c r="GQ109" i="16"/>
  <c r="GL109" i="16"/>
  <c r="N109" i="16"/>
  <c r="AP109" i="16" s="1"/>
  <c r="JZ109" i="16"/>
  <c r="JT109" i="16"/>
  <c r="JL109" i="16"/>
  <c r="JF109" i="16"/>
  <c r="IZ109" i="16"/>
  <c r="IR109" i="16"/>
  <c r="IL109" i="16"/>
  <c r="IF109" i="16"/>
  <c r="HX109" i="16"/>
  <c r="HR109" i="16"/>
  <c r="HL109" i="16"/>
  <c r="HD109" i="16"/>
  <c r="GX109" i="16"/>
  <c r="GR109" i="16"/>
  <c r="M109" i="16"/>
  <c r="JY109" i="16"/>
  <c r="JQ109" i="16"/>
  <c r="JK109" i="16"/>
  <c r="JE109" i="16"/>
  <c r="IW109" i="16"/>
  <c r="IQ109" i="16"/>
  <c r="IK109" i="16"/>
  <c r="IC109" i="16"/>
  <c r="HW109" i="16"/>
  <c r="HQ109" i="16"/>
  <c r="HI109" i="16"/>
  <c r="HC109" i="16"/>
  <c r="GW109" i="16"/>
  <c r="GO109" i="16"/>
  <c r="Q109" i="16"/>
  <c r="L109" i="16"/>
  <c r="I110" i="16" s="1" a="1"/>
  <c r="I110" i="16" s="1"/>
  <c r="K110" i="16"/>
  <c r="JV109" i="16"/>
  <c r="JP109" i="16"/>
  <c r="JJ109" i="16"/>
  <c r="JB109" i="16"/>
  <c r="IV109" i="16"/>
  <c r="IP109" i="16"/>
  <c r="IH109" i="16"/>
  <c r="IB109" i="16"/>
  <c r="HV109" i="16"/>
  <c r="HN109" i="16"/>
  <c r="HH109" i="16"/>
  <c r="HB109" i="16"/>
  <c r="GT109" i="16"/>
  <c r="GN109" i="16"/>
  <c r="P109" i="16"/>
  <c r="JG109" i="16"/>
  <c r="IG109" i="16"/>
  <c r="HG109" i="16"/>
  <c r="KA109" i="16"/>
  <c r="JA109" i="16"/>
  <c r="IA109" i="16"/>
  <c r="GY109" i="16"/>
  <c r="JU109" i="16"/>
  <c r="IU109" i="16"/>
  <c r="HS109" i="16"/>
  <c r="GS109" i="16"/>
  <c r="JO109" i="16"/>
  <c r="IM109" i="16"/>
  <c r="HM109" i="16"/>
  <c r="GM109" i="16"/>
  <c r="BF108" i="16"/>
  <c r="B111" i="16" l="1"/>
  <c r="BF109" i="16"/>
  <c r="JZ110" i="16"/>
  <c r="JU110" i="16"/>
  <c r="JP110" i="16"/>
  <c r="JK110" i="16"/>
  <c r="JF110" i="16"/>
  <c r="JA110" i="16"/>
  <c r="IV110" i="16"/>
  <c r="IQ110" i="16"/>
  <c r="IL110" i="16"/>
  <c r="IG110" i="16"/>
  <c r="IB110" i="16"/>
  <c r="HW110" i="16"/>
  <c r="HR110" i="16"/>
  <c r="HM110" i="16"/>
  <c r="HH110" i="16"/>
  <c r="HC110" i="16"/>
  <c r="GX110" i="16"/>
  <c r="GS110" i="16"/>
  <c r="GN110" i="16"/>
  <c r="P110" i="16"/>
  <c r="L110" i="16"/>
  <c r="I111" i="16" s="1" a="1"/>
  <c r="I111" i="16" s="1"/>
  <c r="KA110" i="16"/>
  <c r="JT110" i="16"/>
  <c r="JN110" i="16"/>
  <c r="JG110" i="16"/>
  <c r="IZ110" i="16"/>
  <c r="IT110" i="16"/>
  <c r="IM110" i="16"/>
  <c r="IF110" i="16"/>
  <c r="HZ110" i="16"/>
  <c r="HS110" i="16"/>
  <c r="HL110" i="16"/>
  <c r="HF110" i="16"/>
  <c r="GY110" i="16"/>
  <c r="GR110" i="16"/>
  <c r="GL110" i="16"/>
  <c r="N110" i="16"/>
  <c r="AP110" i="16" s="1"/>
  <c r="JY110" i="16"/>
  <c r="JS110" i="16"/>
  <c r="JL110" i="16"/>
  <c r="JE110" i="16"/>
  <c r="IY110" i="16"/>
  <c r="IR110" i="16"/>
  <c r="IK110" i="16"/>
  <c r="IE110" i="16"/>
  <c r="HX110" i="16"/>
  <c r="HQ110" i="16"/>
  <c r="HK110" i="16"/>
  <c r="HD110" i="16"/>
  <c r="GW110" i="16"/>
  <c r="GQ110" i="16"/>
  <c r="M110" i="16"/>
  <c r="JX110" i="16"/>
  <c r="JQ110" i="16"/>
  <c r="JJ110" i="16"/>
  <c r="JD110" i="16"/>
  <c r="IW110" i="16"/>
  <c r="IP110" i="16"/>
  <c r="IJ110" i="16"/>
  <c r="IC110" i="16"/>
  <c r="HV110" i="16"/>
  <c r="HP110" i="16"/>
  <c r="HI110" i="16"/>
  <c r="HB110" i="16"/>
  <c r="GV110" i="16"/>
  <c r="GO110" i="16"/>
  <c r="Q110" i="16"/>
  <c r="JV110" i="16"/>
  <c r="IU110" i="16"/>
  <c r="HU110" i="16"/>
  <c r="GT110" i="16"/>
  <c r="K111" i="16"/>
  <c r="JO110" i="16"/>
  <c r="IO110" i="16"/>
  <c r="HN110" i="16"/>
  <c r="GM110" i="16"/>
  <c r="JI110" i="16"/>
  <c r="IH110" i="16"/>
  <c r="HG110" i="16"/>
  <c r="JB110" i="16"/>
  <c r="IA110" i="16"/>
  <c r="HA110" i="16"/>
  <c r="B112" i="16" l="1"/>
  <c r="BF110" i="16"/>
  <c r="JY111" i="16"/>
  <c r="JT111" i="16"/>
  <c r="JO111" i="16"/>
  <c r="JJ111" i="16"/>
  <c r="JE111" i="16"/>
  <c r="IZ111" i="16"/>
  <c r="IU111" i="16"/>
  <c r="IP111" i="16"/>
  <c r="IK111" i="16"/>
  <c r="IF111" i="16"/>
  <c r="IA111" i="16"/>
  <c r="HV111" i="16"/>
  <c r="HQ111" i="16"/>
  <c r="HL111" i="16"/>
  <c r="HG111" i="16"/>
  <c r="HB111" i="16"/>
  <c r="GW111" i="16"/>
  <c r="GR111" i="16"/>
  <c r="GM111" i="16"/>
  <c r="N111" i="16"/>
  <c r="AP111" i="16" s="1"/>
  <c r="K112" i="16"/>
  <c r="JV111" i="16"/>
  <c r="JP111" i="16"/>
  <c r="JI111" i="16"/>
  <c r="JB111" i="16"/>
  <c r="IV111" i="16"/>
  <c r="IO111" i="16"/>
  <c r="IH111" i="16"/>
  <c r="IB111" i="16"/>
  <c r="HU111" i="16"/>
  <c r="HN111" i="16"/>
  <c r="HH111" i="16"/>
  <c r="HA111" i="16"/>
  <c r="GT111" i="16"/>
  <c r="GN111" i="16"/>
  <c r="KA111" i="16"/>
  <c r="JU111" i="16"/>
  <c r="JN111" i="16"/>
  <c r="JG111" i="16"/>
  <c r="JA111" i="16"/>
  <c r="IT111" i="16"/>
  <c r="IM111" i="16"/>
  <c r="IG111" i="16"/>
  <c r="HZ111" i="16"/>
  <c r="HS111" i="16"/>
  <c r="HM111" i="16"/>
  <c r="HF111" i="16"/>
  <c r="GY111" i="16"/>
  <c r="GS111" i="16"/>
  <c r="GL111" i="16"/>
  <c r="M111" i="16"/>
  <c r="JZ111" i="16"/>
  <c r="JS111" i="16"/>
  <c r="JL111" i="16"/>
  <c r="JF111" i="16"/>
  <c r="IY111" i="16"/>
  <c r="IR111" i="16"/>
  <c r="IL111" i="16"/>
  <c r="IE111" i="16"/>
  <c r="HX111" i="16"/>
  <c r="HR111" i="16"/>
  <c r="HK111" i="16"/>
  <c r="HD111" i="16"/>
  <c r="GX111" i="16"/>
  <c r="GQ111" i="16"/>
  <c r="Q111" i="16"/>
  <c r="L111" i="16"/>
  <c r="JK111" i="16"/>
  <c r="IJ111" i="16"/>
  <c r="HI111" i="16"/>
  <c r="JD111" i="16"/>
  <c r="IC111" i="16"/>
  <c r="HC111" i="16"/>
  <c r="JX111" i="16"/>
  <c r="IW111" i="16"/>
  <c r="HW111" i="16"/>
  <c r="GV111" i="16"/>
  <c r="JQ111" i="16"/>
  <c r="IQ111" i="16"/>
  <c r="HP111" i="16"/>
  <c r="GO111" i="16"/>
  <c r="P111" i="16"/>
  <c r="JX112" i="16" l="1"/>
  <c r="JS112" i="16"/>
  <c r="JN112" i="16"/>
  <c r="JI112" i="16"/>
  <c r="JD112" i="16"/>
  <c r="IY112" i="16"/>
  <c r="IT112" i="16"/>
  <c r="IO112" i="16"/>
  <c r="IJ112" i="16"/>
  <c r="IE112" i="16"/>
  <c r="HZ112" i="16"/>
  <c r="HU112" i="16"/>
  <c r="HP112" i="16"/>
  <c r="HK112" i="16"/>
  <c r="HF112" i="16"/>
  <c r="HA112" i="16"/>
  <c r="GV112" i="16"/>
  <c r="GQ112" i="16"/>
  <c r="GL112" i="16"/>
  <c r="Q112" i="16"/>
  <c r="M112" i="16"/>
  <c r="JY112" i="16"/>
  <c r="JQ112" i="16"/>
  <c r="JK112" i="16"/>
  <c r="JE112" i="16"/>
  <c r="IW112" i="16"/>
  <c r="IQ112" i="16"/>
  <c r="IK112" i="16"/>
  <c r="IC112" i="16"/>
  <c r="HW112" i="16"/>
  <c r="HQ112" i="16"/>
  <c r="HI112" i="16"/>
  <c r="HC112" i="16"/>
  <c r="GW112" i="16"/>
  <c r="GO112" i="16"/>
  <c r="P112" i="16"/>
  <c r="K113" i="16"/>
  <c r="JV112" i="16"/>
  <c r="JP112" i="16"/>
  <c r="JJ112" i="16"/>
  <c r="JB112" i="16"/>
  <c r="IV112" i="16"/>
  <c r="IP112" i="16"/>
  <c r="IH112" i="16"/>
  <c r="IB112" i="16"/>
  <c r="HV112" i="16"/>
  <c r="HN112" i="16"/>
  <c r="HH112" i="16"/>
  <c r="HB112" i="16"/>
  <c r="GT112" i="16"/>
  <c r="GN112" i="16"/>
  <c r="KA112" i="16"/>
  <c r="JU112" i="16"/>
  <c r="JO112" i="16"/>
  <c r="JG112" i="16"/>
  <c r="JA112" i="16"/>
  <c r="IU112" i="16"/>
  <c r="IM112" i="16"/>
  <c r="IG112" i="16"/>
  <c r="IA112" i="16"/>
  <c r="HS112" i="16"/>
  <c r="HM112" i="16"/>
  <c r="HG112" i="16"/>
  <c r="GY112" i="16"/>
  <c r="GS112" i="16"/>
  <c r="GM112" i="16"/>
  <c r="N112" i="16"/>
  <c r="AP112" i="16" s="1"/>
  <c r="JL112" i="16"/>
  <c r="IL112" i="16"/>
  <c r="HL112" i="16"/>
  <c r="JF112" i="16"/>
  <c r="IF112" i="16"/>
  <c r="HD112" i="16"/>
  <c r="JZ112" i="16"/>
  <c r="IZ112" i="16"/>
  <c r="HX112" i="16"/>
  <c r="GX112" i="16"/>
  <c r="JT112" i="16"/>
  <c r="IR112" i="16"/>
  <c r="HR112" i="16"/>
  <c r="GR112" i="16"/>
  <c r="L112" i="16"/>
  <c r="I113" i="16" s="1" a="1"/>
  <c r="I113" i="16" s="1"/>
  <c r="I112" i="16" a="1"/>
  <c r="I112" i="16" s="1"/>
  <c r="BF111" i="16"/>
  <c r="B113" i="16"/>
  <c r="K114" i="16" l="1"/>
  <c r="KA113" i="16"/>
  <c r="JV113" i="16"/>
  <c r="JQ113" i="16"/>
  <c r="JL113" i="16"/>
  <c r="JG113" i="16"/>
  <c r="JB113" i="16"/>
  <c r="IW113" i="16"/>
  <c r="IR113" i="16"/>
  <c r="IM113" i="16"/>
  <c r="IH113" i="16"/>
  <c r="IC113" i="16"/>
  <c r="HX113" i="16"/>
  <c r="HS113" i="16"/>
  <c r="HN113" i="16"/>
  <c r="HI113" i="16"/>
  <c r="HD113" i="16"/>
  <c r="GY113" i="16"/>
  <c r="GT113" i="16"/>
  <c r="GO113" i="16"/>
  <c r="P113" i="16"/>
  <c r="L113" i="16"/>
  <c r="BF113" i="16" s="1"/>
  <c r="JZ113" i="16"/>
  <c r="JT113" i="16"/>
  <c r="JN113" i="16"/>
  <c r="JF113" i="16"/>
  <c r="IZ113" i="16"/>
  <c r="IT113" i="16"/>
  <c r="IL113" i="16"/>
  <c r="IF113" i="16"/>
  <c r="HZ113" i="16"/>
  <c r="HR113" i="16"/>
  <c r="HL113" i="16"/>
  <c r="HF113" i="16"/>
  <c r="GX113" i="16"/>
  <c r="GR113" i="16"/>
  <c r="GL113" i="16"/>
  <c r="M113" i="16"/>
  <c r="JY113" i="16"/>
  <c r="JS113" i="16"/>
  <c r="JK113" i="16"/>
  <c r="JE113" i="16"/>
  <c r="IY113" i="16"/>
  <c r="IQ113" i="16"/>
  <c r="IK113" i="16"/>
  <c r="IE113" i="16"/>
  <c r="HW113" i="16"/>
  <c r="HQ113" i="16"/>
  <c r="HK113" i="16"/>
  <c r="HC113" i="16"/>
  <c r="GW113" i="16"/>
  <c r="GQ113" i="16"/>
  <c r="Q113" i="16"/>
  <c r="JX113" i="16"/>
  <c r="JP113" i="16"/>
  <c r="JJ113" i="16"/>
  <c r="JD113" i="16"/>
  <c r="IV113" i="16"/>
  <c r="IP113" i="16"/>
  <c r="IJ113" i="16"/>
  <c r="IB113" i="16"/>
  <c r="HV113" i="16"/>
  <c r="HP113" i="16"/>
  <c r="HH113" i="16"/>
  <c r="HB113" i="16"/>
  <c r="GV113" i="16"/>
  <c r="GN113" i="16"/>
  <c r="JU113" i="16"/>
  <c r="IU113" i="16"/>
  <c r="HU113" i="16"/>
  <c r="GS113" i="16"/>
  <c r="JO113" i="16"/>
  <c r="IO113" i="16"/>
  <c r="HM113" i="16"/>
  <c r="GM113" i="16"/>
  <c r="JI113" i="16"/>
  <c r="IG113" i="16"/>
  <c r="HG113" i="16"/>
  <c r="JA113" i="16"/>
  <c r="IA113" i="16"/>
  <c r="HA113" i="16"/>
  <c r="N113" i="16"/>
  <c r="AP113" i="16" s="1"/>
  <c r="B114" i="16"/>
  <c r="BF112" i="16"/>
  <c r="JZ114" i="16" l="1"/>
  <c r="JU114" i="16"/>
  <c r="JP114" i="16"/>
  <c r="JK114" i="16"/>
  <c r="JF114" i="16"/>
  <c r="JA114" i="16"/>
  <c r="IV114" i="16"/>
  <c r="IQ114" i="16"/>
  <c r="IL114" i="16"/>
  <c r="IG114" i="16"/>
  <c r="IB114" i="16"/>
  <c r="HW114" i="16"/>
  <c r="HR114" i="16"/>
  <c r="HM114" i="16"/>
  <c r="HH114" i="16"/>
  <c r="HC114" i="16"/>
  <c r="GX114" i="16"/>
  <c r="GS114" i="16"/>
  <c r="GN114" i="16"/>
  <c r="KA114" i="16"/>
  <c r="JT114" i="16"/>
  <c r="JN114" i="16"/>
  <c r="JG114" i="16"/>
  <c r="IZ114" i="16"/>
  <c r="IT114" i="16"/>
  <c r="IM114" i="16"/>
  <c r="IF114" i="16"/>
  <c r="HZ114" i="16"/>
  <c r="HS114" i="16"/>
  <c r="HL114" i="16"/>
  <c r="HF114" i="16"/>
  <c r="GY114" i="16"/>
  <c r="GR114" i="16"/>
  <c r="GL114" i="16"/>
  <c r="N114" i="16"/>
  <c r="AP114" i="16" s="1"/>
  <c r="JY114" i="16"/>
  <c r="JS114" i="16"/>
  <c r="JL114" i="16"/>
  <c r="JE114" i="16"/>
  <c r="IY114" i="16"/>
  <c r="IR114" i="16"/>
  <c r="IK114" i="16"/>
  <c r="IE114" i="16"/>
  <c r="HX114" i="16"/>
  <c r="HQ114" i="16"/>
  <c r="HK114" i="16"/>
  <c r="HD114" i="16"/>
  <c r="GW114" i="16"/>
  <c r="GQ114" i="16"/>
  <c r="Q114" i="16"/>
  <c r="M114" i="16"/>
  <c r="JX114" i="16"/>
  <c r="JQ114" i="16"/>
  <c r="JJ114" i="16"/>
  <c r="JD114" i="16"/>
  <c r="IW114" i="16"/>
  <c r="IP114" i="16"/>
  <c r="IJ114" i="16"/>
  <c r="IC114" i="16"/>
  <c r="HV114" i="16"/>
  <c r="HP114" i="16"/>
  <c r="HI114" i="16"/>
  <c r="HB114" i="16"/>
  <c r="GV114" i="16"/>
  <c r="GO114" i="16"/>
  <c r="P114" i="16"/>
  <c r="L114" i="16"/>
  <c r="JI114" i="16"/>
  <c r="IH114" i="16"/>
  <c r="HG114" i="16"/>
  <c r="JB114" i="16"/>
  <c r="IA114" i="16"/>
  <c r="HA114" i="16"/>
  <c r="JV114" i="16"/>
  <c r="IU114" i="16"/>
  <c r="HU114" i="16"/>
  <c r="GT114" i="16"/>
  <c r="K115" i="16"/>
  <c r="JO114" i="16"/>
  <c r="IO114" i="16"/>
  <c r="HN114" i="16"/>
  <c r="GM114" i="16"/>
  <c r="B115" i="16"/>
  <c r="I114" i="16" a="1"/>
  <c r="I114" i="16" s="1"/>
  <c r="I115" i="16" l="1" a="1"/>
  <c r="I115" i="16" s="1"/>
  <c r="JY115" i="16"/>
  <c r="JT115" i="16"/>
  <c r="JO115" i="16"/>
  <c r="JJ115" i="16"/>
  <c r="JE115" i="16"/>
  <c r="IZ115" i="16"/>
  <c r="IU115" i="16"/>
  <c r="IP115" i="16"/>
  <c r="IK115" i="16"/>
  <c r="IF115" i="16"/>
  <c r="IA115" i="16"/>
  <c r="HV115" i="16"/>
  <c r="HQ115" i="16"/>
  <c r="HL115" i="16"/>
  <c r="HG115" i="16"/>
  <c r="HB115" i="16"/>
  <c r="GW115" i="16"/>
  <c r="GR115" i="16"/>
  <c r="GM115" i="16"/>
  <c r="N115" i="16"/>
  <c r="AP115" i="16" s="1"/>
  <c r="K116" i="16"/>
  <c r="JV115" i="16"/>
  <c r="JP115" i="16"/>
  <c r="JI115" i="16"/>
  <c r="JB115" i="16"/>
  <c r="IV115" i="16"/>
  <c r="IO115" i="16"/>
  <c r="IH115" i="16"/>
  <c r="IB115" i="16"/>
  <c r="HU115" i="16"/>
  <c r="HN115" i="16"/>
  <c r="HH115" i="16"/>
  <c r="HA115" i="16"/>
  <c r="GT115" i="16"/>
  <c r="GN115" i="16"/>
  <c r="KA115" i="16"/>
  <c r="JU115" i="16"/>
  <c r="JN115" i="16"/>
  <c r="JG115" i="16"/>
  <c r="JA115" i="16"/>
  <c r="IT115" i="16"/>
  <c r="IM115" i="16"/>
  <c r="IG115" i="16"/>
  <c r="HZ115" i="16"/>
  <c r="HS115" i="16"/>
  <c r="HM115" i="16"/>
  <c r="HF115" i="16"/>
  <c r="GY115" i="16"/>
  <c r="GS115" i="16"/>
  <c r="GL115" i="16"/>
  <c r="M115" i="16"/>
  <c r="JZ115" i="16"/>
  <c r="JS115" i="16"/>
  <c r="JL115" i="16"/>
  <c r="JF115" i="16"/>
  <c r="IY115" i="16"/>
  <c r="IR115" i="16"/>
  <c r="IL115" i="16"/>
  <c r="IE115" i="16"/>
  <c r="HX115" i="16"/>
  <c r="HR115" i="16"/>
  <c r="HK115" i="16"/>
  <c r="HD115" i="16"/>
  <c r="GX115" i="16"/>
  <c r="GQ115" i="16"/>
  <c r="Q115" i="16"/>
  <c r="L115" i="16"/>
  <c r="JX115" i="16"/>
  <c r="IW115" i="16"/>
  <c r="HW115" i="16"/>
  <c r="GV115" i="16"/>
  <c r="JQ115" i="16"/>
  <c r="IQ115" i="16"/>
  <c r="HP115" i="16"/>
  <c r="GO115" i="16"/>
  <c r="P115" i="16"/>
  <c r="JK115" i="16"/>
  <c r="IJ115" i="16"/>
  <c r="HI115" i="16"/>
  <c r="JD115" i="16"/>
  <c r="IC115" i="16"/>
  <c r="HC115" i="16"/>
  <c r="B116" i="16"/>
  <c r="BF115" i="16"/>
  <c r="BF114" i="16"/>
  <c r="B117" i="16" l="1"/>
  <c r="I116" i="16" a="1"/>
  <c r="I116" i="16" s="1"/>
  <c r="JX116" i="16"/>
  <c r="JS116" i="16"/>
  <c r="JN116" i="16"/>
  <c r="JI116" i="16"/>
  <c r="JD116" i="16"/>
  <c r="IY116" i="16"/>
  <c r="IT116" i="16"/>
  <c r="IO116" i="16"/>
  <c r="IJ116" i="16"/>
  <c r="IE116" i="16"/>
  <c r="HZ116" i="16"/>
  <c r="HU116" i="16"/>
  <c r="HP116" i="16"/>
  <c r="HK116" i="16"/>
  <c r="HF116" i="16"/>
  <c r="HA116" i="16"/>
  <c r="GV116" i="16"/>
  <c r="GQ116" i="16"/>
  <c r="GL116" i="16"/>
  <c r="Q116" i="16"/>
  <c r="M116" i="16"/>
  <c r="JY116" i="16"/>
  <c r="JQ116" i="16"/>
  <c r="JK116" i="16"/>
  <c r="JE116" i="16"/>
  <c r="IW116" i="16"/>
  <c r="IQ116" i="16"/>
  <c r="IK116" i="16"/>
  <c r="IC116" i="16"/>
  <c r="HW116" i="16"/>
  <c r="HQ116" i="16"/>
  <c r="HI116" i="16"/>
  <c r="HC116" i="16"/>
  <c r="GW116" i="16"/>
  <c r="GO116" i="16"/>
  <c r="P116" i="16"/>
  <c r="K117" i="16"/>
  <c r="JV116" i="16"/>
  <c r="JP116" i="16"/>
  <c r="JJ116" i="16"/>
  <c r="JB116" i="16"/>
  <c r="IV116" i="16"/>
  <c r="IP116" i="16"/>
  <c r="IH116" i="16"/>
  <c r="IB116" i="16"/>
  <c r="HV116" i="16"/>
  <c r="HN116" i="16"/>
  <c r="HH116" i="16"/>
  <c r="HB116" i="16"/>
  <c r="GT116" i="16"/>
  <c r="GN116" i="16"/>
  <c r="KA116" i="16"/>
  <c r="JU116" i="16"/>
  <c r="JO116" i="16"/>
  <c r="JG116" i="16"/>
  <c r="JA116" i="16"/>
  <c r="IU116" i="16"/>
  <c r="IM116" i="16"/>
  <c r="IG116" i="16"/>
  <c r="IA116" i="16"/>
  <c r="HS116" i="16"/>
  <c r="HM116" i="16"/>
  <c r="HG116" i="16"/>
  <c r="GY116" i="16"/>
  <c r="GS116" i="16"/>
  <c r="GM116" i="16"/>
  <c r="N116" i="16"/>
  <c r="AP116" i="16" s="1"/>
  <c r="JZ116" i="16"/>
  <c r="IZ116" i="16"/>
  <c r="HX116" i="16"/>
  <c r="GX116" i="16"/>
  <c r="JT116" i="16"/>
  <c r="IR116" i="16"/>
  <c r="HR116" i="16"/>
  <c r="GR116" i="16"/>
  <c r="L116" i="16"/>
  <c r="JL116" i="16"/>
  <c r="IL116" i="16"/>
  <c r="HL116" i="16"/>
  <c r="JF116" i="16"/>
  <c r="IF116" i="16"/>
  <c r="HD116" i="16"/>
  <c r="JZ117" i="16" l="1"/>
  <c r="JU117" i="16"/>
  <c r="JP117" i="16"/>
  <c r="JK117" i="16"/>
  <c r="JF117" i="16"/>
  <c r="JA117" i="16"/>
  <c r="IV117" i="16"/>
  <c r="IQ117" i="16"/>
  <c r="IL117" i="16"/>
  <c r="IG117" i="16"/>
  <c r="IB117" i="16"/>
  <c r="HW117" i="16"/>
  <c r="HR117" i="16"/>
  <c r="HM117" i="16"/>
  <c r="HH117" i="16"/>
  <c r="HC117" i="16"/>
  <c r="GX117" i="16"/>
  <c r="GS117" i="16"/>
  <c r="GN117" i="16"/>
  <c r="P117" i="16"/>
  <c r="L117" i="16"/>
  <c r="I118" i="16" s="1" a="1"/>
  <c r="I118" i="16" s="1"/>
  <c r="JY117" i="16"/>
  <c r="JS117" i="16"/>
  <c r="JL117" i="16"/>
  <c r="JE117" i="16"/>
  <c r="IY117" i="16"/>
  <c r="IR117" i="16"/>
  <c r="IK117" i="16"/>
  <c r="IE117" i="16"/>
  <c r="HX117" i="16"/>
  <c r="HQ117" i="16"/>
  <c r="HK117" i="16"/>
  <c r="HD117" i="16"/>
  <c r="GW117" i="16"/>
  <c r="GQ117" i="16"/>
  <c r="M117" i="16"/>
  <c r="JX117" i="16"/>
  <c r="JQ117" i="16"/>
  <c r="JJ117" i="16"/>
  <c r="JD117" i="16"/>
  <c r="IW117" i="16"/>
  <c r="IP117" i="16"/>
  <c r="IJ117" i="16"/>
  <c r="IC117" i="16"/>
  <c r="HV117" i="16"/>
  <c r="HP117" i="16"/>
  <c r="HI117" i="16"/>
  <c r="HB117" i="16"/>
  <c r="GV117" i="16"/>
  <c r="GO117" i="16"/>
  <c r="Q117" i="16"/>
  <c r="K118" i="16"/>
  <c r="JV117" i="16"/>
  <c r="JO117" i="16"/>
  <c r="JI117" i="16"/>
  <c r="JB117" i="16"/>
  <c r="IU117" i="16"/>
  <c r="IO117" i="16"/>
  <c r="IH117" i="16"/>
  <c r="IA117" i="16"/>
  <c r="HU117" i="16"/>
  <c r="HN117" i="16"/>
  <c r="HG117" i="16"/>
  <c r="HA117" i="16"/>
  <c r="GT117" i="16"/>
  <c r="GM117" i="16"/>
  <c r="KA117" i="16"/>
  <c r="IZ117" i="16"/>
  <c r="HZ117" i="16"/>
  <c r="GY117" i="16"/>
  <c r="JT117" i="16"/>
  <c r="IT117" i="16"/>
  <c r="HS117" i="16"/>
  <c r="GR117" i="16"/>
  <c r="N117" i="16"/>
  <c r="AP117" i="16" s="1"/>
  <c r="JN117" i="16"/>
  <c r="IM117" i="16"/>
  <c r="HL117" i="16"/>
  <c r="GL117" i="16"/>
  <c r="JG117" i="16"/>
  <c r="IF117" i="16"/>
  <c r="HF117" i="16"/>
  <c r="BF116" i="16"/>
  <c r="B118" i="16"/>
  <c r="GG117" i="16"/>
  <c r="GB117" i="16"/>
  <c r="FW117" i="16"/>
  <c r="FR117" i="16"/>
  <c r="FM117" i="16"/>
  <c r="FH117" i="16"/>
  <c r="FC117" i="16"/>
  <c r="EX117" i="16"/>
  <c r="ES117" i="16"/>
  <c r="EN117" i="16"/>
  <c r="EI117" i="16"/>
  <c r="ED117" i="16"/>
  <c r="DY117" i="16"/>
  <c r="DT117" i="16"/>
  <c r="DO117" i="16"/>
  <c r="DJ117" i="16"/>
  <c r="DE117" i="16"/>
  <c r="CZ117" i="16"/>
  <c r="CU117" i="16"/>
  <c r="H117" i="16"/>
  <c r="D117" i="16"/>
  <c r="GH117" i="16"/>
  <c r="GA117" i="16"/>
  <c r="FU117" i="16"/>
  <c r="FN117" i="16"/>
  <c r="FG117" i="16"/>
  <c r="FA117" i="16"/>
  <c r="ET117" i="16"/>
  <c r="EM117" i="16"/>
  <c r="EG117" i="16"/>
  <c r="DZ117" i="16"/>
  <c r="DS117" i="16"/>
  <c r="DM117" i="16"/>
  <c r="DF117" i="16"/>
  <c r="CY117" i="16"/>
  <c r="CS117" i="16"/>
  <c r="G117" i="16"/>
  <c r="GF117" i="16"/>
  <c r="FZ117" i="16"/>
  <c r="FS117" i="16"/>
  <c r="FL117" i="16"/>
  <c r="FF117" i="16"/>
  <c r="EY117" i="16"/>
  <c r="ER117" i="16"/>
  <c r="EL117" i="16"/>
  <c r="EE117" i="16"/>
  <c r="DX117" i="16"/>
  <c r="DR117" i="16"/>
  <c r="DK117" i="16"/>
  <c r="DD117" i="16"/>
  <c r="CX117" i="16"/>
  <c r="F117" i="16"/>
  <c r="GE117" i="16"/>
  <c r="FX117" i="16"/>
  <c r="FQ117" i="16"/>
  <c r="FK117" i="16"/>
  <c r="FD117" i="16"/>
  <c r="EW117" i="16"/>
  <c r="EQ117" i="16"/>
  <c r="EJ117" i="16"/>
  <c r="EC117" i="16"/>
  <c r="DW117" i="16"/>
  <c r="DP117" i="16"/>
  <c r="DI117" i="16"/>
  <c r="DC117" i="16"/>
  <c r="CV117" i="16"/>
  <c r="E117" i="16"/>
  <c r="AH117" i="16" s="1"/>
  <c r="AX117" i="16" s="1"/>
  <c r="FV117" i="16"/>
  <c r="EV117" i="16"/>
  <c r="DU117" i="16"/>
  <c r="CT117" i="16"/>
  <c r="FP117" i="16"/>
  <c r="EO117" i="16"/>
  <c r="DN117" i="16"/>
  <c r="FI117" i="16"/>
  <c r="EH117" i="16"/>
  <c r="DH117" i="16"/>
  <c r="GC117" i="16"/>
  <c r="FB117" i="16"/>
  <c r="EB117" i="16"/>
  <c r="DA117" i="16"/>
  <c r="C117" i="16"/>
  <c r="I117" i="16" a="1"/>
  <c r="I117" i="16" s="1"/>
  <c r="BF117" i="16" l="1"/>
  <c r="GE118" i="16"/>
  <c r="FZ118" i="16"/>
  <c r="FU118" i="16"/>
  <c r="FP118" i="16"/>
  <c r="FK118" i="16"/>
  <c r="FF118" i="16"/>
  <c r="FA118" i="16"/>
  <c r="EV118" i="16"/>
  <c r="EQ118" i="16"/>
  <c r="EL118" i="16"/>
  <c r="EG118" i="16"/>
  <c r="EB118" i="16"/>
  <c r="DW118" i="16"/>
  <c r="DR118" i="16"/>
  <c r="DM118" i="16"/>
  <c r="DH118" i="16"/>
  <c r="DC118" i="16"/>
  <c r="CX118" i="16"/>
  <c r="CS118" i="16"/>
  <c r="F118" i="16"/>
  <c r="GH118" i="16"/>
  <c r="GB118" i="16"/>
  <c r="FV118" i="16"/>
  <c r="FN118" i="16"/>
  <c r="FH118" i="16"/>
  <c r="FB118" i="16"/>
  <c r="ET118" i="16"/>
  <c r="EN118" i="16"/>
  <c r="EH118" i="16"/>
  <c r="DZ118" i="16"/>
  <c r="DT118" i="16"/>
  <c r="DN118" i="16"/>
  <c r="DF118" i="16"/>
  <c r="CZ118" i="16"/>
  <c r="CT118" i="16"/>
  <c r="H118" i="16"/>
  <c r="C118" i="16"/>
  <c r="B119" i="16"/>
  <c r="GG118" i="16"/>
  <c r="GA118" i="16"/>
  <c r="FS118" i="16"/>
  <c r="FM118" i="16"/>
  <c r="FG118" i="16"/>
  <c r="EY118" i="16"/>
  <c r="ES118" i="16"/>
  <c r="EM118" i="16"/>
  <c r="EE118" i="16"/>
  <c r="DY118" i="16"/>
  <c r="DS118" i="16"/>
  <c r="DK118" i="16"/>
  <c r="DE118" i="16"/>
  <c r="CY118" i="16"/>
  <c r="G118" i="16"/>
  <c r="GF118" i="16"/>
  <c r="FX118" i="16"/>
  <c r="FR118" i="16"/>
  <c r="FL118" i="16"/>
  <c r="FD118" i="16"/>
  <c r="EX118" i="16"/>
  <c r="ER118" i="16"/>
  <c r="EJ118" i="16"/>
  <c r="ED118" i="16"/>
  <c r="DX118" i="16"/>
  <c r="DP118" i="16"/>
  <c r="DJ118" i="16"/>
  <c r="DD118" i="16"/>
  <c r="CV118" i="16"/>
  <c r="E118" i="16"/>
  <c r="AH118" i="16" s="1"/>
  <c r="AX118" i="16" s="1"/>
  <c r="GC118" i="16"/>
  <c r="FC118" i="16"/>
  <c r="EC118" i="16"/>
  <c r="DA118" i="16"/>
  <c r="FW118" i="16"/>
  <c r="EW118" i="16"/>
  <c r="DU118" i="16"/>
  <c r="CU118" i="16"/>
  <c r="FQ118" i="16"/>
  <c r="EO118" i="16"/>
  <c r="DO118" i="16"/>
  <c r="FI118" i="16"/>
  <c r="EI118" i="16"/>
  <c r="DI118" i="16"/>
  <c r="D118" i="16"/>
  <c r="U117" i="16"/>
  <c r="AB117" i="16"/>
  <c r="AS117" i="16"/>
  <c r="AR117" i="16"/>
  <c r="AC117" i="16"/>
  <c r="JX118" i="16"/>
  <c r="JS118" i="16"/>
  <c r="JN118" i="16"/>
  <c r="JI118" i="16"/>
  <c r="JD118" i="16"/>
  <c r="IY118" i="16"/>
  <c r="IT118" i="16"/>
  <c r="IO118" i="16"/>
  <c r="IJ118" i="16"/>
  <c r="IE118" i="16"/>
  <c r="HZ118" i="16"/>
  <c r="HU118" i="16"/>
  <c r="HP118" i="16"/>
  <c r="HK118" i="16"/>
  <c r="HF118" i="16"/>
  <c r="HA118" i="16"/>
  <c r="GV118" i="16"/>
  <c r="GQ118" i="16"/>
  <c r="GL118" i="16"/>
  <c r="N118" i="16"/>
  <c r="AP118" i="16" s="1"/>
  <c r="JZ118" i="16"/>
  <c r="JT118" i="16"/>
  <c r="JL118" i="16"/>
  <c r="JF118" i="16"/>
  <c r="IZ118" i="16"/>
  <c r="IR118" i="16"/>
  <c r="IL118" i="16"/>
  <c r="IF118" i="16"/>
  <c r="HX118" i="16"/>
  <c r="HR118" i="16"/>
  <c r="HL118" i="16"/>
  <c r="HD118" i="16"/>
  <c r="GX118" i="16"/>
  <c r="GR118" i="16"/>
  <c r="M118" i="16"/>
  <c r="JY118" i="16"/>
  <c r="JQ118" i="16"/>
  <c r="JK118" i="16"/>
  <c r="JE118" i="16"/>
  <c r="IW118" i="16"/>
  <c r="IQ118" i="16"/>
  <c r="IK118" i="16"/>
  <c r="IC118" i="16"/>
  <c r="HW118" i="16"/>
  <c r="HQ118" i="16"/>
  <c r="HI118" i="16"/>
  <c r="HC118" i="16"/>
  <c r="GW118" i="16"/>
  <c r="GO118" i="16"/>
  <c r="Q118" i="16"/>
  <c r="L118" i="16"/>
  <c r="K119" i="16"/>
  <c r="JV118" i="16"/>
  <c r="JP118" i="16"/>
  <c r="JJ118" i="16"/>
  <c r="JB118" i="16"/>
  <c r="IV118" i="16"/>
  <c r="IP118" i="16"/>
  <c r="IH118" i="16"/>
  <c r="IB118" i="16"/>
  <c r="HV118" i="16"/>
  <c r="HN118" i="16"/>
  <c r="HH118" i="16"/>
  <c r="HB118" i="16"/>
  <c r="GT118" i="16"/>
  <c r="GN118" i="16"/>
  <c r="P118" i="16"/>
  <c r="JG118" i="16"/>
  <c r="IG118" i="16"/>
  <c r="HG118" i="16"/>
  <c r="KA118" i="16"/>
  <c r="JA118" i="16"/>
  <c r="IA118" i="16"/>
  <c r="GY118" i="16"/>
  <c r="JU118" i="16"/>
  <c r="IU118" i="16"/>
  <c r="HS118" i="16"/>
  <c r="GS118" i="16"/>
  <c r="JO118" i="16"/>
  <c r="IM118" i="16"/>
  <c r="HM118" i="16"/>
  <c r="GM118" i="16"/>
  <c r="JZ119" i="16" l="1"/>
  <c r="JU119" i="16"/>
  <c r="JP119" i="16"/>
  <c r="JK119" i="16"/>
  <c r="JF119" i="16"/>
  <c r="JA119" i="16"/>
  <c r="IV119" i="16"/>
  <c r="IQ119" i="16"/>
  <c r="IL119" i="16"/>
  <c r="IG119" i="16"/>
  <c r="IB119" i="16"/>
  <c r="HW119" i="16"/>
  <c r="HR119" i="16"/>
  <c r="HM119" i="16"/>
  <c r="HH119" i="16"/>
  <c r="HC119" i="16"/>
  <c r="GX119" i="16"/>
  <c r="GS119" i="16"/>
  <c r="GN119" i="16"/>
  <c r="P119" i="16"/>
  <c r="L119" i="16"/>
  <c r="BF119" i="16" s="1"/>
  <c r="KA119" i="16"/>
  <c r="JT119" i="16"/>
  <c r="JN119" i="16"/>
  <c r="JG119" i="16"/>
  <c r="IZ119" i="16"/>
  <c r="IT119" i="16"/>
  <c r="IM119" i="16"/>
  <c r="IF119" i="16"/>
  <c r="HZ119" i="16"/>
  <c r="HS119" i="16"/>
  <c r="HL119" i="16"/>
  <c r="HF119" i="16"/>
  <c r="GY119" i="16"/>
  <c r="GR119" i="16"/>
  <c r="GL119" i="16"/>
  <c r="N119" i="16"/>
  <c r="AP119" i="16" s="1"/>
  <c r="JY119" i="16"/>
  <c r="JS119" i="16"/>
  <c r="JL119" i="16"/>
  <c r="JE119" i="16"/>
  <c r="IY119" i="16"/>
  <c r="IR119" i="16"/>
  <c r="IK119" i="16"/>
  <c r="IE119" i="16"/>
  <c r="HX119" i="16"/>
  <c r="HQ119" i="16"/>
  <c r="HK119" i="16"/>
  <c r="HD119" i="16"/>
  <c r="GW119" i="16"/>
  <c r="GQ119" i="16"/>
  <c r="M119" i="16"/>
  <c r="JX119" i="16"/>
  <c r="JQ119" i="16"/>
  <c r="JJ119" i="16"/>
  <c r="JD119" i="16"/>
  <c r="IW119" i="16"/>
  <c r="IP119" i="16"/>
  <c r="IJ119" i="16"/>
  <c r="IC119" i="16"/>
  <c r="HV119" i="16"/>
  <c r="HP119" i="16"/>
  <c r="HI119" i="16"/>
  <c r="HB119" i="16"/>
  <c r="GV119" i="16"/>
  <c r="GO119" i="16"/>
  <c r="Q119" i="16"/>
  <c r="JV119" i="16"/>
  <c r="IU119" i="16"/>
  <c r="HU119" i="16"/>
  <c r="GT119" i="16"/>
  <c r="K120" i="16"/>
  <c r="JO119" i="16"/>
  <c r="IO119" i="16"/>
  <c r="HN119" i="16"/>
  <c r="GM119" i="16"/>
  <c r="JI119" i="16"/>
  <c r="IH119" i="16"/>
  <c r="HG119" i="16"/>
  <c r="JB119" i="16"/>
  <c r="IA119" i="16"/>
  <c r="HA119" i="16"/>
  <c r="I119" i="16" a="1"/>
  <c r="I119" i="16" s="1"/>
  <c r="W117" i="16"/>
  <c r="Z117" i="16"/>
  <c r="Y117" i="16"/>
  <c r="X117" i="16"/>
  <c r="V117" i="16"/>
  <c r="BF118" i="16"/>
  <c r="B120" i="16"/>
  <c r="GG119" i="16"/>
  <c r="GB119" i="16"/>
  <c r="FW119" i="16"/>
  <c r="FR119" i="16"/>
  <c r="FM119" i="16"/>
  <c r="FH119" i="16"/>
  <c r="FC119" i="16"/>
  <c r="EX119" i="16"/>
  <c r="ES119" i="16"/>
  <c r="EN119" i="16"/>
  <c r="EI119" i="16"/>
  <c r="ED119" i="16"/>
  <c r="DY119" i="16"/>
  <c r="DT119" i="16"/>
  <c r="DO119" i="16"/>
  <c r="DJ119" i="16"/>
  <c r="DE119" i="16"/>
  <c r="CZ119" i="16"/>
  <c r="CU119" i="16"/>
  <c r="H119" i="16"/>
  <c r="D119" i="16"/>
  <c r="GC119" i="16"/>
  <c r="FV119" i="16"/>
  <c r="FP119" i="16"/>
  <c r="FI119" i="16"/>
  <c r="FB119" i="16"/>
  <c r="EV119" i="16"/>
  <c r="EO119" i="16"/>
  <c r="EH119" i="16"/>
  <c r="EB119" i="16"/>
  <c r="DU119" i="16"/>
  <c r="DN119" i="16"/>
  <c r="DH119" i="16"/>
  <c r="DA119" i="16"/>
  <c r="CT119" i="16"/>
  <c r="C119" i="16"/>
  <c r="GH119" i="16"/>
  <c r="GA119" i="16"/>
  <c r="FU119" i="16"/>
  <c r="FN119" i="16"/>
  <c r="FG119" i="16"/>
  <c r="FA119" i="16"/>
  <c r="ET119" i="16"/>
  <c r="EM119" i="16"/>
  <c r="EG119" i="16"/>
  <c r="DZ119" i="16"/>
  <c r="DS119" i="16"/>
  <c r="DM119" i="16"/>
  <c r="DF119" i="16"/>
  <c r="CY119" i="16"/>
  <c r="CS119" i="16"/>
  <c r="G119" i="16"/>
  <c r="GF119" i="16"/>
  <c r="FZ119" i="16"/>
  <c r="FS119" i="16"/>
  <c r="FL119" i="16"/>
  <c r="FF119" i="16"/>
  <c r="EY119" i="16"/>
  <c r="ER119" i="16"/>
  <c r="EL119" i="16"/>
  <c r="EE119" i="16"/>
  <c r="DX119" i="16"/>
  <c r="DR119" i="16"/>
  <c r="DK119" i="16"/>
  <c r="DD119" i="16"/>
  <c r="CX119" i="16"/>
  <c r="F119" i="16"/>
  <c r="FQ119" i="16"/>
  <c r="EQ119" i="16"/>
  <c r="DP119" i="16"/>
  <c r="E119" i="16"/>
  <c r="AH119" i="16" s="1"/>
  <c r="AX119" i="16" s="1"/>
  <c r="FK119" i="16"/>
  <c r="EJ119" i="16"/>
  <c r="DI119" i="16"/>
  <c r="GE119" i="16"/>
  <c r="FD119" i="16"/>
  <c r="EC119" i="16"/>
  <c r="DC119" i="16"/>
  <c r="FX119" i="16"/>
  <c r="EW119" i="16"/>
  <c r="DW119" i="16"/>
  <c r="CV119" i="16"/>
  <c r="U118" i="16"/>
  <c r="AR118" i="16"/>
  <c r="AS118" i="16"/>
  <c r="AB118" i="16"/>
  <c r="AC118" i="16"/>
  <c r="I120" i="16" l="1" a="1"/>
  <c r="I120" i="16" s="1"/>
  <c r="JX120" i="16"/>
  <c r="JS120" i="16"/>
  <c r="JN120" i="16"/>
  <c r="JI120" i="16"/>
  <c r="JD120" i="16"/>
  <c r="IY120" i="16"/>
  <c r="IT120" i="16"/>
  <c r="IO120" i="16"/>
  <c r="IJ120" i="16"/>
  <c r="IE120" i="16"/>
  <c r="HZ120" i="16"/>
  <c r="HU120" i="16"/>
  <c r="HP120" i="16"/>
  <c r="HK120" i="16"/>
  <c r="HF120" i="16"/>
  <c r="HA120" i="16"/>
  <c r="GV120" i="16"/>
  <c r="GQ120" i="16"/>
  <c r="GL120" i="16"/>
  <c r="N120" i="16"/>
  <c r="AP120" i="16" s="1"/>
  <c r="KA120" i="16"/>
  <c r="JU120" i="16"/>
  <c r="JO120" i="16"/>
  <c r="JG120" i="16"/>
  <c r="JA120" i="16"/>
  <c r="IU120" i="16"/>
  <c r="IM120" i="16"/>
  <c r="IG120" i="16"/>
  <c r="IA120" i="16"/>
  <c r="HS120" i="16"/>
  <c r="HM120" i="16"/>
  <c r="HG120" i="16"/>
  <c r="GY120" i="16"/>
  <c r="GS120" i="16"/>
  <c r="GM120" i="16"/>
  <c r="JZ120" i="16"/>
  <c r="JT120" i="16"/>
  <c r="JL120" i="16"/>
  <c r="JF120" i="16"/>
  <c r="IZ120" i="16"/>
  <c r="IR120" i="16"/>
  <c r="IL120" i="16"/>
  <c r="IF120" i="16"/>
  <c r="HX120" i="16"/>
  <c r="HR120" i="16"/>
  <c r="HL120" i="16"/>
  <c r="HD120" i="16"/>
  <c r="GX120" i="16"/>
  <c r="GR120" i="16"/>
  <c r="M120" i="16"/>
  <c r="JY120" i="16"/>
  <c r="JQ120" i="16"/>
  <c r="JK120" i="16"/>
  <c r="JE120" i="16"/>
  <c r="IW120" i="16"/>
  <c r="IQ120" i="16"/>
  <c r="IK120" i="16"/>
  <c r="IC120" i="16"/>
  <c r="HW120" i="16"/>
  <c r="HQ120" i="16"/>
  <c r="HI120" i="16"/>
  <c r="HC120" i="16"/>
  <c r="GW120" i="16"/>
  <c r="GO120" i="16"/>
  <c r="Q120" i="16"/>
  <c r="L120" i="16"/>
  <c r="JB120" i="16"/>
  <c r="IB120" i="16"/>
  <c r="HB120" i="16"/>
  <c r="JV120" i="16"/>
  <c r="IV120" i="16"/>
  <c r="HV120" i="16"/>
  <c r="GT120" i="16"/>
  <c r="K121" i="16"/>
  <c r="JP120" i="16"/>
  <c r="IP120" i="16"/>
  <c r="HN120" i="16"/>
  <c r="GN120" i="16"/>
  <c r="JJ120" i="16"/>
  <c r="IH120" i="16"/>
  <c r="HH120" i="16"/>
  <c r="P120" i="16"/>
  <c r="Y118" i="16"/>
  <c r="V118" i="16"/>
  <c r="Z118" i="16"/>
  <c r="X118" i="16"/>
  <c r="W118" i="16"/>
  <c r="U119" i="16"/>
  <c r="GE120" i="16"/>
  <c r="FZ120" i="16"/>
  <c r="FU120" i="16"/>
  <c r="FP120" i="16"/>
  <c r="FK120" i="16"/>
  <c r="FF120" i="16"/>
  <c r="FA120" i="16"/>
  <c r="EV120" i="16"/>
  <c r="EQ120" i="16"/>
  <c r="EL120" i="16"/>
  <c r="EG120" i="16"/>
  <c r="EB120" i="16"/>
  <c r="DW120" i="16"/>
  <c r="DR120" i="16"/>
  <c r="DM120" i="16"/>
  <c r="DH120" i="16"/>
  <c r="DC120" i="16"/>
  <c r="CX120" i="16"/>
  <c r="CS120" i="16"/>
  <c r="F120" i="16"/>
  <c r="GC120" i="16"/>
  <c r="FW120" i="16"/>
  <c r="FQ120" i="16"/>
  <c r="FI120" i="16"/>
  <c r="FC120" i="16"/>
  <c r="EW120" i="16"/>
  <c r="EO120" i="16"/>
  <c r="EI120" i="16"/>
  <c r="EC120" i="16"/>
  <c r="DU120" i="16"/>
  <c r="DO120" i="16"/>
  <c r="DI120" i="16"/>
  <c r="DA120" i="16"/>
  <c r="CU120" i="16"/>
  <c r="D120" i="16"/>
  <c r="GH120" i="16"/>
  <c r="GB120" i="16"/>
  <c r="FV120" i="16"/>
  <c r="FN120" i="16"/>
  <c r="FH120" i="16"/>
  <c r="FB120" i="16"/>
  <c r="ET120" i="16"/>
  <c r="EN120" i="16"/>
  <c r="EH120" i="16"/>
  <c r="DZ120" i="16"/>
  <c r="DT120" i="16"/>
  <c r="DN120" i="16"/>
  <c r="DF120" i="16"/>
  <c r="CZ120" i="16"/>
  <c r="CT120" i="16"/>
  <c r="H120" i="16"/>
  <c r="C120" i="16"/>
  <c r="B121" i="16"/>
  <c r="GG120" i="16"/>
  <c r="GA120" i="16"/>
  <c r="FS120" i="16"/>
  <c r="FM120" i="16"/>
  <c r="FG120" i="16"/>
  <c r="EY120" i="16"/>
  <c r="ES120" i="16"/>
  <c r="EM120" i="16"/>
  <c r="EE120" i="16"/>
  <c r="DY120" i="16"/>
  <c r="DS120" i="16"/>
  <c r="DK120" i="16"/>
  <c r="DE120" i="16"/>
  <c r="CY120" i="16"/>
  <c r="G120" i="16"/>
  <c r="FX120" i="16"/>
  <c r="EX120" i="16"/>
  <c r="DX120" i="16"/>
  <c r="CV120" i="16"/>
  <c r="FR120" i="16"/>
  <c r="ER120" i="16"/>
  <c r="DP120" i="16"/>
  <c r="FL120" i="16"/>
  <c r="EJ120" i="16"/>
  <c r="DJ120" i="16"/>
  <c r="E120" i="16"/>
  <c r="AH120" i="16" s="1"/>
  <c r="AX120" i="16" s="1"/>
  <c r="GF120" i="16"/>
  <c r="FD120" i="16"/>
  <c r="ED120" i="16"/>
  <c r="DD120" i="16"/>
  <c r="BF120" i="16"/>
  <c r="AB119" i="16"/>
  <c r="AC119" i="16"/>
  <c r="AS119" i="16"/>
  <c r="AR119" i="16"/>
  <c r="U120" i="16" l="1"/>
  <c r="B122" i="16"/>
  <c r="GG121" i="16"/>
  <c r="GB121" i="16"/>
  <c r="FW121" i="16"/>
  <c r="FR121" i="16"/>
  <c r="FM121" i="16"/>
  <c r="FH121" i="16"/>
  <c r="FC121" i="16"/>
  <c r="EX121" i="16"/>
  <c r="ES121" i="16"/>
  <c r="EN121" i="16"/>
  <c r="EI121" i="16"/>
  <c r="ED121" i="16"/>
  <c r="DY121" i="16"/>
  <c r="DT121" i="16"/>
  <c r="DO121" i="16"/>
  <c r="DJ121" i="16"/>
  <c r="DE121" i="16"/>
  <c r="CZ121" i="16"/>
  <c r="CU121" i="16"/>
  <c r="H121" i="16"/>
  <c r="D121" i="16"/>
  <c r="GE121" i="16"/>
  <c r="FX121" i="16"/>
  <c r="FQ121" i="16"/>
  <c r="FK121" i="16"/>
  <c r="FD121" i="16"/>
  <c r="EW121" i="16"/>
  <c r="EQ121" i="16"/>
  <c r="EJ121" i="16"/>
  <c r="EC121" i="16"/>
  <c r="DW121" i="16"/>
  <c r="DP121" i="16"/>
  <c r="DI121" i="16"/>
  <c r="DC121" i="16"/>
  <c r="CV121" i="16"/>
  <c r="E121" i="16"/>
  <c r="AH121" i="16" s="1"/>
  <c r="AX121" i="16" s="1"/>
  <c r="GC121" i="16"/>
  <c r="FV121" i="16"/>
  <c r="FP121" i="16"/>
  <c r="FI121" i="16"/>
  <c r="FB121" i="16"/>
  <c r="EV121" i="16"/>
  <c r="EO121" i="16"/>
  <c r="EH121" i="16"/>
  <c r="EB121" i="16"/>
  <c r="DU121" i="16"/>
  <c r="DN121" i="16"/>
  <c r="DH121" i="16"/>
  <c r="DA121" i="16"/>
  <c r="CT121" i="16"/>
  <c r="C121" i="16"/>
  <c r="GH121" i="16"/>
  <c r="GA121" i="16"/>
  <c r="FU121" i="16"/>
  <c r="FN121" i="16"/>
  <c r="FG121" i="16"/>
  <c r="FA121" i="16"/>
  <c r="ET121" i="16"/>
  <c r="EM121" i="16"/>
  <c r="EG121" i="16"/>
  <c r="DZ121" i="16"/>
  <c r="DS121" i="16"/>
  <c r="DM121" i="16"/>
  <c r="DF121" i="16"/>
  <c r="CY121" i="16"/>
  <c r="CS121" i="16"/>
  <c r="G121" i="16"/>
  <c r="GF121" i="16"/>
  <c r="FF121" i="16"/>
  <c r="EE121" i="16"/>
  <c r="DD121" i="16"/>
  <c r="FZ121" i="16"/>
  <c r="EY121" i="16"/>
  <c r="DX121" i="16"/>
  <c r="CX121" i="16"/>
  <c r="FS121" i="16"/>
  <c r="ER121" i="16"/>
  <c r="DR121" i="16"/>
  <c r="FL121" i="16"/>
  <c r="EL121" i="16"/>
  <c r="DK121" i="16"/>
  <c r="F121" i="16"/>
  <c r="JZ121" i="16"/>
  <c r="JU121" i="16"/>
  <c r="JP121" i="16"/>
  <c r="JK121" i="16"/>
  <c r="JF121" i="16"/>
  <c r="JA121" i="16"/>
  <c r="IV121" i="16"/>
  <c r="IQ121" i="16"/>
  <c r="IL121" i="16"/>
  <c r="IG121" i="16"/>
  <c r="IB121" i="16"/>
  <c r="HW121" i="16"/>
  <c r="HR121" i="16"/>
  <c r="HM121" i="16"/>
  <c r="HH121" i="16"/>
  <c r="HC121" i="16"/>
  <c r="GX121" i="16"/>
  <c r="GS121" i="16"/>
  <c r="GN121" i="16"/>
  <c r="P121" i="16"/>
  <c r="L121" i="16"/>
  <c r="K122" i="16"/>
  <c r="JV121" i="16"/>
  <c r="JO121" i="16"/>
  <c r="JI121" i="16"/>
  <c r="JB121" i="16"/>
  <c r="IU121" i="16"/>
  <c r="IO121" i="16"/>
  <c r="IH121" i="16"/>
  <c r="IA121" i="16"/>
  <c r="HU121" i="16"/>
  <c r="HN121" i="16"/>
  <c r="HG121" i="16"/>
  <c r="HA121" i="16"/>
  <c r="GT121" i="16"/>
  <c r="GM121" i="16"/>
  <c r="KA121" i="16"/>
  <c r="JT121" i="16"/>
  <c r="JN121" i="16"/>
  <c r="JG121" i="16"/>
  <c r="IZ121" i="16"/>
  <c r="IT121" i="16"/>
  <c r="IM121" i="16"/>
  <c r="IF121" i="16"/>
  <c r="HZ121" i="16"/>
  <c r="HS121" i="16"/>
  <c r="HL121" i="16"/>
  <c r="HF121" i="16"/>
  <c r="GY121" i="16"/>
  <c r="GR121" i="16"/>
  <c r="GL121" i="16"/>
  <c r="N121" i="16"/>
  <c r="AP121" i="16" s="1"/>
  <c r="JY121" i="16"/>
  <c r="JS121" i="16"/>
  <c r="JL121" i="16"/>
  <c r="JE121" i="16"/>
  <c r="IY121" i="16"/>
  <c r="IR121" i="16"/>
  <c r="IK121" i="16"/>
  <c r="IE121" i="16"/>
  <c r="HX121" i="16"/>
  <c r="HQ121" i="16"/>
  <c r="HK121" i="16"/>
  <c r="HD121" i="16"/>
  <c r="GW121" i="16"/>
  <c r="GQ121" i="16"/>
  <c r="M121" i="16"/>
  <c r="JJ121" i="16"/>
  <c r="IJ121" i="16"/>
  <c r="HI121" i="16"/>
  <c r="Q121" i="16"/>
  <c r="JD121" i="16"/>
  <c r="IC121" i="16"/>
  <c r="HB121" i="16"/>
  <c r="JX121" i="16"/>
  <c r="IW121" i="16"/>
  <c r="HV121" i="16"/>
  <c r="GV121" i="16"/>
  <c r="JQ121" i="16"/>
  <c r="IP121" i="16"/>
  <c r="HP121" i="16"/>
  <c r="GO121" i="16"/>
  <c r="I121" i="16" a="1"/>
  <c r="I121" i="16" s="1"/>
  <c r="I122" i="16" a="1"/>
  <c r="I122" i="16" s="1"/>
  <c r="AR120" i="16"/>
  <c r="AC120" i="16"/>
  <c r="AS120" i="16"/>
  <c r="AB120" i="16"/>
  <c r="BF121" i="16"/>
  <c r="W119" i="16"/>
  <c r="V119" i="16"/>
  <c r="Z119" i="16"/>
  <c r="Y119" i="16"/>
  <c r="X119" i="16"/>
  <c r="AB121" i="16" l="1"/>
  <c r="AC121" i="16"/>
  <c r="AS121" i="16"/>
  <c r="AR121" i="16"/>
  <c r="GE122" i="16"/>
  <c r="FZ122" i="16"/>
  <c r="FU122" i="16"/>
  <c r="FP122" i="16"/>
  <c r="FK122" i="16"/>
  <c r="FF122" i="16"/>
  <c r="FA122" i="16"/>
  <c r="EV122" i="16"/>
  <c r="EQ122" i="16"/>
  <c r="EL122" i="16"/>
  <c r="EG122" i="16"/>
  <c r="EB122" i="16"/>
  <c r="DW122" i="16"/>
  <c r="DR122" i="16"/>
  <c r="DM122" i="16"/>
  <c r="DH122" i="16"/>
  <c r="DC122" i="16"/>
  <c r="CX122" i="16"/>
  <c r="CS122" i="16"/>
  <c r="F122" i="16"/>
  <c r="GF122" i="16"/>
  <c r="FX122" i="16"/>
  <c r="FR122" i="16"/>
  <c r="FL122" i="16"/>
  <c r="FD122" i="16"/>
  <c r="EX122" i="16"/>
  <c r="ER122" i="16"/>
  <c r="EJ122" i="16"/>
  <c r="ED122" i="16"/>
  <c r="DX122" i="16"/>
  <c r="DP122" i="16"/>
  <c r="DJ122" i="16"/>
  <c r="DD122" i="16"/>
  <c r="CV122" i="16"/>
  <c r="E122" i="16"/>
  <c r="AH122" i="16" s="1"/>
  <c r="AX122" i="16" s="1"/>
  <c r="GC122" i="16"/>
  <c r="FW122" i="16"/>
  <c r="FQ122" i="16"/>
  <c r="FI122" i="16"/>
  <c r="FC122" i="16"/>
  <c r="EW122" i="16"/>
  <c r="EO122" i="16"/>
  <c r="EI122" i="16"/>
  <c r="EC122" i="16"/>
  <c r="DU122" i="16"/>
  <c r="DO122" i="16"/>
  <c r="DI122" i="16"/>
  <c r="DA122" i="16"/>
  <c r="CU122" i="16"/>
  <c r="D122" i="16"/>
  <c r="GH122" i="16"/>
  <c r="GB122" i="16"/>
  <c r="FV122" i="16"/>
  <c r="FN122" i="16"/>
  <c r="FH122" i="16"/>
  <c r="FB122" i="16"/>
  <c r="ET122" i="16"/>
  <c r="EN122" i="16"/>
  <c r="EH122" i="16"/>
  <c r="DZ122" i="16"/>
  <c r="DT122" i="16"/>
  <c r="DN122" i="16"/>
  <c r="DF122" i="16"/>
  <c r="CZ122" i="16"/>
  <c r="CT122" i="16"/>
  <c r="H122" i="16"/>
  <c r="C122" i="16"/>
  <c r="FM122" i="16"/>
  <c r="EM122" i="16"/>
  <c r="DK122" i="16"/>
  <c r="G122" i="16"/>
  <c r="GG122" i="16"/>
  <c r="FG122" i="16"/>
  <c r="EE122" i="16"/>
  <c r="DE122" i="16"/>
  <c r="B123" i="16"/>
  <c r="GA122" i="16"/>
  <c r="EY122" i="16"/>
  <c r="DY122" i="16"/>
  <c r="CY122" i="16"/>
  <c r="FS122" i="16"/>
  <c r="ES122" i="16"/>
  <c r="DS122" i="16"/>
  <c r="Y120" i="16"/>
  <c r="W120" i="16"/>
  <c r="V120" i="16"/>
  <c r="Z120" i="16"/>
  <c r="X120" i="16"/>
  <c r="JX122" i="16"/>
  <c r="JS122" i="16"/>
  <c r="JN122" i="16"/>
  <c r="JI122" i="16"/>
  <c r="JD122" i="16"/>
  <c r="IY122" i="16"/>
  <c r="IT122" i="16"/>
  <c r="IO122" i="16"/>
  <c r="IJ122" i="16"/>
  <c r="IE122" i="16"/>
  <c r="HZ122" i="16"/>
  <c r="HU122" i="16"/>
  <c r="HP122" i="16"/>
  <c r="HK122" i="16"/>
  <c r="HF122" i="16"/>
  <c r="HA122" i="16"/>
  <c r="GV122" i="16"/>
  <c r="GQ122" i="16"/>
  <c r="GL122" i="16"/>
  <c r="N122" i="16"/>
  <c r="AP122" i="16" s="1"/>
  <c r="K123" i="16"/>
  <c r="JV122" i="16"/>
  <c r="JP122" i="16"/>
  <c r="JJ122" i="16"/>
  <c r="JB122" i="16"/>
  <c r="IV122" i="16"/>
  <c r="IP122" i="16"/>
  <c r="IH122" i="16"/>
  <c r="IB122" i="16"/>
  <c r="HV122" i="16"/>
  <c r="HN122" i="16"/>
  <c r="HH122" i="16"/>
  <c r="HB122" i="16"/>
  <c r="GT122" i="16"/>
  <c r="GN122" i="16"/>
  <c r="P122" i="16"/>
  <c r="KA122" i="16"/>
  <c r="JU122" i="16"/>
  <c r="JO122" i="16"/>
  <c r="JG122" i="16"/>
  <c r="JA122" i="16"/>
  <c r="IU122" i="16"/>
  <c r="IM122" i="16"/>
  <c r="IG122" i="16"/>
  <c r="IA122" i="16"/>
  <c r="HS122" i="16"/>
  <c r="HM122" i="16"/>
  <c r="HG122" i="16"/>
  <c r="GY122" i="16"/>
  <c r="GS122" i="16"/>
  <c r="GM122" i="16"/>
  <c r="JZ122" i="16"/>
  <c r="JT122" i="16"/>
  <c r="JL122" i="16"/>
  <c r="JF122" i="16"/>
  <c r="IZ122" i="16"/>
  <c r="IR122" i="16"/>
  <c r="IL122" i="16"/>
  <c r="IF122" i="16"/>
  <c r="HX122" i="16"/>
  <c r="HR122" i="16"/>
  <c r="HL122" i="16"/>
  <c r="HD122" i="16"/>
  <c r="GX122" i="16"/>
  <c r="GR122" i="16"/>
  <c r="M122" i="16"/>
  <c r="JQ122" i="16"/>
  <c r="IQ122" i="16"/>
  <c r="HQ122" i="16"/>
  <c r="GO122" i="16"/>
  <c r="JK122" i="16"/>
  <c r="IK122" i="16"/>
  <c r="HI122" i="16"/>
  <c r="Q122" i="16"/>
  <c r="JE122" i="16"/>
  <c r="IC122" i="16"/>
  <c r="HC122" i="16"/>
  <c r="JY122" i="16"/>
  <c r="IW122" i="16"/>
  <c r="HW122" i="16"/>
  <c r="GW122" i="16"/>
  <c r="L122" i="16"/>
  <c r="U121" i="16"/>
  <c r="I123" i="16" l="1" a="1"/>
  <c r="I123" i="16" s="1"/>
  <c r="W121" i="16"/>
  <c r="X121" i="16"/>
  <c r="V121" i="16"/>
  <c r="Z121" i="16"/>
  <c r="Y121" i="16"/>
  <c r="AR122" i="16"/>
  <c r="AC122" i="16"/>
  <c r="AS122" i="16"/>
  <c r="AB122" i="16"/>
  <c r="K124" i="16"/>
  <c r="KA123" i="16"/>
  <c r="JV123" i="16"/>
  <c r="JQ123" i="16"/>
  <c r="JL123" i="16"/>
  <c r="JG123" i="16"/>
  <c r="JB123" i="16"/>
  <c r="IW123" i="16"/>
  <c r="IR123" i="16"/>
  <c r="IM123" i="16"/>
  <c r="IH123" i="16"/>
  <c r="IC123" i="16"/>
  <c r="HX123" i="16"/>
  <c r="HS123" i="16"/>
  <c r="HN123" i="16"/>
  <c r="HI123" i="16"/>
  <c r="HD123" i="16"/>
  <c r="GY123" i="16"/>
  <c r="GT123" i="16"/>
  <c r="GO123" i="16"/>
  <c r="P123" i="16"/>
  <c r="L123" i="16"/>
  <c r="JY123" i="16"/>
  <c r="JS123" i="16"/>
  <c r="JK123" i="16"/>
  <c r="JE123" i="16"/>
  <c r="IY123" i="16"/>
  <c r="IQ123" i="16"/>
  <c r="IK123" i="16"/>
  <c r="IE123" i="16"/>
  <c r="HW123" i="16"/>
  <c r="HQ123" i="16"/>
  <c r="HK123" i="16"/>
  <c r="HC123" i="16"/>
  <c r="GW123" i="16"/>
  <c r="GQ123" i="16"/>
  <c r="Q123" i="16"/>
  <c r="JX123" i="16"/>
  <c r="JP123" i="16"/>
  <c r="JJ123" i="16"/>
  <c r="JD123" i="16"/>
  <c r="IV123" i="16"/>
  <c r="IP123" i="16"/>
  <c r="IJ123" i="16"/>
  <c r="IB123" i="16"/>
  <c r="HV123" i="16"/>
  <c r="HP123" i="16"/>
  <c r="HH123" i="16"/>
  <c r="HB123" i="16"/>
  <c r="GV123" i="16"/>
  <c r="GN123" i="16"/>
  <c r="JU123" i="16"/>
  <c r="JO123" i="16"/>
  <c r="JI123" i="16"/>
  <c r="JA123" i="16"/>
  <c r="IU123" i="16"/>
  <c r="IO123" i="16"/>
  <c r="IG123" i="16"/>
  <c r="IA123" i="16"/>
  <c r="HU123" i="16"/>
  <c r="HM123" i="16"/>
  <c r="HG123" i="16"/>
  <c r="HA123" i="16"/>
  <c r="GS123" i="16"/>
  <c r="GM123" i="16"/>
  <c r="N123" i="16"/>
  <c r="AP123" i="16" s="1"/>
  <c r="JT123" i="16"/>
  <c r="IT123" i="16"/>
  <c r="HR123" i="16"/>
  <c r="GR123" i="16"/>
  <c r="M123" i="16"/>
  <c r="JN123" i="16"/>
  <c r="IL123" i="16"/>
  <c r="HL123" i="16"/>
  <c r="GL123" i="16"/>
  <c r="JF123" i="16"/>
  <c r="IF123" i="16"/>
  <c r="HF123" i="16"/>
  <c r="JZ123" i="16"/>
  <c r="IZ123" i="16"/>
  <c r="HZ123" i="16"/>
  <c r="GX123" i="16"/>
  <c r="GH123" i="16"/>
  <c r="GC123" i="16"/>
  <c r="FX123" i="16"/>
  <c r="FS123" i="16"/>
  <c r="FN123" i="16"/>
  <c r="FI123" i="16"/>
  <c r="FD123" i="16"/>
  <c r="EY123" i="16"/>
  <c r="ET123" i="16"/>
  <c r="EO123" i="16"/>
  <c r="EJ123" i="16"/>
  <c r="EE123" i="16"/>
  <c r="DZ123" i="16"/>
  <c r="DU123" i="16"/>
  <c r="DP123" i="16"/>
  <c r="DK123" i="16"/>
  <c r="DF123" i="16"/>
  <c r="DA123" i="16"/>
  <c r="CV123" i="16"/>
  <c r="H123" i="16"/>
  <c r="D123" i="16"/>
  <c r="B124" i="16"/>
  <c r="GG123" i="16"/>
  <c r="GA123" i="16"/>
  <c r="FU123" i="16"/>
  <c r="FM123" i="16"/>
  <c r="FG123" i="16"/>
  <c r="FA123" i="16"/>
  <c r="ES123" i="16"/>
  <c r="EM123" i="16"/>
  <c r="EG123" i="16"/>
  <c r="DY123" i="16"/>
  <c r="DS123" i="16"/>
  <c r="DM123" i="16"/>
  <c r="DE123" i="16"/>
  <c r="CY123" i="16"/>
  <c r="CS123" i="16"/>
  <c r="F123" i="16"/>
  <c r="GF123" i="16"/>
  <c r="FZ123" i="16"/>
  <c r="FR123" i="16"/>
  <c r="FL123" i="16"/>
  <c r="FF123" i="16"/>
  <c r="EX123" i="16"/>
  <c r="ER123" i="16"/>
  <c r="EL123" i="16"/>
  <c r="ED123" i="16"/>
  <c r="DX123" i="16"/>
  <c r="DR123" i="16"/>
  <c r="DJ123" i="16"/>
  <c r="DD123" i="16"/>
  <c r="CX123" i="16"/>
  <c r="E123" i="16"/>
  <c r="AH123" i="16" s="1"/>
  <c r="AX123" i="16" s="1"/>
  <c r="GE123" i="16"/>
  <c r="FW123" i="16"/>
  <c r="FQ123" i="16"/>
  <c r="FK123" i="16"/>
  <c r="FC123" i="16"/>
  <c r="EW123" i="16"/>
  <c r="EQ123" i="16"/>
  <c r="EI123" i="16"/>
  <c r="EC123" i="16"/>
  <c r="DW123" i="16"/>
  <c r="DO123" i="16"/>
  <c r="DI123" i="16"/>
  <c r="DC123" i="16"/>
  <c r="CU123" i="16"/>
  <c r="C123" i="16"/>
  <c r="FP123" i="16"/>
  <c r="EN123" i="16"/>
  <c r="DN123" i="16"/>
  <c r="FH123" i="16"/>
  <c r="EH123" i="16"/>
  <c r="DH123" i="16"/>
  <c r="G123" i="16"/>
  <c r="GB123" i="16"/>
  <c r="FB123" i="16"/>
  <c r="EB123" i="16"/>
  <c r="CZ123" i="16"/>
  <c r="FV123" i="16"/>
  <c r="EV123" i="16"/>
  <c r="DT123" i="16"/>
  <c r="CT123" i="16"/>
  <c r="BF122" i="16"/>
  <c r="U122" i="16"/>
  <c r="Y122" i="16" l="1"/>
  <c r="X122" i="16"/>
  <c r="W122" i="16"/>
  <c r="V122" i="16"/>
  <c r="Z122" i="16"/>
  <c r="JZ124" i="16"/>
  <c r="JU124" i="16"/>
  <c r="JP124" i="16"/>
  <c r="JK124" i="16"/>
  <c r="JF124" i="16"/>
  <c r="JA124" i="16"/>
  <c r="IV124" i="16"/>
  <c r="IQ124" i="16"/>
  <c r="IL124" i="16"/>
  <c r="IG124" i="16"/>
  <c r="IB124" i="16"/>
  <c r="HW124" i="16"/>
  <c r="HR124" i="16"/>
  <c r="HM124" i="16"/>
  <c r="HH124" i="16"/>
  <c r="HC124" i="16"/>
  <c r="GX124" i="16"/>
  <c r="GS124" i="16"/>
  <c r="GN124" i="16"/>
  <c r="JY124" i="16"/>
  <c r="JS124" i="16"/>
  <c r="JL124" i="16"/>
  <c r="JE124" i="16"/>
  <c r="IY124" i="16"/>
  <c r="IR124" i="16"/>
  <c r="IK124" i="16"/>
  <c r="IE124" i="16"/>
  <c r="HX124" i="16"/>
  <c r="HQ124" i="16"/>
  <c r="HK124" i="16"/>
  <c r="HD124" i="16"/>
  <c r="GW124" i="16"/>
  <c r="GQ124" i="16"/>
  <c r="Q124" i="16"/>
  <c r="M124" i="16"/>
  <c r="JX124" i="16"/>
  <c r="JQ124" i="16"/>
  <c r="JJ124" i="16"/>
  <c r="JD124" i="16"/>
  <c r="IW124" i="16"/>
  <c r="IP124" i="16"/>
  <c r="IJ124" i="16"/>
  <c r="IC124" i="16"/>
  <c r="HV124" i="16"/>
  <c r="HP124" i="16"/>
  <c r="HI124" i="16"/>
  <c r="HB124" i="16"/>
  <c r="GV124" i="16"/>
  <c r="GO124" i="16"/>
  <c r="P124" i="16"/>
  <c r="L124" i="16"/>
  <c r="I125" i="16" s="1" a="1"/>
  <c r="I125" i="16" s="1"/>
  <c r="K125" i="16"/>
  <c r="JV124" i="16"/>
  <c r="JO124" i="16"/>
  <c r="JI124" i="16"/>
  <c r="JB124" i="16"/>
  <c r="IU124" i="16"/>
  <c r="IO124" i="16"/>
  <c r="IH124" i="16"/>
  <c r="IA124" i="16"/>
  <c r="HU124" i="16"/>
  <c r="HN124" i="16"/>
  <c r="HG124" i="16"/>
  <c r="HA124" i="16"/>
  <c r="GT124" i="16"/>
  <c r="GM124" i="16"/>
  <c r="JT124" i="16"/>
  <c r="IT124" i="16"/>
  <c r="HS124" i="16"/>
  <c r="GR124" i="16"/>
  <c r="N124" i="16"/>
  <c r="AP124" i="16" s="1"/>
  <c r="JN124" i="16"/>
  <c r="IM124" i="16"/>
  <c r="HL124" i="16"/>
  <c r="GL124" i="16"/>
  <c r="JG124" i="16"/>
  <c r="IF124" i="16"/>
  <c r="HF124" i="16"/>
  <c r="KA124" i="16"/>
  <c r="IZ124" i="16"/>
  <c r="HZ124" i="16"/>
  <c r="GY124" i="16"/>
  <c r="U123" i="16"/>
  <c r="B125" i="16"/>
  <c r="GG124" i="16"/>
  <c r="GB124" i="16"/>
  <c r="FW124" i="16"/>
  <c r="FR124" i="16"/>
  <c r="FM124" i="16"/>
  <c r="FH124" i="16"/>
  <c r="FC124" i="16"/>
  <c r="EX124" i="16"/>
  <c r="ES124" i="16"/>
  <c r="EN124" i="16"/>
  <c r="EI124" i="16"/>
  <c r="ED124" i="16"/>
  <c r="DY124" i="16"/>
  <c r="DT124" i="16"/>
  <c r="DO124" i="16"/>
  <c r="DJ124" i="16"/>
  <c r="DE124" i="16"/>
  <c r="CZ124" i="16"/>
  <c r="CU124" i="16"/>
  <c r="G124" i="16"/>
  <c r="C124" i="16"/>
  <c r="GH124" i="16"/>
  <c r="GA124" i="16"/>
  <c r="FU124" i="16"/>
  <c r="FN124" i="16"/>
  <c r="FG124" i="16"/>
  <c r="FA124" i="16"/>
  <c r="ET124" i="16"/>
  <c r="EM124" i="16"/>
  <c r="EG124" i="16"/>
  <c r="DZ124" i="16"/>
  <c r="DS124" i="16"/>
  <c r="DM124" i="16"/>
  <c r="DF124" i="16"/>
  <c r="CY124" i="16"/>
  <c r="CS124" i="16"/>
  <c r="H124" i="16"/>
  <c r="GF124" i="16"/>
  <c r="FZ124" i="16"/>
  <c r="FS124" i="16"/>
  <c r="FL124" i="16"/>
  <c r="FF124" i="16"/>
  <c r="EY124" i="16"/>
  <c r="ER124" i="16"/>
  <c r="EL124" i="16"/>
  <c r="EE124" i="16"/>
  <c r="DX124" i="16"/>
  <c r="DR124" i="16"/>
  <c r="DK124" i="16"/>
  <c r="DD124" i="16"/>
  <c r="CX124" i="16"/>
  <c r="F124" i="16"/>
  <c r="GE124" i="16"/>
  <c r="FX124" i="16"/>
  <c r="FQ124" i="16"/>
  <c r="FK124" i="16"/>
  <c r="FD124" i="16"/>
  <c r="EW124" i="16"/>
  <c r="EQ124" i="16"/>
  <c r="EJ124" i="16"/>
  <c r="EC124" i="16"/>
  <c r="DW124" i="16"/>
  <c r="DP124" i="16"/>
  <c r="DI124" i="16"/>
  <c r="DC124" i="16"/>
  <c r="CV124" i="16"/>
  <c r="E124" i="16"/>
  <c r="AH124" i="16" s="1"/>
  <c r="AX124" i="16" s="1"/>
  <c r="FP124" i="16"/>
  <c r="EO124" i="16"/>
  <c r="DN124" i="16"/>
  <c r="FI124" i="16"/>
  <c r="EH124" i="16"/>
  <c r="DH124" i="16"/>
  <c r="GC124" i="16"/>
  <c r="FB124" i="16"/>
  <c r="EB124" i="16"/>
  <c r="DA124" i="16"/>
  <c r="D124" i="16"/>
  <c r="FV124" i="16"/>
  <c r="EV124" i="16"/>
  <c r="DU124" i="16"/>
  <c r="CT124" i="16"/>
  <c r="I124" i="16" a="1"/>
  <c r="I124" i="16" s="1"/>
  <c r="BF124" i="16"/>
  <c r="AB123" i="16"/>
  <c r="AR123" i="16"/>
  <c r="AC123" i="16"/>
  <c r="AS123" i="16"/>
  <c r="BF123" i="16"/>
  <c r="U124" i="16" l="1"/>
  <c r="W123" i="16"/>
  <c r="Y123" i="16"/>
  <c r="X123" i="16"/>
  <c r="V123" i="16"/>
  <c r="Z123" i="16"/>
  <c r="JY125" i="16"/>
  <c r="JT125" i="16"/>
  <c r="JO125" i="16"/>
  <c r="JJ125" i="16"/>
  <c r="JE125" i="16"/>
  <c r="IZ125" i="16"/>
  <c r="IU125" i="16"/>
  <c r="IP125" i="16"/>
  <c r="IK125" i="16"/>
  <c r="IF125" i="16"/>
  <c r="IA125" i="16"/>
  <c r="HV125" i="16"/>
  <c r="HQ125" i="16"/>
  <c r="HL125" i="16"/>
  <c r="HG125" i="16"/>
  <c r="HB125" i="16"/>
  <c r="GW125" i="16"/>
  <c r="GR125" i="16"/>
  <c r="GM125" i="16"/>
  <c r="N125" i="16"/>
  <c r="AP125" i="16" s="1"/>
  <c r="KA125" i="16"/>
  <c r="JU125" i="16"/>
  <c r="JN125" i="16"/>
  <c r="JG125" i="16"/>
  <c r="JA125" i="16"/>
  <c r="IT125" i="16"/>
  <c r="IM125" i="16"/>
  <c r="IG125" i="16"/>
  <c r="HZ125" i="16"/>
  <c r="HS125" i="16"/>
  <c r="HM125" i="16"/>
  <c r="HF125" i="16"/>
  <c r="GY125" i="16"/>
  <c r="GS125" i="16"/>
  <c r="GL125" i="16"/>
  <c r="M125" i="16"/>
  <c r="JZ125" i="16"/>
  <c r="JS125" i="16"/>
  <c r="JL125" i="16"/>
  <c r="JF125" i="16"/>
  <c r="IY125" i="16"/>
  <c r="IR125" i="16"/>
  <c r="IL125" i="16"/>
  <c r="IE125" i="16"/>
  <c r="HX125" i="16"/>
  <c r="HR125" i="16"/>
  <c r="HK125" i="16"/>
  <c r="HD125" i="16"/>
  <c r="GX125" i="16"/>
  <c r="GQ125" i="16"/>
  <c r="Q125" i="16"/>
  <c r="L125" i="16"/>
  <c r="BF125" i="16" s="1"/>
  <c r="JX125" i="16"/>
  <c r="JQ125" i="16"/>
  <c r="JK125" i="16"/>
  <c r="JD125" i="16"/>
  <c r="IW125" i="16"/>
  <c r="IQ125" i="16"/>
  <c r="IJ125" i="16"/>
  <c r="IC125" i="16"/>
  <c r="HW125" i="16"/>
  <c r="HP125" i="16"/>
  <c r="HI125" i="16"/>
  <c r="HC125" i="16"/>
  <c r="GV125" i="16"/>
  <c r="GO125" i="16"/>
  <c r="P125" i="16"/>
  <c r="JI125" i="16"/>
  <c r="IH125" i="16"/>
  <c r="HH125" i="16"/>
  <c r="JB125" i="16"/>
  <c r="IB125" i="16"/>
  <c r="HA125" i="16"/>
  <c r="JV125" i="16"/>
  <c r="IV125" i="16"/>
  <c r="HU125" i="16"/>
  <c r="GT125" i="16"/>
  <c r="K126" i="16"/>
  <c r="JP125" i="16"/>
  <c r="IO125" i="16"/>
  <c r="HN125" i="16"/>
  <c r="GN125" i="16"/>
  <c r="AS124" i="16"/>
  <c r="AC124" i="16"/>
  <c r="AR124" i="16"/>
  <c r="AB124" i="16"/>
  <c r="GF125" i="16"/>
  <c r="GA125" i="16"/>
  <c r="FV125" i="16"/>
  <c r="FQ125" i="16"/>
  <c r="FL125" i="16"/>
  <c r="FG125" i="16"/>
  <c r="FB125" i="16"/>
  <c r="EW125" i="16"/>
  <c r="ER125" i="16"/>
  <c r="EM125" i="16"/>
  <c r="EH125" i="16"/>
  <c r="EC125" i="16"/>
  <c r="DX125" i="16"/>
  <c r="DS125" i="16"/>
  <c r="DN125" i="16"/>
  <c r="DI125" i="16"/>
  <c r="DD125" i="16"/>
  <c r="CY125" i="16"/>
  <c r="CT125" i="16"/>
  <c r="F125" i="16"/>
  <c r="GC125" i="16"/>
  <c r="FW125" i="16"/>
  <c r="FP125" i="16"/>
  <c r="FI125" i="16"/>
  <c r="FC125" i="16"/>
  <c r="EV125" i="16"/>
  <c r="EO125" i="16"/>
  <c r="EI125" i="16"/>
  <c r="EB125" i="16"/>
  <c r="DU125" i="16"/>
  <c r="DO125" i="16"/>
  <c r="DH125" i="16"/>
  <c r="DA125" i="16"/>
  <c r="CU125" i="16"/>
  <c r="H125" i="16"/>
  <c r="C125" i="16"/>
  <c r="GH125" i="16"/>
  <c r="GB125" i="16"/>
  <c r="FU125" i="16"/>
  <c r="FN125" i="16"/>
  <c r="FH125" i="16"/>
  <c r="FA125" i="16"/>
  <c r="ET125" i="16"/>
  <c r="EN125" i="16"/>
  <c r="EG125" i="16"/>
  <c r="DZ125" i="16"/>
  <c r="DT125" i="16"/>
  <c r="DM125" i="16"/>
  <c r="DF125" i="16"/>
  <c r="CZ125" i="16"/>
  <c r="CS125" i="16"/>
  <c r="G125" i="16"/>
  <c r="B126" i="16"/>
  <c r="GG125" i="16"/>
  <c r="FZ125" i="16"/>
  <c r="FS125" i="16"/>
  <c r="FM125" i="16"/>
  <c r="FF125" i="16"/>
  <c r="EY125" i="16"/>
  <c r="ES125" i="16"/>
  <c r="EL125" i="16"/>
  <c r="EE125" i="16"/>
  <c r="DY125" i="16"/>
  <c r="DR125" i="16"/>
  <c r="DK125" i="16"/>
  <c r="DE125" i="16"/>
  <c r="CX125" i="16"/>
  <c r="E125" i="16"/>
  <c r="AH125" i="16" s="1"/>
  <c r="AX125" i="16" s="1"/>
  <c r="GE125" i="16"/>
  <c r="FD125" i="16"/>
  <c r="ED125" i="16"/>
  <c r="DC125" i="16"/>
  <c r="FX125" i="16"/>
  <c r="EX125" i="16"/>
  <c r="DW125" i="16"/>
  <c r="CV125" i="16"/>
  <c r="FR125" i="16"/>
  <c r="EQ125" i="16"/>
  <c r="DP125" i="16"/>
  <c r="D125" i="16"/>
  <c r="FK125" i="16"/>
  <c r="EJ125" i="16"/>
  <c r="DJ125" i="16"/>
  <c r="I126" i="16" a="1"/>
  <c r="I126" i="16" s="1"/>
  <c r="JX126" i="16" l="1"/>
  <c r="JS126" i="16"/>
  <c r="JN126" i="16"/>
  <c r="JI126" i="16"/>
  <c r="JD126" i="16"/>
  <c r="IY126" i="16"/>
  <c r="IT126" i="16"/>
  <c r="IO126" i="16"/>
  <c r="IJ126" i="16"/>
  <c r="IE126" i="16"/>
  <c r="HZ126" i="16"/>
  <c r="HU126" i="16"/>
  <c r="HP126" i="16"/>
  <c r="HK126" i="16"/>
  <c r="HF126" i="16"/>
  <c r="HA126" i="16"/>
  <c r="GV126" i="16"/>
  <c r="GQ126" i="16"/>
  <c r="GL126" i="16"/>
  <c r="Q126" i="16"/>
  <c r="M126" i="16"/>
  <c r="K127" i="16"/>
  <c r="JV126" i="16"/>
  <c r="JP126" i="16"/>
  <c r="JJ126" i="16"/>
  <c r="JB126" i="16"/>
  <c r="IV126" i="16"/>
  <c r="IP126" i="16"/>
  <c r="IH126" i="16"/>
  <c r="IB126" i="16"/>
  <c r="HV126" i="16"/>
  <c r="HN126" i="16"/>
  <c r="HH126" i="16"/>
  <c r="HB126" i="16"/>
  <c r="GT126" i="16"/>
  <c r="GN126" i="16"/>
  <c r="KA126" i="16"/>
  <c r="JU126" i="16"/>
  <c r="JO126" i="16"/>
  <c r="JG126" i="16"/>
  <c r="JA126" i="16"/>
  <c r="IU126" i="16"/>
  <c r="IM126" i="16"/>
  <c r="IG126" i="16"/>
  <c r="IA126" i="16"/>
  <c r="HS126" i="16"/>
  <c r="HM126" i="16"/>
  <c r="HG126" i="16"/>
  <c r="GY126" i="16"/>
  <c r="GS126" i="16"/>
  <c r="GM126" i="16"/>
  <c r="N126" i="16"/>
  <c r="AP126" i="16" s="1"/>
  <c r="JZ126" i="16"/>
  <c r="JT126" i="16"/>
  <c r="JL126" i="16"/>
  <c r="JF126" i="16"/>
  <c r="IZ126" i="16"/>
  <c r="IR126" i="16"/>
  <c r="IL126" i="16"/>
  <c r="IF126" i="16"/>
  <c r="HX126" i="16"/>
  <c r="HR126" i="16"/>
  <c r="HL126" i="16"/>
  <c r="HD126" i="16"/>
  <c r="GX126" i="16"/>
  <c r="GR126" i="16"/>
  <c r="L126" i="16"/>
  <c r="I127" i="16" s="1" a="1"/>
  <c r="I127" i="16" s="1"/>
  <c r="JQ126" i="16"/>
  <c r="IQ126" i="16"/>
  <c r="HQ126" i="16"/>
  <c r="GO126" i="16"/>
  <c r="JK126" i="16"/>
  <c r="IK126" i="16"/>
  <c r="HI126" i="16"/>
  <c r="P126" i="16"/>
  <c r="JE126" i="16"/>
  <c r="IC126" i="16"/>
  <c r="HC126" i="16"/>
  <c r="JY126" i="16"/>
  <c r="IW126" i="16"/>
  <c r="HW126" i="16"/>
  <c r="GW126" i="16"/>
  <c r="GE126" i="16"/>
  <c r="FZ126" i="16"/>
  <c r="FU126" i="16"/>
  <c r="FP126" i="16"/>
  <c r="FK126" i="16"/>
  <c r="FF126" i="16"/>
  <c r="FA126" i="16"/>
  <c r="EV126" i="16"/>
  <c r="EQ126" i="16"/>
  <c r="EL126" i="16"/>
  <c r="EG126" i="16"/>
  <c r="EB126" i="16"/>
  <c r="DW126" i="16"/>
  <c r="DR126" i="16"/>
  <c r="DM126" i="16"/>
  <c r="DH126" i="16"/>
  <c r="DC126" i="16"/>
  <c r="CX126" i="16"/>
  <c r="CS126" i="16"/>
  <c r="E126" i="16"/>
  <c r="AH126" i="16" s="1"/>
  <c r="AX126" i="16" s="1"/>
  <c r="GF126" i="16"/>
  <c r="FX126" i="16"/>
  <c r="FR126" i="16"/>
  <c r="FL126" i="16"/>
  <c r="FD126" i="16"/>
  <c r="EX126" i="16"/>
  <c r="ER126" i="16"/>
  <c r="EJ126" i="16"/>
  <c r="ED126" i="16"/>
  <c r="DX126" i="16"/>
  <c r="DP126" i="16"/>
  <c r="DJ126" i="16"/>
  <c r="DD126" i="16"/>
  <c r="CV126" i="16"/>
  <c r="D126" i="16"/>
  <c r="GC126" i="16"/>
  <c r="FW126" i="16"/>
  <c r="FQ126" i="16"/>
  <c r="FI126" i="16"/>
  <c r="FC126" i="16"/>
  <c r="EW126" i="16"/>
  <c r="EO126" i="16"/>
  <c r="EI126" i="16"/>
  <c r="EC126" i="16"/>
  <c r="DU126" i="16"/>
  <c r="DO126" i="16"/>
  <c r="DI126" i="16"/>
  <c r="DA126" i="16"/>
  <c r="CU126" i="16"/>
  <c r="H126" i="16"/>
  <c r="C126" i="16"/>
  <c r="GH126" i="16"/>
  <c r="GB126" i="16"/>
  <c r="FV126" i="16"/>
  <c r="FN126" i="16"/>
  <c r="FH126" i="16"/>
  <c r="FB126" i="16"/>
  <c r="ET126" i="16"/>
  <c r="EN126" i="16"/>
  <c r="EH126" i="16"/>
  <c r="DZ126" i="16"/>
  <c r="DT126" i="16"/>
  <c r="DN126" i="16"/>
  <c r="DF126" i="16"/>
  <c r="CZ126" i="16"/>
  <c r="CT126" i="16"/>
  <c r="G126" i="16"/>
  <c r="FM126" i="16"/>
  <c r="EM126" i="16"/>
  <c r="DK126" i="16"/>
  <c r="F126" i="16"/>
  <c r="GG126" i="16"/>
  <c r="FG126" i="16"/>
  <c r="EE126" i="16"/>
  <c r="DE126" i="16"/>
  <c r="B127" i="16"/>
  <c r="GA126" i="16"/>
  <c r="EY126" i="16"/>
  <c r="DY126" i="16"/>
  <c r="CY126" i="16"/>
  <c r="FS126" i="16"/>
  <c r="ES126" i="16"/>
  <c r="DS126" i="16"/>
  <c r="Z124" i="16"/>
  <c r="V124" i="16"/>
  <c r="Y124" i="16"/>
  <c r="X124" i="16"/>
  <c r="W124" i="16"/>
  <c r="AR125" i="16"/>
  <c r="AS125" i="16"/>
  <c r="AB125" i="16"/>
  <c r="AC125" i="16"/>
  <c r="U125" i="16"/>
  <c r="BF126" i="16" l="1"/>
  <c r="GH127" i="16"/>
  <c r="GC127" i="16"/>
  <c r="FX127" i="16"/>
  <c r="FS127" i="16"/>
  <c r="FN127" i="16"/>
  <c r="FI127" i="16"/>
  <c r="FD127" i="16"/>
  <c r="EY127" i="16"/>
  <c r="ET127" i="16"/>
  <c r="EO127" i="16"/>
  <c r="EJ127" i="16"/>
  <c r="EE127" i="16"/>
  <c r="DZ127" i="16"/>
  <c r="DU127" i="16"/>
  <c r="DP127" i="16"/>
  <c r="DK127" i="16"/>
  <c r="DF127" i="16"/>
  <c r="DA127" i="16"/>
  <c r="CV127" i="16"/>
  <c r="H127" i="16"/>
  <c r="D127" i="16"/>
  <c r="B128" i="16"/>
  <c r="GG127" i="16"/>
  <c r="GA127" i="16"/>
  <c r="FU127" i="16"/>
  <c r="FM127" i="16"/>
  <c r="FG127" i="16"/>
  <c r="FA127" i="16"/>
  <c r="ES127" i="16"/>
  <c r="EM127" i="16"/>
  <c r="EG127" i="16"/>
  <c r="DY127" i="16"/>
  <c r="DS127" i="16"/>
  <c r="DM127" i="16"/>
  <c r="DE127" i="16"/>
  <c r="CY127" i="16"/>
  <c r="CS127" i="16"/>
  <c r="F127" i="16"/>
  <c r="GF127" i="16"/>
  <c r="FZ127" i="16"/>
  <c r="FR127" i="16"/>
  <c r="FL127" i="16"/>
  <c r="FF127" i="16"/>
  <c r="EX127" i="16"/>
  <c r="ER127" i="16"/>
  <c r="EL127" i="16"/>
  <c r="ED127" i="16"/>
  <c r="DX127" i="16"/>
  <c r="DR127" i="16"/>
  <c r="DJ127" i="16"/>
  <c r="DD127" i="16"/>
  <c r="CX127" i="16"/>
  <c r="E127" i="16"/>
  <c r="AH127" i="16" s="1"/>
  <c r="AX127" i="16" s="1"/>
  <c r="GE127" i="16"/>
  <c r="FW127" i="16"/>
  <c r="FQ127" i="16"/>
  <c r="FK127" i="16"/>
  <c r="FC127" i="16"/>
  <c r="EW127" i="16"/>
  <c r="EQ127" i="16"/>
  <c r="EI127" i="16"/>
  <c r="EC127" i="16"/>
  <c r="DW127" i="16"/>
  <c r="DO127" i="16"/>
  <c r="DI127" i="16"/>
  <c r="DC127" i="16"/>
  <c r="CU127" i="16"/>
  <c r="C127" i="16"/>
  <c r="FP127" i="16"/>
  <c r="EN127" i="16"/>
  <c r="DN127" i="16"/>
  <c r="FH127" i="16"/>
  <c r="EH127" i="16"/>
  <c r="DH127" i="16"/>
  <c r="G127" i="16"/>
  <c r="GB127" i="16"/>
  <c r="FB127" i="16"/>
  <c r="EB127" i="16"/>
  <c r="CZ127" i="16"/>
  <c r="FV127" i="16"/>
  <c r="EV127" i="16"/>
  <c r="DT127" i="16"/>
  <c r="CT127" i="16"/>
  <c r="Y125" i="16"/>
  <c r="V125" i="16"/>
  <c r="Z125" i="16"/>
  <c r="X125" i="16"/>
  <c r="W125" i="16"/>
  <c r="U126" i="16"/>
  <c r="AC126" i="16"/>
  <c r="AB126" i="16"/>
  <c r="AS126" i="16"/>
  <c r="AR126" i="16"/>
  <c r="K128" i="16"/>
  <c r="KA127" i="16"/>
  <c r="JV127" i="16"/>
  <c r="JQ127" i="16"/>
  <c r="JL127" i="16"/>
  <c r="JG127" i="16"/>
  <c r="JB127" i="16"/>
  <c r="IW127" i="16"/>
  <c r="IR127" i="16"/>
  <c r="IM127" i="16"/>
  <c r="IH127" i="16"/>
  <c r="IC127" i="16"/>
  <c r="HX127" i="16"/>
  <c r="HS127" i="16"/>
  <c r="HN127" i="16"/>
  <c r="HI127" i="16"/>
  <c r="HD127" i="16"/>
  <c r="GY127" i="16"/>
  <c r="GT127" i="16"/>
  <c r="GO127" i="16"/>
  <c r="P127" i="16"/>
  <c r="L127" i="16"/>
  <c r="JY127" i="16"/>
  <c r="JS127" i="16"/>
  <c r="JK127" i="16"/>
  <c r="JE127" i="16"/>
  <c r="IY127" i="16"/>
  <c r="IQ127" i="16"/>
  <c r="IK127" i="16"/>
  <c r="IE127" i="16"/>
  <c r="HW127" i="16"/>
  <c r="HQ127" i="16"/>
  <c r="HK127" i="16"/>
  <c r="HC127" i="16"/>
  <c r="GW127" i="16"/>
  <c r="GQ127" i="16"/>
  <c r="Q127" i="16"/>
  <c r="JX127" i="16"/>
  <c r="JP127" i="16"/>
  <c r="JJ127" i="16"/>
  <c r="JD127" i="16"/>
  <c r="IV127" i="16"/>
  <c r="IP127" i="16"/>
  <c r="IJ127" i="16"/>
  <c r="IB127" i="16"/>
  <c r="HV127" i="16"/>
  <c r="HP127" i="16"/>
  <c r="HH127" i="16"/>
  <c r="HB127" i="16"/>
  <c r="GV127" i="16"/>
  <c r="GN127" i="16"/>
  <c r="JU127" i="16"/>
  <c r="JO127" i="16"/>
  <c r="JI127" i="16"/>
  <c r="JA127" i="16"/>
  <c r="IU127" i="16"/>
  <c r="IO127" i="16"/>
  <c r="IG127" i="16"/>
  <c r="IA127" i="16"/>
  <c r="HU127" i="16"/>
  <c r="HM127" i="16"/>
  <c r="HG127" i="16"/>
  <c r="HA127" i="16"/>
  <c r="GS127" i="16"/>
  <c r="GM127" i="16"/>
  <c r="N127" i="16"/>
  <c r="AP127" i="16" s="1"/>
  <c r="JT127" i="16"/>
  <c r="IT127" i="16"/>
  <c r="HR127" i="16"/>
  <c r="GR127" i="16"/>
  <c r="M127" i="16"/>
  <c r="JN127" i="16"/>
  <c r="IL127" i="16"/>
  <c r="HL127" i="16"/>
  <c r="GL127" i="16"/>
  <c r="JF127" i="16"/>
  <c r="IF127" i="16"/>
  <c r="HF127" i="16"/>
  <c r="JZ127" i="16"/>
  <c r="IZ127" i="16"/>
  <c r="HZ127" i="16"/>
  <c r="GX127" i="16"/>
  <c r="B129" i="16" l="1"/>
  <c r="GG128" i="16"/>
  <c r="GB128" i="16"/>
  <c r="FW128" i="16"/>
  <c r="FR128" i="16"/>
  <c r="FM128" i="16"/>
  <c r="FH128" i="16"/>
  <c r="FC128" i="16"/>
  <c r="EX128" i="16"/>
  <c r="ES128" i="16"/>
  <c r="EN128" i="16"/>
  <c r="EI128" i="16"/>
  <c r="ED128" i="16"/>
  <c r="DY128" i="16"/>
  <c r="DT128" i="16"/>
  <c r="DO128" i="16"/>
  <c r="DJ128" i="16"/>
  <c r="DE128" i="16"/>
  <c r="CZ128" i="16"/>
  <c r="CU128" i="16"/>
  <c r="G128" i="16"/>
  <c r="C128" i="16"/>
  <c r="GH128" i="16"/>
  <c r="GA128" i="16"/>
  <c r="FU128" i="16"/>
  <c r="FN128" i="16"/>
  <c r="FG128" i="16"/>
  <c r="FA128" i="16"/>
  <c r="ET128" i="16"/>
  <c r="EM128" i="16"/>
  <c r="EG128" i="16"/>
  <c r="DZ128" i="16"/>
  <c r="DS128" i="16"/>
  <c r="DM128" i="16"/>
  <c r="DF128" i="16"/>
  <c r="CY128" i="16"/>
  <c r="CS128" i="16"/>
  <c r="H128" i="16"/>
  <c r="GF128" i="16"/>
  <c r="FZ128" i="16"/>
  <c r="FS128" i="16"/>
  <c r="FL128" i="16"/>
  <c r="FF128" i="16"/>
  <c r="EY128" i="16"/>
  <c r="ER128" i="16"/>
  <c r="EL128" i="16"/>
  <c r="EE128" i="16"/>
  <c r="DX128" i="16"/>
  <c r="DR128" i="16"/>
  <c r="DK128" i="16"/>
  <c r="DD128" i="16"/>
  <c r="CX128" i="16"/>
  <c r="F128" i="16"/>
  <c r="GE128" i="16"/>
  <c r="FX128" i="16"/>
  <c r="FQ128" i="16"/>
  <c r="FK128" i="16"/>
  <c r="FD128" i="16"/>
  <c r="EW128" i="16"/>
  <c r="EQ128" i="16"/>
  <c r="EJ128" i="16"/>
  <c r="EC128" i="16"/>
  <c r="DW128" i="16"/>
  <c r="DP128" i="16"/>
  <c r="DI128" i="16"/>
  <c r="DC128" i="16"/>
  <c r="CV128" i="16"/>
  <c r="E128" i="16"/>
  <c r="AH128" i="16" s="1"/>
  <c r="AX128" i="16" s="1"/>
  <c r="FP128" i="16"/>
  <c r="EO128" i="16"/>
  <c r="DN128" i="16"/>
  <c r="FI128" i="16"/>
  <c r="EH128" i="16"/>
  <c r="DH128" i="16"/>
  <c r="GC128" i="16"/>
  <c r="FB128" i="16"/>
  <c r="EB128" i="16"/>
  <c r="DA128" i="16"/>
  <c r="D128" i="16"/>
  <c r="FV128" i="16"/>
  <c r="EV128" i="16"/>
  <c r="DU128" i="16"/>
  <c r="CT128" i="16"/>
  <c r="I128" i="16" a="1"/>
  <c r="I128" i="16" s="1"/>
  <c r="JZ128" i="16"/>
  <c r="JU128" i="16"/>
  <c r="JP128" i="16"/>
  <c r="JK128" i="16"/>
  <c r="JF128" i="16"/>
  <c r="JA128" i="16"/>
  <c r="IV128" i="16"/>
  <c r="IQ128" i="16"/>
  <c r="IL128" i="16"/>
  <c r="IG128" i="16"/>
  <c r="IB128" i="16"/>
  <c r="HW128" i="16"/>
  <c r="HR128" i="16"/>
  <c r="HM128" i="16"/>
  <c r="HH128" i="16"/>
  <c r="HC128" i="16"/>
  <c r="GX128" i="16"/>
  <c r="GS128" i="16"/>
  <c r="GN128" i="16"/>
  <c r="JY128" i="16"/>
  <c r="JS128" i="16"/>
  <c r="JL128" i="16"/>
  <c r="JE128" i="16"/>
  <c r="IY128" i="16"/>
  <c r="IR128" i="16"/>
  <c r="IK128" i="16"/>
  <c r="IE128" i="16"/>
  <c r="HX128" i="16"/>
  <c r="HQ128" i="16"/>
  <c r="HK128" i="16"/>
  <c r="HD128" i="16"/>
  <c r="GW128" i="16"/>
  <c r="GQ128" i="16"/>
  <c r="Q128" i="16"/>
  <c r="M128" i="16"/>
  <c r="JX128" i="16"/>
  <c r="JQ128" i="16"/>
  <c r="JJ128" i="16"/>
  <c r="JD128" i="16"/>
  <c r="IW128" i="16"/>
  <c r="IP128" i="16"/>
  <c r="IJ128" i="16"/>
  <c r="IC128" i="16"/>
  <c r="HV128" i="16"/>
  <c r="HP128" i="16"/>
  <c r="HI128" i="16"/>
  <c r="HB128" i="16"/>
  <c r="GV128" i="16"/>
  <c r="GO128" i="16"/>
  <c r="P128" i="16"/>
  <c r="L128" i="16"/>
  <c r="BF128" i="16" s="1"/>
  <c r="K129" i="16"/>
  <c r="JV128" i="16"/>
  <c r="JO128" i="16"/>
  <c r="JI128" i="16"/>
  <c r="JB128" i="16"/>
  <c r="IU128" i="16"/>
  <c r="IO128" i="16"/>
  <c r="IH128" i="16"/>
  <c r="IA128" i="16"/>
  <c r="HU128" i="16"/>
  <c r="HN128" i="16"/>
  <c r="HG128" i="16"/>
  <c r="HA128" i="16"/>
  <c r="GT128" i="16"/>
  <c r="GM128" i="16"/>
  <c r="JT128" i="16"/>
  <c r="IT128" i="16"/>
  <c r="HS128" i="16"/>
  <c r="GR128" i="16"/>
  <c r="N128" i="16"/>
  <c r="AP128" i="16" s="1"/>
  <c r="JN128" i="16"/>
  <c r="IM128" i="16"/>
  <c r="HL128" i="16"/>
  <c r="GL128" i="16"/>
  <c r="JG128" i="16"/>
  <c r="IF128" i="16"/>
  <c r="HF128" i="16"/>
  <c r="KA128" i="16"/>
  <c r="IZ128" i="16"/>
  <c r="HZ128" i="16"/>
  <c r="GY128" i="16"/>
  <c r="X126" i="16"/>
  <c r="W126" i="16"/>
  <c r="V126" i="16"/>
  <c r="Z126" i="16"/>
  <c r="Y126" i="16"/>
  <c r="BF127" i="16"/>
  <c r="AB127" i="16"/>
  <c r="AR127" i="16"/>
  <c r="AC127" i="16"/>
  <c r="AS127" i="16"/>
  <c r="U127" i="16"/>
  <c r="I129" i="16" l="1" a="1"/>
  <c r="I129" i="16" s="1"/>
  <c r="AS128" i="16"/>
  <c r="AC128" i="16"/>
  <c r="AR128" i="16"/>
  <c r="AB128" i="16"/>
  <c r="JY129" i="16"/>
  <c r="JT129" i="16"/>
  <c r="JO129" i="16"/>
  <c r="JJ129" i="16"/>
  <c r="JE129" i="16"/>
  <c r="IZ129" i="16"/>
  <c r="IU129" i="16"/>
  <c r="IP129" i="16"/>
  <c r="IK129" i="16"/>
  <c r="IF129" i="16"/>
  <c r="IA129" i="16"/>
  <c r="HV129" i="16"/>
  <c r="HQ129" i="16"/>
  <c r="HL129" i="16"/>
  <c r="HG129" i="16"/>
  <c r="HB129" i="16"/>
  <c r="GW129" i="16"/>
  <c r="GR129" i="16"/>
  <c r="GM129" i="16"/>
  <c r="N129" i="16"/>
  <c r="AP129" i="16" s="1"/>
  <c r="KA129" i="16"/>
  <c r="JU129" i="16"/>
  <c r="JN129" i="16"/>
  <c r="JG129" i="16"/>
  <c r="JA129" i="16"/>
  <c r="IT129" i="16"/>
  <c r="IM129" i="16"/>
  <c r="IG129" i="16"/>
  <c r="HZ129" i="16"/>
  <c r="HS129" i="16"/>
  <c r="HM129" i="16"/>
  <c r="HF129" i="16"/>
  <c r="GY129" i="16"/>
  <c r="GS129" i="16"/>
  <c r="GL129" i="16"/>
  <c r="M129" i="16"/>
  <c r="JZ129" i="16"/>
  <c r="JS129" i="16"/>
  <c r="JL129" i="16"/>
  <c r="JF129" i="16"/>
  <c r="IY129" i="16"/>
  <c r="IR129" i="16"/>
  <c r="IL129" i="16"/>
  <c r="IE129" i="16"/>
  <c r="HX129" i="16"/>
  <c r="HR129" i="16"/>
  <c r="HK129" i="16"/>
  <c r="HD129" i="16"/>
  <c r="GX129" i="16"/>
  <c r="GQ129" i="16"/>
  <c r="Q129" i="16"/>
  <c r="L129" i="16"/>
  <c r="I130" i="16" s="1" a="1"/>
  <c r="I130" i="16" s="1"/>
  <c r="JX129" i="16"/>
  <c r="JQ129" i="16"/>
  <c r="JK129" i="16"/>
  <c r="JD129" i="16"/>
  <c r="IW129" i="16"/>
  <c r="IQ129" i="16"/>
  <c r="IJ129" i="16"/>
  <c r="IC129" i="16"/>
  <c r="HW129" i="16"/>
  <c r="HP129" i="16"/>
  <c r="HI129" i="16"/>
  <c r="HC129" i="16"/>
  <c r="GV129" i="16"/>
  <c r="GO129" i="16"/>
  <c r="P129" i="16"/>
  <c r="K130" i="16"/>
  <c r="JV129" i="16"/>
  <c r="JP129" i="16"/>
  <c r="JI129" i="16"/>
  <c r="JB129" i="16"/>
  <c r="IV129" i="16"/>
  <c r="IO129" i="16"/>
  <c r="IH129" i="16"/>
  <c r="IB129" i="16"/>
  <c r="HU129" i="16"/>
  <c r="HN129" i="16"/>
  <c r="HH129" i="16"/>
  <c r="HA129" i="16"/>
  <c r="GT129" i="16"/>
  <c r="GN129" i="16"/>
  <c r="U128" i="16"/>
  <c r="GF129" i="16"/>
  <c r="GA129" i="16"/>
  <c r="FV129" i="16"/>
  <c r="FQ129" i="16"/>
  <c r="FL129" i="16"/>
  <c r="FG129" i="16"/>
  <c r="FB129" i="16"/>
  <c r="EW129" i="16"/>
  <c r="ER129" i="16"/>
  <c r="EM129" i="16"/>
  <c r="EH129" i="16"/>
  <c r="EC129" i="16"/>
  <c r="DX129" i="16"/>
  <c r="DS129" i="16"/>
  <c r="DN129" i="16"/>
  <c r="DI129" i="16"/>
  <c r="DD129" i="16"/>
  <c r="CY129" i="16"/>
  <c r="CT129" i="16"/>
  <c r="F129" i="16"/>
  <c r="GC129" i="16"/>
  <c r="FW129" i="16"/>
  <c r="FP129" i="16"/>
  <c r="FI129" i="16"/>
  <c r="FC129" i="16"/>
  <c r="EV129" i="16"/>
  <c r="EO129" i="16"/>
  <c r="EI129" i="16"/>
  <c r="EB129" i="16"/>
  <c r="DU129" i="16"/>
  <c r="DO129" i="16"/>
  <c r="DH129" i="16"/>
  <c r="DA129" i="16"/>
  <c r="CU129" i="16"/>
  <c r="H129" i="16"/>
  <c r="C129" i="16"/>
  <c r="GH129" i="16"/>
  <c r="GB129" i="16"/>
  <c r="FU129" i="16"/>
  <c r="FN129" i="16"/>
  <c r="FH129" i="16"/>
  <c r="FA129" i="16"/>
  <c r="ET129" i="16"/>
  <c r="EN129" i="16"/>
  <c r="EG129" i="16"/>
  <c r="DZ129" i="16"/>
  <c r="DT129" i="16"/>
  <c r="DM129" i="16"/>
  <c r="DF129" i="16"/>
  <c r="CZ129" i="16"/>
  <c r="CS129" i="16"/>
  <c r="G129" i="16"/>
  <c r="B130" i="16"/>
  <c r="GG129" i="16"/>
  <c r="FZ129" i="16"/>
  <c r="FS129" i="16"/>
  <c r="FM129" i="16"/>
  <c r="FF129" i="16"/>
  <c r="EY129" i="16"/>
  <c r="ES129" i="16"/>
  <c r="EL129" i="16"/>
  <c r="EE129" i="16"/>
  <c r="DY129" i="16"/>
  <c r="DR129" i="16"/>
  <c r="DK129" i="16"/>
  <c r="DE129" i="16"/>
  <c r="CX129" i="16"/>
  <c r="E129" i="16"/>
  <c r="AH129" i="16" s="1"/>
  <c r="AX129" i="16" s="1"/>
  <c r="GE129" i="16"/>
  <c r="FX129" i="16"/>
  <c r="FR129" i="16"/>
  <c r="FK129" i="16"/>
  <c r="FD129" i="16"/>
  <c r="EX129" i="16"/>
  <c r="EQ129" i="16"/>
  <c r="ED129" i="16"/>
  <c r="DC129" i="16"/>
  <c r="DW129" i="16"/>
  <c r="CV129" i="16"/>
  <c r="DP129" i="16"/>
  <c r="D129" i="16"/>
  <c r="EJ129" i="16"/>
  <c r="DJ129" i="16"/>
  <c r="W127" i="16"/>
  <c r="Y127" i="16"/>
  <c r="X127" i="16"/>
  <c r="V127" i="16"/>
  <c r="Z127" i="16"/>
  <c r="BF129" i="16"/>
  <c r="U129" i="16" l="1"/>
  <c r="AR129" i="16"/>
  <c r="AS129" i="16"/>
  <c r="AB129" i="16"/>
  <c r="AC129" i="16"/>
  <c r="GF130" i="16"/>
  <c r="GA130" i="16"/>
  <c r="FV130" i="16"/>
  <c r="GE130" i="16"/>
  <c r="FZ130" i="16"/>
  <c r="FU130" i="16"/>
  <c r="FP130" i="16"/>
  <c r="FK130" i="16"/>
  <c r="FF130" i="16"/>
  <c r="FA130" i="16"/>
  <c r="EV130" i="16"/>
  <c r="EQ130" i="16"/>
  <c r="EL130" i="16"/>
  <c r="EG130" i="16"/>
  <c r="EB130" i="16"/>
  <c r="DW130" i="16"/>
  <c r="DR130" i="16"/>
  <c r="DM130" i="16"/>
  <c r="DH130" i="16"/>
  <c r="DC130" i="16"/>
  <c r="CX130" i="16"/>
  <c r="CS130" i="16"/>
  <c r="E130" i="16"/>
  <c r="AH130" i="16" s="1"/>
  <c r="AX130" i="16" s="1"/>
  <c r="GB130" i="16"/>
  <c r="FR130" i="16"/>
  <c r="FL130" i="16"/>
  <c r="FD130" i="16"/>
  <c r="EX130" i="16"/>
  <c r="ER130" i="16"/>
  <c r="EJ130" i="16"/>
  <c r="ED130" i="16"/>
  <c r="DX130" i="16"/>
  <c r="DP130" i="16"/>
  <c r="DJ130" i="16"/>
  <c r="DD130" i="16"/>
  <c r="CV130" i="16"/>
  <c r="D130" i="16"/>
  <c r="GH130" i="16"/>
  <c r="FX130" i="16"/>
  <c r="FQ130" i="16"/>
  <c r="FI130" i="16"/>
  <c r="FC130" i="16"/>
  <c r="EW130" i="16"/>
  <c r="EO130" i="16"/>
  <c r="EI130" i="16"/>
  <c r="EC130" i="16"/>
  <c r="DU130" i="16"/>
  <c r="DO130" i="16"/>
  <c r="DI130" i="16"/>
  <c r="DA130" i="16"/>
  <c r="CU130" i="16"/>
  <c r="H130" i="16"/>
  <c r="C130" i="16"/>
  <c r="B131" i="16"/>
  <c r="GG130" i="16"/>
  <c r="FW130" i="16"/>
  <c r="FN130" i="16"/>
  <c r="FH130" i="16"/>
  <c r="FB130" i="16"/>
  <c r="ET130" i="16"/>
  <c r="EN130" i="16"/>
  <c r="EH130" i="16"/>
  <c r="DZ130" i="16"/>
  <c r="DT130" i="16"/>
  <c r="DN130" i="16"/>
  <c r="DF130" i="16"/>
  <c r="CZ130" i="16"/>
  <c r="CT130" i="16"/>
  <c r="G130" i="16"/>
  <c r="GC130" i="16"/>
  <c r="FS130" i="16"/>
  <c r="FM130" i="16"/>
  <c r="FG130" i="16"/>
  <c r="EY130" i="16"/>
  <c r="ES130" i="16"/>
  <c r="EM130" i="16"/>
  <c r="EE130" i="16"/>
  <c r="DY130" i="16"/>
  <c r="DS130" i="16"/>
  <c r="DK130" i="16"/>
  <c r="DE130" i="16"/>
  <c r="CY130" i="16"/>
  <c r="F130" i="16"/>
  <c r="Z128" i="16"/>
  <c r="V128" i="16"/>
  <c r="Y128" i="16"/>
  <c r="X128" i="16"/>
  <c r="W128" i="16"/>
  <c r="JY130" i="16"/>
  <c r="JT130" i="16"/>
  <c r="JO130" i="16"/>
  <c r="JJ130" i="16"/>
  <c r="JE130" i="16"/>
  <c r="IZ130" i="16"/>
  <c r="IU130" i="16"/>
  <c r="IP130" i="16"/>
  <c r="IK130" i="16"/>
  <c r="IF130" i="16"/>
  <c r="IA130" i="16"/>
  <c r="HV130" i="16"/>
  <c r="HQ130" i="16"/>
  <c r="HL130" i="16"/>
  <c r="HG130" i="16"/>
  <c r="HB130" i="16"/>
  <c r="GW130" i="16"/>
  <c r="GR130" i="16"/>
  <c r="GM130" i="16"/>
  <c r="JX130" i="16"/>
  <c r="JS130" i="16"/>
  <c r="JN130" i="16"/>
  <c r="JI130" i="16"/>
  <c r="JD130" i="16"/>
  <c r="IY130" i="16"/>
  <c r="IT130" i="16"/>
  <c r="IO130" i="16"/>
  <c r="IJ130" i="16"/>
  <c r="IE130" i="16"/>
  <c r="HZ130" i="16"/>
  <c r="HU130" i="16"/>
  <c r="HP130" i="16"/>
  <c r="HK130" i="16"/>
  <c r="HF130" i="16"/>
  <c r="HA130" i="16"/>
  <c r="GV130" i="16"/>
  <c r="GQ130" i="16"/>
  <c r="GL130" i="16"/>
  <c r="Q130" i="16"/>
  <c r="M130" i="16"/>
  <c r="JZ130" i="16"/>
  <c r="JP130" i="16"/>
  <c r="JF130" i="16"/>
  <c r="IV130" i="16"/>
  <c r="IL130" i="16"/>
  <c r="IB130" i="16"/>
  <c r="HR130" i="16"/>
  <c r="HH130" i="16"/>
  <c r="GX130" i="16"/>
  <c r="GN130" i="16"/>
  <c r="K131" i="16"/>
  <c r="JV130" i="16"/>
  <c r="JL130" i="16"/>
  <c r="JB130" i="16"/>
  <c r="IR130" i="16"/>
  <c r="IH130" i="16"/>
  <c r="HX130" i="16"/>
  <c r="HN130" i="16"/>
  <c r="HD130" i="16"/>
  <c r="GT130" i="16"/>
  <c r="N130" i="16"/>
  <c r="AP130" i="16" s="1"/>
  <c r="JU130" i="16"/>
  <c r="JK130" i="16"/>
  <c r="JA130" i="16"/>
  <c r="IQ130" i="16"/>
  <c r="IG130" i="16"/>
  <c r="HW130" i="16"/>
  <c r="HM130" i="16"/>
  <c r="HC130" i="16"/>
  <c r="GS130" i="16"/>
  <c r="L130" i="16"/>
  <c r="BF130" i="16" s="1"/>
  <c r="KA130" i="16"/>
  <c r="JQ130" i="16"/>
  <c r="JG130" i="16"/>
  <c r="IW130" i="16"/>
  <c r="IM130" i="16"/>
  <c r="IC130" i="16"/>
  <c r="HS130" i="16"/>
  <c r="HI130" i="16"/>
  <c r="GY130" i="16"/>
  <c r="GO130" i="16"/>
  <c r="P130" i="16"/>
  <c r="GE131" i="16" l="1"/>
  <c r="FZ131" i="16"/>
  <c r="FU131" i="16"/>
  <c r="FP131" i="16"/>
  <c r="FK131" i="16"/>
  <c r="FF131" i="16"/>
  <c r="FA131" i="16"/>
  <c r="EV131" i="16"/>
  <c r="EQ131" i="16"/>
  <c r="EL131" i="16"/>
  <c r="EG131" i="16"/>
  <c r="EB131" i="16"/>
  <c r="DW131" i="16"/>
  <c r="DR131" i="16"/>
  <c r="DM131" i="16"/>
  <c r="DH131" i="16"/>
  <c r="DC131" i="16"/>
  <c r="CX131" i="16"/>
  <c r="CS131" i="16"/>
  <c r="E131" i="16"/>
  <c r="AH131" i="16" s="1"/>
  <c r="AX131" i="16" s="1"/>
  <c r="GH131" i="16"/>
  <c r="GC131" i="16"/>
  <c r="FX131" i="16"/>
  <c r="FS131" i="16"/>
  <c r="FN131" i="16"/>
  <c r="FI131" i="16"/>
  <c r="FD131" i="16"/>
  <c r="EY131" i="16"/>
  <c r="ET131" i="16"/>
  <c r="EO131" i="16"/>
  <c r="EJ131" i="16"/>
  <c r="EE131" i="16"/>
  <c r="DZ131" i="16"/>
  <c r="DU131" i="16"/>
  <c r="DP131" i="16"/>
  <c r="DK131" i="16"/>
  <c r="DF131" i="16"/>
  <c r="DA131" i="16"/>
  <c r="CV131" i="16"/>
  <c r="H131" i="16"/>
  <c r="D131" i="16"/>
  <c r="GA131" i="16"/>
  <c r="FQ131" i="16"/>
  <c r="FG131" i="16"/>
  <c r="EW131" i="16"/>
  <c r="EM131" i="16"/>
  <c r="EC131" i="16"/>
  <c r="DS131" i="16"/>
  <c r="DI131" i="16"/>
  <c r="CY131" i="16"/>
  <c r="F131" i="16"/>
  <c r="B132" i="16"/>
  <c r="GG131" i="16"/>
  <c r="FW131" i="16"/>
  <c r="FM131" i="16"/>
  <c r="FC131" i="16"/>
  <c r="ES131" i="16"/>
  <c r="EI131" i="16"/>
  <c r="DY131" i="16"/>
  <c r="DO131" i="16"/>
  <c r="DE131" i="16"/>
  <c r="CU131" i="16"/>
  <c r="C131" i="16"/>
  <c r="GF131" i="16"/>
  <c r="FV131" i="16"/>
  <c r="FL131" i="16"/>
  <c r="FB131" i="16"/>
  <c r="ER131" i="16"/>
  <c r="EH131" i="16"/>
  <c r="DX131" i="16"/>
  <c r="DN131" i="16"/>
  <c r="DD131" i="16"/>
  <c r="CT131" i="16"/>
  <c r="GB131" i="16"/>
  <c r="FR131" i="16"/>
  <c r="FH131" i="16"/>
  <c r="EX131" i="16"/>
  <c r="EN131" i="16"/>
  <c r="ED131" i="16"/>
  <c r="DT131" i="16"/>
  <c r="DJ131" i="16"/>
  <c r="CZ131" i="16"/>
  <c r="G131" i="16"/>
  <c r="I131" i="16" a="1"/>
  <c r="I131" i="16" s="1"/>
  <c r="JX131" i="16"/>
  <c r="JS131" i="16"/>
  <c r="JN131" i="16"/>
  <c r="JI131" i="16"/>
  <c r="JD131" i="16"/>
  <c r="IY131" i="16"/>
  <c r="IT131" i="16"/>
  <c r="IO131" i="16"/>
  <c r="IJ131" i="16"/>
  <c r="IE131" i="16"/>
  <c r="HZ131" i="16"/>
  <c r="HU131" i="16"/>
  <c r="HP131" i="16"/>
  <c r="HK131" i="16"/>
  <c r="HF131" i="16"/>
  <c r="HA131" i="16"/>
  <c r="GV131" i="16"/>
  <c r="GQ131" i="16"/>
  <c r="GL131" i="16"/>
  <c r="Q131" i="16"/>
  <c r="M131" i="16"/>
  <c r="K132" i="16"/>
  <c r="KA131" i="16"/>
  <c r="JV131" i="16"/>
  <c r="JQ131" i="16"/>
  <c r="JL131" i="16"/>
  <c r="JG131" i="16"/>
  <c r="JB131" i="16"/>
  <c r="IW131" i="16"/>
  <c r="IR131" i="16"/>
  <c r="IM131" i="16"/>
  <c r="IH131" i="16"/>
  <c r="IC131" i="16"/>
  <c r="HX131" i="16"/>
  <c r="HS131" i="16"/>
  <c r="HN131" i="16"/>
  <c r="HI131" i="16"/>
  <c r="HD131" i="16"/>
  <c r="GY131" i="16"/>
  <c r="GT131" i="16"/>
  <c r="GO131" i="16"/>
  <c r="P131" i="16"/>
  <c r="L131" i="16"/>
  <c r="JY131" i="16"/>
  <c r="JO131" i="16"/>
  <c r="JE131" i="16"/>
  <c r="IU131" i="16"/>
  <c r="IK131" i="16"/>
  <c r="IA131" i="16"/>
  <c r="HQ131" i="16"/>
  <c r="HG131" i="16"/>
  <c r="GW131" i="16"/>
  <c r="GM131" i="16"/>
  <c r="N131" i="16"/>
  <c r="AP131" i="16" s="1"/>
  <c r="JU131" i="16"/>
  <c r="JK131" i="16"/>
  <c r="JA131" i="16"/>
  <c r="IQ131" i="16"/>
  <c r="IG131" i="16"/>
  <c r="HW131" i="16"/>
  <c r="HM131" i="16"/>
  <c r="HC131" i="16"/>
  <c r="GS131" i="16"/>
  <c r="JT131" i="16"/>
  <c r="JJ131" i="16"/>
  <c r="IZ131" i="16"/>
  <c r="IP131" i="16"/>
  <c r="IF131" i="16"/>
  <c r="HV131" i="16"/>
  <c r="HL131" i="16"/>
  <c r="HB131" i="16"/>
  <c r="GR131" i="16"/>
  <c r="JZ131" i="16"/>
  <c r="JP131" i="16"/>
  <c r="JF131" i="16"/>
  <c r="IV131" i="16"/>
  <c r="IL131" i="16"/>
  <c r="IB131" i="16"/>
  <c r="HR131" i="16"/>
  <c r="HH131" i="16"/>
  <c r="GX131" i="16"/>
  <c r="GN131" i="16"/>
  <c r="BF131" i="16"/>
  <c r="U130" i="16"/>
  <c r="AC130" i="16"/>
  <c r="AB130" i="16"/>
  <c r="AS130" i="16"/>
  <c r="AR130" i="16"/>
  <c r="Y129" i="16"/>
  <c r="V129" i="16"/>
  <c r="Z129" i="16"/>
  <c r="X129" i="16"/>
  <c r="W129" i="16"/>
  <c r="I132" i="16" l="1" a="1"/>
  <c r="I132" i="16" s="1"/>
  <c r="U131" i="16"/>
  <c r="AC131" i="16"/>
  <c r="AB131" i="16"/>
  <c r="AR131" i="16"/>
  <c r="AS131" i="16"/>
  <c r="X130" i="16"/>
  <c r="W130" i="16"/>
  <c r="V130" i="16"/>
  <c r="Z130" i="16"/>
  <c r="Y130" i="16"/>
  <c r="K133" i="16"/>
  <c r="KA132" i="16"/>
  <c r="JV132" i="16"/>
  <c r="JQ132" i="16"/>
  <c r="JL132" i="16"/>
  <c r="JG132" i="16"/>
  <c r="JB132" i="16"/>
  <c r="IW132" i="16"/>
  <c r="IR132" i="16"/>
  <c r="IM132" i="16"/>
  <c r="IH132" i="16"/>
  <c r="IC132" i="16"/>
  <c r="HX132" i="16"/>
  <c r="HS132" i="16"/>
  <c r="HN132" i="16"/>
  <c r="HI132" i="16"/>
  <c r="HD132" i="16"/>
  <c r="GY132" i="16"/>
  <c r="GT132" i="16"/>
  <c r="GO132" i="16"/>
  <c r="P132" i="16"/>
  <c r="L132" i="16"/>
  <c r="BF132" i="16" s="1"/>
  <c r="JZ132" i="16"/>
  <c r="JU132" i="16"/>
  <c r="JP132" i="16"/>
  <c r="JK132" i="16"/>
  <c r="JF132" i="16"/>
  <c r="JA132" i="16"/>
  <c r="IV132" i="16"/>
  <c r="IQ132" i="16"/>
  <c r="IL132" i="16"/>
  <c r="IG132" i="16"/>
  <c r="IB132" i="16"/>
  <c r="HW132" i="16"/>
  <c r="HR132" i="16"/>
  <c r="HM132" i="16"/>
  <c r="HH132" i="16"/>
  <c r="HC132" i="16"/>
  <c r="GX132" i="16"/>
  <c r="GS132" i="16"/>
  <c r="GN132" i="16"/>
  <c r="JT132" i="16"/>
  <c r="JJ132" i="16"/>
  <c r="IZ132" i="16"/>
  <c r="IP132" i="16"/>
  <c r="IF132" i="16"/>
  <c r="HV132" i="16"/>
  <c r="HL132" i="16"/>
  <c r="HB132" i="16"/>
  <c r="GR132" i="16"/>
  <c r="M132" i="16"/>
  <c r="JS132" i="16"/>
  <c r="JI132" i="16"/>
  <c r="IY132" i="16"/>
  <c r="IO132" i="16"/>
  <c r="IE132" i="16"/>
  <c r="HU132" i="16"/>
  <c r="HK132" i="16"/>
  <c r="HA132" i="16"/>
  <c r="GQ132" i="16"/>
  <c r="Q132" i="16"/>
  <c r="JY132" i="16"/>
  <c r="JO132" i="16"/>
  <c r="JE132" i="16"/>
  <c r="IU132" i="16"/>
  <c r="IK132" i="16"/>
  <c r="IA132" i="16"/>
  <c r="HQ132" i="16"/>
  <c r="HG132" i="16"/>
  <c r="GW132" i="16"/>
  <c r="GM132" i="16"/>
  <c r="JX132" i="16"/>
  <c r="JN132" i="16"/>
  <c r="JD132" i="16"/>
  <c r="IT132" i="16"/>
  <c r="IJ132" i="16"/>
  <c r="HZ132" i="16"/>
  <c r="HP132" i="16"/>
  <c r="HF132" i="16"/>
  <c r="GV132" i="16"/>
  <c r="GL132" i="16"/>
  <c r="N132" i="16"/>
  <c r="AP132" i="16" s="1"/>
  <c r="GH132" i="16"/>
  <c r="GC132" i="16"/>
  <c r="FX132" i="16"/>
  <c r="FS132" i="16"/>
  <c r="FN132" i="16"/>
  <c r="FI132" i="16"/>
  <c r="FD132" i="16"/>
  <c r="EY132" i="16"/>
  <c r="ET132" i="16"/>
  <c r="EO132" i="16"/>
  <c r="EJ132" i="16"/>
  <c r="EE132" i="16"/>
  <c r="DZ132" i="16"/>
  <c r="DU132" i="16"/>
  <c r="DP132" i="16"/>
  <c r="DK132" i="16"/>
  <c r="DF132" i="16"/>
  <c r="DA132" i="16"/>
  <c r="CV132" i="16"/>
  <c r="H132" i="16"/>
  <c r="D132" i="16"/>
  <c r="B133" i="16"/>
  <c r="GG132" i="16"/>
  <c r="GB132" i="16"/>
  <c r="FW132" i="16"/>
  <c r="FR132" i="16"/>
  <c r="FM132" i="16"/>
  <c r="FH132" i="16"/>
  <c r="FC132" i="16"/>
  <c r="EX132" i="16"/>
  <c r="ES132" i="16"/>
  <c r="EN132" i="16"/>
  <c r="EI132" i="16"/>
  <c r="ED132" i="16"/>
  <c r="DY132" i="16"/>
  <c r="DT132" i="16"/>
  <c r="DO132" i="16"/>
  <c r="DJ132" i="16"/>
  <c r="DE132" i="16"/>
  <c r="CZ132" i="16"/>
  <c r="CU132" i="16"/>
  <c r="G132" i="16"/>
  <c r="C132" i="16"/>
  <c r="GF132" i="16"/>
  <c r="FV132" i="16"/>
  <c r="FL132" i="16"/>
  <c r="FB132" i="16"/>
  <c r="ER132" i="16"/>
  <c r="EH132" i="16"/>
  <c r="DX132" i="16"/>
  <c r="DN132" i="16"/>
  <c r="DD132" i="16"/>
  <c r="CT132" i="16"/>
  <c r="E132" i="16"/>
  <c r="AH132" i="16" s="1"/>
  <c r="AX132" i="16" s="1"/>
  <c r="GE132" i="16"/>
  <c r="FU132" i="16"/>
  <c r="FK132" i="16"/>
  <c r="FA132" i="16"/>
  <c r="EQ132" i="16"/>
  <c r="EG132" i="16"/>
  <c r="DW132" i="16"/>
  <c r="DM132" i="16"/>
  <c r="DC132" i="16"/>
  <c r="CS132" i="16"/>
  <c r="GA132" i="16"/>
  <c r="FQ132" i="16"/>
  <c r="FG132" i="16"/>
  <c r="EW132" i="16"/>
  <c r="EM132" i="16"/>
  <c r="EC132" i="16"/>
  <c r="DS132" i="16"/>
  <c r="DI132" i="16"/>
  <c r="CY132" i="16"/>
  <c r="FZ132" i="16"/>
  <c r="FP132" i="16"/>
  <c r="FF132" i="16"/>
  <c r="EV132" i="16"/>
  <c r="EL132" i="16"/>
  <c r="EB132" i="16"/>
  <c r="DR132" i="16"/>
  <c r="DH132" i="16"/>
  <c r="CX132" i="16"/>
  <c r="F132" i="16"/>
  <c r="I133" i="16" l="1" a="1"/>
  <c r="I133" i="16" s="1"/>
  <c r="GH133" i="16"/>
  <c r="GC133" i="16"/>
  <c r="FX133" i="16"/>
  <c r="FS133" i="16"/>
  <c r="FN133" i="16"/>
  <c r="FI133" i="16"/>
  <c r="FD133" i="16"/>
  <c r="EY133" i="16"/>
  <c r="ET133" i="16"/>
  <c r="EO133" i="16"/>
  <c r="EJ133" i="16"/>
  <c r="EE133" i="16"/>
  <c r="DZ133" i="16"/>
  <c r="DU133" i="16"/>
  <c r="DP133" i="16"/>
  <c r="DK133" i="16"/>
  <c r="DF133" i="16"/>
  <c r="DA133" i="16"/>
  <c r="CV133" i="16"/>
  <c r="GB133" i="16"/>
  <c r="FV133" i="16"/>
  <c r="FP133" i="16"/>
  <c r="FH133" i="16"/>
  <c r="FB133" i="16"/>
  <c r="EV133" i="16"/>
  <c r="EN133" i="16"/>
  <c r="EH133" i="16"/>
  <c r="EB133" i="16"/>
  <c r="DT133" i="16"/>
  <c r="DN133" i="16"/>
  <c r="DH133" i="16"/>
  <c r="CZ133" i="16"/>
  <c r="CT133" i="16"/>
  <c r="G133" i="16"/>
  <c r="C133" i="16"/>
  <c r="B134" i="16"/>
  <c r="GG133" i="16"/>
  <c r="GA133" i="16"/>
  <c r="FU133" i="16"/>
  <c r="FM133" i="16"/>
  <c r="FG133" i="16"/>
  <c r="FA133" i="16"/>
  <c r="ES133" i="16"/>
  <c r="EM133" i="16"/>
  <c r="EG133" i="16"/>
  <c r="DY133" i="16"/>
  <c r="DS133" i="16"/>
  <c r="DM133" i="16"/>
  <c r="DE133" i="16"/>
  <c r="CY133" i="16"/>
  <c r="CS133" i="16"/>
  <c r="F133" i="16"/>
  <c r="GF133" i="16"/>
  <c r="FR133" i="16"/>
  <c r="FF133" i="16"/>
  <c r="ER133" i="16"/>
  <c r="ED133" i="16"/>
  <c r="DR133" i="16"/>
  <c r="DD133" i="16"/>
  <c r="GE133" i="16"/>
  <c r="FQ133" i="16"/>
  <c r="FC133" i="16"/>
  <c r="EQ133" i="16"/>
  <c r="EC133" i="16"/>
  <c r="DO133" i="16"/>
  <c r="DC133" i="16"/>
  <c r="H133" i="16"/>
  <c r="FZ133" i="16"/>
  <c r="FL133" i="16"/>
  <c r="EX133" i="16"/>
  <c r="EL133" i="16"/>
  <c r="DX133" i="16"/>
  <c r="DJ133" i="16"/>
  <c r="CX133" i="16"/>
  <c r="E133" i="16"/>
  <c r="AH133" i="16" s="1"/>
  <c r="AX133" i="16" s="1"/>
  <c r="FW133" i="16"/>
  <c r="FK133" i="16"/>
  <c r="EW133" i="16"/>
  <c r="EI133" i="16"/>
  <c r="DW133" i="16"/>
  <c r="DI133" i="16"/>
  <c r="CU133" i="16"/>
  <c r="D133" i="16"/>
  <c r="K134" i="16"/>
  <c r="KA133" i="16"/>
  <c r="JV133" i="16"/>
  <c r="JQ133" i="16"/>
  <c r="JL133" i="16"/>
  <c r="JG133" i="16"/>
  <c r="JB133" i="16"/>
  <c r="IW133" i="16"/>
  <c r="IR133" i="16"/>
  <c r="IM133" i="16"/>
  <c r="IH133" i="16"/>
  <c r="IC133" i="16"/>
  <c r="HX133" i="16"/>
  <c r="HS133" i="16"/>
  <c r="HN133" i="16"/>
  <c r="HI133" i="16"/>
  <c r="HD133" i="16"/>
  <c r="GY133" i="16"/>
  <c r="GT133" i="16"/>
  <c r="GO133" i="16"/>
  <c r="JZ133" i="16"/>
  <c r="JT133" i="16"/>
  <c r="JN133" i="16"/>
  <c r="JF133" i="16"/>
  <c r="IZ133" i="16"/>
  <c r="IT133" i="16"/>
  <c r="IL133" i="16"/>
  <c r="IF133" i="16"/>
  <c r="HZ133" i="16"/>
  <c r="HR133" i="16"/>
  <c r="HL133" i="16"/>
  <c r="HF133" i="16"/>
  <c r="GX133" i="16"/>
  <c r="GR133" i="16"/>
  <c r="GL133" i="16"/>
  <c r="JY133" i="16"/>
  <c r="JS133" i="16"/>
  <c r="JK133" i="16"/>
  <c r="JE133" i="16"/>
  <c r="IY133" i="16"/>
  <c r="IQ133" i="16"/>
  <c r="IK133" i="16"/>
  <c r="IE133" i="16"/>
  <c r="HW133" i="16"/>
  <c r="HQ133" i="16"/>
  <c r="HK133" i="16"/>
  <c r="HC133" i="16"/>
  <c r="GW133" i="16"/>
  <c r="GQ133" i="16"/>
  <c r="N133" i="16"/>
  <c r="AP133" i="16" s="1"/>
  <c r="JX133" i="16"/>
  <c r="JJ133" i="16"/>
  <c r="IV133" i="16"/>
  <c r="IJ133" i="16"/>
  <c r="HV133" i="16"/>
  <c r="HH133" i="16"/>
  <c r="GV133" i="16"/>
  <c r="P133" i="16"/>
  <c r="JU133" i="16"/>
  <c r="JI133" i="16"/>
  <c r="IU133" i="16"/>
  <c r="IG133" i="16"/>
  <c r="HU133" i="16"/>
  <c r="HG133" i="16"/>
  <c r="GS133" i="16"/>
  <c r="JP133" i="16"/>
  <c r="JD133" i="16"/>
  <c r="IP133" i="16"/>
  <c r="IB133" i="16"/>
  <c r="HP133" i="16"/>
  <c r="HB133" i="16"/>
  <c r="GN133" i="16"/>
  <c r="M133" i="16"/>
  <c r="JO133" i="16"/>
  <c r="JA133" i="16"/>
  <c r="IO133" i="16"/>
  <c r="IA133" i="16"/>
  <c r="HM133" i="16"/>
  <c r="HA133" i="16"/>
  <c r="GM133" i="16"/>
  <c r="Q133" i="16"/>
  <c r="L133" i="16"/>
  <c r="I134" i="16" s="1" a="1"/>
  <c r="I134" i="16" s="1"/>
  <c r="AB132" i="16"/>
  <c r="AS132" i="16"/>
  <c r="AR132" i="16"/>
  <c r="AC132" i="16"/>
  <c r="U132" i="16"/>
  <c r="X131" i="16"/>
  <c r="W131" i="16"/>
  <c r="Y131" i="16"/>
  <c r="V131" i="16"/>
  <c r="Z131" i="16"/>
  <c r="BF133" i="16" l="1"/>
  <c r="B135" i="16"/>
  <c r="GG134" i="16"/>
  <c r="GB134" i="16"/>
  <c r="FW134" i="16"/>
  <c r="FR134" i="16"/>
  <c r="FM134" i="16"/>
  <c r="FH134" i="16"/>
  <c r="FC134" i="16"/>
  <c r="EX134" i="16"/>
  <c r="ES134" i="16"/>
  <c r="EN134" i="16"/>
  <c r="EI134" i="16"/>
  <c r="ED134" i="16"/>
  <c r="DY134" i="16"/>
  <c r="DT134" i="16"/>
  <c r="DO134" i="16"/>
  <c r="DJ134" i="16"/>
  <c r="DE134" i="16"/>
  <c r="CZ134" i="16"/>
  <c r="CU134" i="16"/>
  <c r="G134" i="16"/>
  <c r="C134" i="16"/>
  <c r="GC134" i="16"/>
  <c r="FV134" i="16"/>
  <c r="FP134" i="16"/>
  <c r="FI134" i="16"/>
  <c r="FB134" i="16"/>
  <c r="EV134" i="16"/>
  <c r="EO134" i="16"/>
  <c r="EH134" i="16"/>
  <c r="EB134" i="16"/>
  <c r="DU134" i="16"/>
  <c r="DN134" i="16"/>
  <c r="DH134" i="16"/>
  <c r="DA134" i="16"/>
  <c r="CT134" i="16"/>
  <c r="D134" i="16"/>
  <c r="GH134" i="16"/>
  <c r="GA134" i="16"/>
  <c r="FU134" i="16"/>
  <c r="FN134" i="16"/>
  <c r="FG134" i="16"/>
  <c r="FA134" i="16"/>
  <c r="ET134" i="16"/>
  <c r="EM134" i="16"/>
  <c r="EG134" i="16"/>
  <c r="DZ134" i="16"/>
  <c r="DS134" i="16"/>
  <c r="DM134" i="16"/>
  <c r="DF134" i="16"/>
  <c r="CY134" i="16"/>
  <c r="CS134" i="16"/>
  <c r="H134" i="16"/>
  <c r="FX134" i="16"/>
  <c r="FK134" i="16"/>
  <c r="EW134" i="16"/>
  <c r="EJ134" i="16"/>
  <c r="DW134" i="16"/>
  <c r="DI134" i="16"/>
  <c r="CV134" i="16"/>
  <c r="F134" i="16"/>
  <c r="GF134" i="16"/>
  <c r="FS134" i="16"/>
  <c r="FF134" i="16"/>
  <c r="ER134" i="16"/>
  <c r="EE134" i="16"/>
  <c r="DR134" i="16"/>
  <c r="DD134" i="16"/>
  <c r="E134" i="16"/>
  <c r="AH134" i="16" s="1"/>
  <c r="AX134" i="16" s="1"/>
  <c r="GE134" i="16"/>
  <c r="FQ134" i="16"/>
  <c r="FD134" i="16"/>
  <c r="EQ134" i="16"/>
  <c r="EC134" i="16"/>
  <c r="DP134" i="16"/>
  <c r="DC134" i="16"/>
  <c r="FZ134" i="16"/>
  <c r="FL134" i="16"/>
  <c r="EY134" i="16"/>
  <c r="EL134" i="16"/>
  <c r="DX134" i="16"/>
  <c r="DK134" i="16"/>
  <c r="CX134" i="16"/>
  <c r="JZ134" i="16"/>
  <c r="JU134" i="16"/>
  <c r="JP134" i="16"/>
  <c r="JK134" i="16"/>
  <c r="JF134" i="16"/>
  <c r="JA134" i="16"/>
  <c r="IV134" i="16"/>
  <c r="IQ134" i="16"/>
  <c r="IL134" i="16"/>
  <c r="IG134" i="16"/>
  <c r="IB134" i="16"/>
  <c r="HW134" i="16"/>
  <c r="HR134" i="16"/>
  <c r="HM134" i="16"/>
  <c r="HH134" i="16"/>
  <c r="HC134" i="16"/>
  <c r="GX134" i="16"/>
  <c r="GS134" i="16"/>
  <c r="GN134" i="16"/>
  <c r="KA134" i="16"/>
  <c r="JT134" i="16"/>
  <c r="JN134" i="16"/>
  <c r="JG134" i="16"/>
  <c r="IZ134" i="16"/>
  <c r="IT134" i="16"/>
  <c r="IM134" i="16"/>
  <c r="IF134" i="16"/>
  <c r="HZ134" i="16"/>
  <c r="HS134" i="16"/>
  <c r="HL134" i="16"/>
  <c r="HF134" i="16"/>
  <c r="GY134" i="16"/>
  <c r="GR134" i="16"/>
  <c r="GL134" i="16"/>
  <c r="N134" i="16"/>
  <c r="AP134" i="16" s="1"/>
  <c r="JY134" i="16"/>
  <c r="JS134" i="16"/>
  <c r="JL134" i="16"/>
  <c r="JE134" i="16"/>
  <c r="IY134" i="16"/>
  <c r="IR134" i="16"/>
  <c r="IK134" i="16"/>
  <c r="IE134" i="16"/>
  <c r="HX134" i="16"/>
  <c r="HQ134" i="16"/>
  <c r="HK134" i="16"/>
  <c r="HD134" i="16"/>
  <c r="GW134" i="16"/>
  <c r="GQ134" i="16"/>
  <c r="Q134" i="16"/>
  <c r="M134" i="16"/>
  <c r="K135" i="16"/>
  <c r="JO134" i="16"/>
  <c r="JB134" i="16"/>
  <c r="IO134" i="16"/>
  <c r="IA134" i="16"/>
  <c r="HN134" i="16"/>
  <c r="HA134" i="16"/>
  <c r="GM134" i="16"/>
  <c r="P134" i="16"/>
  <c r="JX134" i="16"/>
  <c r="JJ134" i="16"/>
  <c r="IW134" i="16"/>
  <c r="IJ134" i="16"/>
  <c r="HV134" i="16"/>
  <c r="HI134" i="16"/>
  <c r="GV134" i="16"/>
  <c r="JV134" i="16"/>
  <c r="JI134" i="16"/>
  <c r="IU134" i="16"/>
  <c r="IH134" i="16"/>
  <c r="HU134" i="16"/>
  <c r="HG134" i="16"/>
  <c r="GT134" i="16"/>
  <c r="L134" i="16"/>
  <c r="JQ134" i="16"/>
  <c r="JD134" i="16"/>
  <c r="IP134" i="16"/>
  <c r="IC134" i="16"/>
  <c r="HP134" i="16"/>
  <c r="HB134" i="16"/>
  <c r="GO134" i="16"/>
  <c r="W132" i="16"/>
  <c r="Z132" i="16"/>
  <c r="V132" i="16"/>
  <c r="Y132" i="16"/>
  <c r="X132" i="16"/>
  <c r="AB133" i="16"/>
  <c r="AS133" i="16"/>
  <c r="AR133" i="16"/>
  <c r="AC133" i="16"/>
  <c r="U133" i="16"/>
  <c r="Z133" i="16" l="1"/>
  <c r="V133" i="16"/>
  <c r="Y133" i="16"/>
  <c r="X133" i="16"/>
  <c r="W133" i="16"/>
  <c r="AS134" i="16"/>
  <c r="AR134" i="16"/>
  <c r="AB134" i="16"/>
  <c r="AC134" i="16"/>
  <c r="GF135" i="16"/>
  <c r="GA135" i="16"/>
  <c r="FV135" i="16"/>
  <c r="FQ135" i="16"/>
  <c r="FL135" i="16"/>
  <c r="FG135" i="16"/>
  <c r="FB135" i="16"/>
  <c r="EW135" i="16"/>
  <c r="ER135" i="16"/>
  <c r="EM135" i="16"/>
  <c r="EH135" i="16"/>
  <c r="EC135" i="16"/>
  <c r="DX135" i="16"/>
  <c r="DS135" i="16"/>
  <c r="DN135" i="16"/>
  <c r="DI135" i="16"/>
  <c r="DD135" i="16"/>
  <c r="CY135" i="16"/>
  <c r="CT135" i="16"/>
  <c r="F135" i="16"/>
  <c r="GE135" i="16"/>
  <c r="FX135" i="16"/>
  <c r="FR135" i="16"/>
  <c r="FK135" i="16"/>
  <c r="FD135" i="16"/>
  <c r="EX135" i="16"/>
  <c r="EQ135" i="16"/>
  <c r="EJ135" i="16"/>
  <c r="ED135" i="16"/>
  <c r="DW135" i="16"/>
  <c r="DP135" i="16"/>
  <c r="DJ135" i="16"/>
  <c r="DC135" i="16"/>
  <c r="CV135" i="16"/>
  <c r="D135" i="16"/>
  <c r="GC135" i="16"/>
  <c r="FW135" i="16"/>
  <c r="FP135" i="16"/>
  <c r="FI135" i="16"/>
  <c r="FC135" i="16"/>
  <c r="EV135" i="16"/>
  <c r="EO135" i="16"/>
  <c r="EI135" i="16"/>
  <c r="EB135" i="16"/>
  <c r="DU135" i="16"/>
  <c r="DO135" i="16"/>
  <c r="DH135" i="16"/>
  <c r="DA135" i="16"/>
  <c r="CU135" i="16"/>
  <c r="H135" i="16"/>
  <c r="C135" i="16"/>
  <c r="B136" i="16"/>
  <c r="FZ135" i="16"/>
  <c r="FM135" i="16"/>
  <c r="EY135" i="16"/>
  <c r="EL135" i="16"/>
  <c r="DY135" i="16"/>
  <c r="DK135" i="16"/>
  <c r="CX135" i="16"/>
  <c r="GH135" i="16"/>
  <c r="FU135" i="16"/>
  <c r="FH135" i="16"/>
  <c r="ET135" i="16"/>
  <c r="EG135" i="16"/>
  <c r="DT135" i="16"/>
  <c r="DF135" i="16"/>
  <c r="CS135" i="16"/>
  <c r="G135" i="16"/>
  <c r="GG135" i="16"/>
  <c r="FS135" i="16"/>
  <c r="FF135" i="16"/>
  <c r="ES135" i="16"/>
  <c r="EE135" i="16"/>
  <c r="DR135" i="16"/>
  <c r="DE135" i="16"/>
  <c r="E135" i="16"/>
  <c r="AH135" i="16" s="1"/>
  <c r="AX135" i="16" s="1"/>
  <c r="GB135" i="16"/>
  <c r="FN135" i="16"/>
  <c r="FA135" i="16"/>
  <c r="EN135" i="16"/>
  <c r="DZ135" i="16"/>
  <c r="DM135" i="16"/>
  <c r="CZ135" i="16"/>
  <c r="JY135" i="16"/>
  <c r="JT135" i="16"/>
  <c r="JO135" i="16"/>
  <c r="JJ135" i="16"/>
  <c r="JE135" i="16"/>
  <c r="IZ135" i="16"/>
  <c r="IU135" i="16"/>
  <c r="IP135" i="16"/>
  <c r="IK135" i="16"/>
  <c r="IF135" i="16"/>
  <c r="IA135" i="16"/>
  <c r="HV135" i="16"/>
  <c r="HQ135" i="16"/>
  <c r="HL135" i="16"/>
  <c r="HG135" i="16"/>
  <c r="HB135" i="16"/>
  <c r="GW135" i="16"/>
  <c r="GR135" i="16"/>
  <c r="GM135" i="16"/>
  <c r="N135" i="16"/>
  <c r="AP135" i="16" s="1"/>
  <c r="K136" i="16"/>
  <c r="JV135" i="16"/>
  <c r="JP135" i="16"/>
  <c r="JI135" i="16"/>
  <c r="JB135" i="16"/>
  <c r="IV135" i="16"/>
  <c r="IO135" i="16"/>
  <c r="IH135" i="16"/>
  <c r="IB135" i="16"/>
  <c r="HU135" i="16"/>
  <c r="HN135" i="16"/>
  <c r="HH135" i="16"/>
  <c r="HA135" i="16"/>
  <c r="GT135" i="16"/>
  <c r="GN135" i="16"/>
  <c r="KA135" i="16"/>
  <c r="JU135" i="16"/>
  <c r="JN135" i="16"/>
  <c r="JG135" i="16"/>
  <c r="JA135" i="16"/>
  <c r="IT135" i="16"/>
  <c r="IM135" i="16"/>
  <c r="IG135" i="16"/>
  <c r="HZ135" i="16"/>
  <c r="HS135" i="16"/>
  <c r="HM135" i="16"/>
  <c r="HF135" i="16"/>
  <c r="GY135" i="16"/>
  <c r="GS135" i="16"/>
  <c r="GL135" i="16"/>
  <c r="M135" i="16"/>
  <c r="JQ135" i="16"/>
  <c r="JD135" i="16"/>
  <c r="IQ135" i="16"/>
  <c r="IC135" i="16"/>
  <c r="HP135" i="16"/>
  <c r="HC135" i="16"/>
  <c r="GO135" i="16"/>
  <c r="Q135" i="16"/>
  <c r="JZ135" i="16"/>
  <c r="JL135" i="16"/>
  <c r="IY135" i="16"/>
  <c r="IL135" i="16"/>
  <c r="HX135" i="16"/>
  <c r="HK135" i="16"/>
  <c r="GX135" i="16"/>
  <c r="P135" i="16"/>
  <c r="JX135" i="16"/>
  <c r="JK135" i="16"/>
  <c r="IW135" i="16"/>
  <c r="IJ135" i="16"/>
  <c r="HW135" i="16"/>
  <c r="HI135" i="16"/>
  <c r="GV135" i="16"/>
  <c r="JS135" i="16"/>
  <c r="JF135" i="16"/>
  <c r="IR135" i="16"/>
  <c r="IE135" i="16"/>
  <c r="HR135" i="16"/>
  <c r="HD135" i="16"/>
  <c r="GQ135" i="16"/>
  <c r="L135" i="16"/>
  <c r="BF134" i="16"/>
  <c r="U134" i="16"/>
  <c r="I135" i="16" a="1"/>
  <c r="I135" i="16" s="1"/>
  <c r="JX136" i="16" l="1"/>
  <c r="JS136" i="16"/>
  <c r="JN136" i="16"/>
  <c r="JI136" i="16"/>
  <c r="JD136" i="16"/>
  <c r="IY136" i="16"/>
  <c r="IT136" i="16"/>
  <c r="IO136" i="16"/>
  <c r="IJ136" i="16"/>
  <c r="IE136" i="16"/>
  <c r="HZ136" i="16"/>
  <c r="HU136" i="16"/>
  <c r="HP136" i="16"/>
  <c r="HK136" i="16"/>
  <c r="HF136" i="16"/>
  <c r="HA136" i="16"/>
  <c r="GV136" i="16"/>
  <c r="GQ136" i="16"/>
  <c r="GL136" i="16"/>
  <c r="Q136" i="16"/>
  <c r="M136" i="16"/>
  <c r="JY136" i="16"/>
  <c r="JQ136" i="16"/>
  <c r="JK136" i="16"/>
  <c r="JE136" i="16"/>
  <c r="IW136" i="16"/>
  <c r="IQ136" i="16"/>
  <c r="IK136" i="16"/>
  <c r="IC136" i="16"/>
  <c r="HW136" i="16"/>
  <c r="HQ136" i="16"/>
  <c r="HI136" i="16"/>
  <c r="HC136" i="16"/>
  <c r="GW136" i="16"/>
  <c r="GO136" i="16"/>
  <c r="P136" i="16"/>
  <c r="K137" i="16"/>
  <c r="JV136" i="16"/>
  <c r="JP136" i="16"/>
  <c r="JJ136" i="16"/>
  <c r="JB136" i="16"/>
  <c r="IV136" i="16"/>
  <c r="IP136" i="16"/>
  <c r="IH136" i="16"/>
  <c r="IB136" i="16"/>
  <c r="HV136" i="16"/>
  <c r="HN136" i="16"/>
  <c r="HH136" i="16"/>
  <c r="HB136" i="16"/>
  <c r="GT136" i="16"/>
  <c r="GN136" i="16"/>
  <c r="JZ136" i="16"/>
  <c r="JL136" i="16"/>
  <c r="IZ136" i="16"/>
  <c r="IL136" i="16"/>
  <c r="HX136" i="16"/>
  <c r="HL136" i="16"/>
  <c r="GX136" i="16"/>
  <c r="L136" i="16"/>
  <c r="JU136" i="16"/>
  <c r="JG136" i="16"/>
  <c r="IU136" i="16"/>
  <c r="IG136" i="16"/>
  <c r="HS136" i="16"/>
  <c r="HG136" i="16"/>
  <c r="GS136" i="16"/>
  <c r="JT136" i="16"/>
  <c r="JF136" i="16"/>
  <c r="IR136" i="16"/>
  <c r="IF136" i="16"/>
  <c r="HR136" i="16"/>
  <c r="HD136" i="16"/>
  <c r="GR136" i="16"/>
  <c r="KA136" i="16"/>
  <c r="JO136" i="16"/>
  <c r="JA136" i="16"/>
  <c r="IM136" i="16"/>
  <c r="IA136" i="16"/>
  <c r="HM136" i="16"/>
  <c r="GY136" i="16"/>
  <c r="GM136" i="16"/>
  <c r="N136" i="16"/>
  <c r="AP136" i="16" s="1"/>
  <c r="GE136" i="16"/>
  <c r="FZ136" i="16"/>
  <c r="FU136" i="16"/>
  <c r="FP136" i="16"/>
  <c r="FK136" i="16"/>
  <c r="FF136" i="16"/>
  <c r="FA136" i="16"/>
  <c r="EV136" i="16"/>
  <c r="EQ136" i="16"/>
  <c r="EL136" i="16"/>
  <c r="EG136" i="16"/>
  <c r="EB136" i="16"/>
  <c r="DW136" i="16"/>
  <c r="DR136" i="16"/>
  <c r="DM136" i="16"/>
  <c r="DH136" i="16"/>
  <c r="DC136" i="16"/>
  <c r="CX136" i="16"/>
  <c r="CS136" i="16"/>
  <c r="E136" i="16"/>
  <c r="AH136" i="16" s="1"/>
  <c r="AX136" i="16" s="1"/>
  <c r="B137" i="16"/>
  <c r="GG136" i="16"/>
  <c r="GA136" i="16"/>
  <c r="FS136" i="16"/>
  <c r="FM136" i="16"/>
  <c r="FG136" i="16"/>
  <c r="EY136" i="16"/>
  <c r="ES136" i="16"/>
  <c r="EM136" i="16"/>
  <c r="EE136" i="16"/>
  <c r="DY136" i="16"/>
  <c r="DS136" i="16"/>
  <c r="DK136" i="16"/>
  <c r="DE136" i="16"/>
  <c r="CY136" i="16"/>
  <c r="F136" i="16"/>
  <c r="GF136" i="16"/>
  <c r="FX136" i="16"/>
  <c r="FR136" i="16"/>
  <c r="FL136" i="16"/>
  <c r="FD136" i="16"/>
  <c r="EX136" i="16"/>
  <c r="ER136" i="16"/>
  <c r="EJ136" i="16"/>
  <c r="ED136" i="16"/>
  <c r="DX136" i="16"/>
  <c r="DP136" i="16"/>
  <c r="DJ136" i="16"/>
  <c r="DD136" i="16"/>
  <c r="CV136" i="16"/>
  <c r="D136" i="16"/>
  <c r="GH136" i="16"/>
  <c r="FV136" i="16"/>
  <c r="FH136" i="16"/>
  <c r="ET136" i="16"/>
  <c r="EH136" i="16"/>
  <c r="DT136" i="16"/>
  <c r="DF136" i="16"/>
  <c r="CT136" i="16"/>
  <c r="GC136" i="16"/>
  <c r="FQ136" i="16"/>
  <c r="FC136" i="16"/>
  <c r="EO136" i="16"/>
  <c r="EC136" i="16"/>
  <c r="DO136" i="16"/>
  <c r="DA136" i="16"/>
  <c r="H136" i="16"/>
  <c r="GB136" i="16"/>
  <c r="FN136" i="16"/>
  <c r="FB136" i="16"/>
  <c r="EN136" i="16"/>
  <c r="DZ136" i="16"/>
  <c r="DN136" i="16"/>
  <c r="CZ136" i="16"/>
  <c r="G136" i="16"/>
  <c r="FW136" i="16"/>
  <c r="FI136" i="16"/>
  <c r="EW136" i="16"/>
  <c r="EI136" i="16"/>
  <c r="DU136" i="16"/>
  <c r="DI136" i="16"/>
  <c r="CU136" i="16"/>
  <c r="C136" i="16"/>
  <c r="BF135" i="16"/>
  <c r="Z134" i="16"/>
  <c r="V134" i="16"/>
  <c r="Y134" i="16"/>
  <c r="X134" i="16"/>
  <c r="W134" i="16"/>
  <c r="I136" i="16" a="1"/>
  <c r="I136" i="16" s="1"/>
  <c r="I137" i="16" a="1"/>
  <c r="I137" i="16" s="1"/>
  <c r="U135" i="16"/>
  <c r="AR135" i="16"/>
  <c r="AC135" i="16"/>
  <c r="AS135" i="16"/>
  <c r="AB135" i="16"/>
  <c r="U136" i="16" l="1"/>
  <c r="AC136" i="16"/>
  <c r="AR136" i="16"/>
  <c r="AB136" i="16"/>
  <c r="AS136" i="16"/>
  <c r="GH137" i="16"/>
  <c r="GC137" i="16"/>
  <c r="FX137" i="16"/>
  <c r="FS137" i="16"/>
  <c r="FN137" i="16"/>
  <c r="FI137" i="16"/>
  <c r="FD137" i="16"/>
  <c r="EY137" i="16"/>
  <c r="ET137" i="16"/>
  <c r="EO137" i="16"/>
  <c r="EJ137" i="16"/>
  <c r="EE137" i="16"/>
  <c r="DZ137" i="16"/>
  <c r="DU137" i="16"/>
  <c r="DP137" i="16"/>
  <c r="DK137" i="16"/>
  <c r="DF137" i="16"/>
  <c r="DA137" i="16"/>
  <c r="CV137" i="16"/>
  <c r="H137" i="16"/>
  <c r="D137" i="16"/>
  <c r="GB137" i="16"/>
  <c r="FV137" i="16"/>
  <c r="FP137" i="16"/>
  <c r="FH137" i="16"/>
  <c r="FB137" i="16"/>
  <c r="EV137" i="16"/>
  <c r="EN137" i="16"/>
  <c r="EH137" i="16"/>
  <c r="EB137" i="16"/>
  <c r="DT137" i="16"/>
  <c r="DN137" i="16"/>
  <c r="DH137" i="16"/>
  <c r="CZ137" i="16"/>
  <c r="CT137" i="16"/>
  <c r="G137" i="16"/>
  <c r="B138" i="16"/>
  <c r="GG137" i="16"/>
  <c r="GA137" i="16"/>
  <c r="FU137" i="16"/>
  <c r="FM137" i="16"/>
  <c r="FG137" i="16"/>
  <c r="FA137" i="16"/>
  <c r="ES137" i="16"/>
  <c r="EM137" i="16"/>
  <c r="EG137" i="16"/>
  <c r="DY137" i="16"/>
  <c r="DS137" i="16"/>
  <c r="DM137" i="16"/>
  <c r="DE137" i="16"/>
  <c r="CY137" i="16"/>
  <c r="CS137" i="16"/>
  <c r="F137" i="16"/>
  <c r="FZ137" i="16"/>
  <c r="FL137" i="16"/>
  <c r="EX137" i="16"/>
  <c r="EL137" i="16"/>
  <c r="DX137" i="16"/>
  <c r="DJ137" i="16"/>
  <c r="CX137" i="16"/>
  <c r="FW137" i="16"/>
  <c r="FK137" i="16"/>
  <c r="EW137" i="16"/>
  <c r="EI137" i="16"/>
  <c r="DW137" i="16"/>
  <c r="DI137" i="16"/>
  <c r="CU137" i="16"/>
  <c r="E137" i="16"/>
  <c r="AH137" i="16" s="1"/>
  <c r="AX137" i="16" s="1"/>
  <c r="GF137" i="16"/>
  <c r="FR137" i="16"/>
  <c r="FF137" i="16"/>
  <c r="ER137" i="16"/>
  <c r="ED137" i="16"/>
  <c r="DR137" i="16"/>
  <c r="DD137" i="16"/>
  <c r="C137" i="16"/>
  <c r="GE137" i="16"/>
  <c r="FQ137" i="16"/>
  <c r="FC137" i="16"/>
  <c r="EQ137" i="16"/>
  <c r="EC137" i="16"/>
  <c r="DO137" i="16"/>
  <c r="DC137" i="16"/>
  <c r="K138" i="16"/>
  <c r="KA137" i="16"/>
  <c r="JV137" i="16"/>
  <c r="JQ137" i="16"/>
  <c r="JL137" i="16"/>
  <c r="JG137" i="16"/>
  <c r="JB137" i="16"/>
  <c r="IW137" i="16"/>
  <c r="IR137" i="16"/>
  <c r="IM137" i="16"/>
  <c r="IH137" i="16"/>
  <c r="IC137" i="16"/>
  <c r="HX137" i="16"/>
  <c r="HS137" i="16"/>
  <c r="HN137" i="16"/>
  <c r="HI137" i="16"/>
  <c r="HD137" i="16"/>
  <c r="GY137" i="16"/>
  <c r="GT137" i="16"/>
  <c r="GO137" i="16"/>
  <c r="P137" i="16"/>
  <c r="L137" i="16"/>
  <c r="JZ137" i="16"/>
  <c r="JT137" i="16"/>
  <c r="JN137" i="16"/>
  <c r="JF137" i="16"/>
  <c r="IZ137" i="16"/>
  <c r="IT137" i="16"/>
  <c r="IL137" i="16"/>
  <c r="IF137" i="16"/>
  <c r="HZ137" i="16"/>
  <c r="HR137" i="16"/>
  <c r="HL137" i="16"/>
  <c r="HF137" i="16"/>
  <c r="GX137" i="16"/>
  <c r="GR137" i="16"/>
  <c r="GL137" i="16"/>
  <c r="M137" i="16"/>
  <c r="JY137" i="16"/>
  <c r="JS137" i="16"/>
  <c r="JK137" i="16"/>
  <c r="JE137" i="16"/>
  <c r="IY137" i="16"/>
  <c r="IQ137" i="16"/>
  <c r="IK137" i="16"/>
  <c r="IE137" i="16"/>
  <c r="HW137" i="16"/>
  <c r="HQ137" i="16"/>
  <c r="HK137" i="16"/>
  <c r="HC137" i="16"/>
  <c r="GW137" i="16"/>
  <c r="GQ137" i="16"/>
  <c r="Q137" i="16"/>
  <c r="JP137" i="16"/>
  <c r="JD137" i="16"/>
  <c r="IP137" i="16"/>
  <c r="IB137" i="16"/>
  <c r="HP137" i="16"/>
  <c r="HB137" i="16"/>
  <c r="GN137" i="16"/>
  <c r="JO137" i="16"/>
  <c r="JA137" i="16"/>
  <c r="IO137" i="16"/>
  <c r="IA137" i="16"/>
  <c r="HM137" i="16"/>
  <c r="HA137" i="16"/>
  <c r="GM137" i="16"/>
  <c r="JX137" i="16"/>
  <c r="JJ137" i="16"/>
  <c r="IV137" i="16"/>
  <c r="IJ137" i="16"/>
  <c r="HV137" i="16"/>
  <c r="HH137" i="16"/>
  <c r="GV137" i="16"/>
  <c r="N137" i="16"/>
  <c r="AP137" i="16" s="1"/>
  <c r="JU137" i="16"/>
  <c r="JI137" i="16"/>
  <c r="IU137" i="16"/>
  <c r="IG137" i="16"/>
  <c r="HU137" i="16"/>
  <c r="HG137" i="16"/>
  <c r="GS137" i="16"/>
  <c r="Y135" i="16"/>
  <c r="W135" i="16"/>
  <c r="V135" i="16"/>
  <c r="Z135" i="16"/>
  <c r="X135" i="16"/>
  <c r="BF137" i="16"/>
  <c r="BF136" i="16"/>
  <c r="B139" i="16" l="1"/>
  <c r="GG138" i="16"/>
  <c r="GB138" i="16"/>
  <c r="FW138" i="16"/>
  <c r="FR138" i="16"/>
  <c r="FM138" i="16"/>
  <c r="FH138" i="16"/>
  <c r="FC138" i="16"/>
  <c r="EX138" i="16"/>
  <c r="ES138" i="16"/>
  <c r="EN138" i="16"/>
  <c r="EI138" i="16"/>
  <c r="ED138" i="16"/>
  <c r="DY138" i="16"/>
  <c r="DT138" i="16"/>
  <c r="DO138" i="16"/>
  <c r="DJ138" i="16"/>
  <c r="DE138" i="16"/>
  <c r="CZ138" i="16"/>
  <c r="CU138" i="16"/>
  <c r="G138" i="16"/>
  <c r="C138" i="16"/>
  <c r="GC138" i="16"/>
  <c r="FV138" i="16"/>
  <c r="FP138" i="16"/>
  <c r="FI138" i="16"/>
  <c r="FB138" i="16"/>
  <c r="EV138" i="16"/>
  <c r="EO138" i="16"/>
  <c r="EH138" i="16"/>
  <c r="EB138" i="16"/>
  <c r="DU138" i="16"/>
  <c r="DN138" i="16"/>
  <c r="DH138" i="16"/>
  <c r="DA138" i="16"/>
  <c r="CT138" i="16"/>
  <c r="D138" i="16"/>
  <c r="GH138" i="16"/>
  <c r="GA138" i="16"/>
  <c r="FU138" i="16"/>
  <c r="FN138" i="16"/>
  <c r="FG138" i="16"/>
  <c r="FA138" i="16"/>
  <c r="ET138" i="16"/>
  <c r="EM138" i="16"/>
  <c r="EG138" i="16"/>
  <c r="DZ138" i="16"/>
  <c r="DS138" i="16"/>
  <c r="DM138" i="16"/>
  <c r="DF138" i="16"/>
  <c r="CY138" i="16"/>
  <c r="CS138" i="16"/>
  <c r="H138" i="16"/>
  <c r="GE138" i="16"/>
  <c r="FQ138" i="16"/>
  <c r="FD138" i="16"/>
  <c r="EQ138" i="16"/>
  <c r="EC138" i="16"/>
  <c r="DP138" i="16"/>
  <c r="DC138" i="16"/>
  <c r="FZ138" i="16"/>
  <c r="FL138" i="16"/>
  <c r="EY138" i="16"/>
  <c r="EL138" i="16"/>
  <c r="DX138" i="16"/>
  <c r="DK138" i="16"/>
  <c r="CX138" i="16"/>
  <c r="FX138" i="16"/>
  <c r="FK138" i="16"/>
  <c r="EW138" i="16"/>
  <c r="EJ138" i="16"/>
  <c r="DW138" i="16"/>
  <c r="DI138" i="16"/>
  <c r="CV138" i="16"/>
  <c r="F138" i="16"/>
  <c r="GF138" i="16"/>
  <c r="FS138" i="16"/>
  <c r="FF138" i="16"/>
  <c r="ER138" i="16"/>
  <c r="EE138" i="16"/>
  <c r="DR138" i="16"/>
  <c r="DD138" i="16"/>
  <c r="E138" i="16"/>
  <c r="AH138" i="16" s="1"/>
  <c r="AX138" i="16" s="1"/>
  <c r="AB137" i="16"/>
  <c r="AS137" i="16"/>
  <c r="AR137" i="16"/>
  <c r="AC137" i="16"/>
  <c r="I138" i="16" a="1"/>
  <c r="I138" i="16" s="1"/>
  <c r="JZ138" i="16"/>
  <c r="JU138" i="16"/>
  <c r="JP138" i="16"/>
  <c r="JK138" i="16"/>
  <c r="JF138" i="16"/>
  <c r="JA138" i="16"/>
  <c r="IV138" i="16"/>
  <c r="IQ138" i="16"/>
  <c r="IL138" i="16"/>
  <c r="IG138" i="16"/>
  <c r="IB138" i="16"/>
  <c r="HW138" i="16"/>
  <c r="HR138" i="16"/>
  <c r="HM138" i="16"/>
  <c r="HH138" i="16"/>
  <c r="HC138" i="16"/>
  <c r="GX138" i="16"/>
  <c r="GS138" i="16"/>
  <c r="GN138" i="16"/>
  <c r="KA138" i="16"/>
  <c r="JT138" i="16"/>
  <c r="JN138" i="16"/>
  <c r="JG138" i="16"/>
  <c r="IZ138" i="16"/>
  <c r="IT138" i="16"/>
  <c r="IM138" i="16"/>
  <c r="IF138" i="16"/>
  <c r="HZ138" i="16"/>
  <c r="HS138" i="16"/>
  <c r="HL138" i="16"/>
  <c r="HF138" i="16"/>
  <c r="GY138" i="16"/>
  <c r="GR138" i="16"/>
  <c r="GL138" i="16"/>
  <c r="N138" i="16"/>
  <c r="AP138" i="16" s="1"/>
  <c r="JY138" i="16"/>
  <c r="JS138" i="16"/>
  <c r="JL138" i="16"/>
  <c r="JE138" i="16"/>
  <c r="IY138" i="16"/>
  <c r="IR138" i="16"/>
  <c r="IK138" i="16"/>
  <c r="IE138" i="16"/>
  <c r="HX138" i="16"/>
  <c r="HQ138" i="16"/>
  <c r="HK138" i="16"/>
  <c r="HD138" i="16"/>
  <c r="GW138" i="16"/>
  <c r="GQ138" i="16"/>
  <c r="Q138" i="16"/>
  <c r="M138" i="16"/>
  <c r="JV138" i="16"/>
  <c r="JI138" i="16"/>
  <c r="IU138" i="16"/>
  <c r="IH138" i="16"/>
  <c r="HU138" i="16"/>
  <c r="HG138" i="16"/>
  <c r="GT138" i="16"/>
  <c r="L138" i="16"/>
  <c r="I139" i="16" s="1" a="1"/>
  <c r="I139" i="16" s="1"/>
  <c r="JQ138" i="16"/>
  <c r="JD138" i="16"/>
  <c r="IP138" i="16"/>
  <c r="IC138" i="16"/>
  <c r="HP138" i="16"/>
  <c r="HB138" i="16"/>
  <c r="GO138" i="16"/>
  <c r="K139" i="16"/>
  <c r="JO138" i="16"/>
  <c r="JB138" i="16"/>
  <c r="IO138" i="16"/>
  <c r="IA138" i="16"/>
  <c r="HN138" i="16"/>
  <c r="HA138" i="16"/>
  <c r="GM138" i="16"/>
  <c r="P138" i="16"/>
  <c r="JX138" i="16"/>
  <c r="JJ138" i="16"/>
  <c r="IW138" i="16"/>
  <c r="IJ138" i="16"/>
  <c r="HV138" i="16"/>
  <c r="HI138" i="16"/>
  <c r="GV138" i="16"/>
  <c r="U137" i="16"/>
  <c r="X136" i="16"/>
  <c r="Y136" i="16"/>
  <c r="W136" i="16"/>
  <c r="V136" i="16"/>
  <c r="Z136" i="16"/>
  <c r="BF138" i="16" l="1"/>
  <c r="W137" i="16"/>
  <c r="Z137" i="16"/>
  <c r="Y137" i="16"/>
  <c r="V137" i="16"/>
  <c r="X137" i="16"/>
  <c r="GF139" i="16"/>
  <c r="GA139" i="16"/>
  <c r="FV139" i="16"/>
  <c r="FQ139" i="16"/>
  <c r="FL139" i="16"/>
  <c r="FG139" i="16"/>
  <c r="FB139" i="16"/>
  <c r="EW139" i="16"/>
  <c r="ER139" i="16"/>
  <c r="EM139" i="16"/>
  <c r="EH139" i="16"/>
  <c r="EC139" i="16"/>
  <c r="DX139" i="16"/>
  <c r="DS139" i="16"/>
  <c r="DN139" i="16"/>
  <c r="DI139" i="16"/>
  <c r="DD139" i="16"/>
  <c r="CY139" i="16"/>
  <c r="CT139" i="16"/>
  <c r="F139" i="16"/>
  <c r="GE139" i="16"/>
  <c r="FX139" i="16"/>
  <c r="FR139" i="16"/>
  <c r="FK139" i="16"/>
  <c r="FD139" i="16"/>
  <c r="EX139" i="16"/>
  <c r="EQ139" i="16"/>
  <c r="EJ139" i="16"/>
  <c r="ED139" i="16"/>
  <c r="DW139" i="16"/>
  <c r="DP139" i="16"/>
  <c r="DJ139" i="16"/>
  <c r="DC139" i="16"/>
  <c r="CV139" i="16"/>
  <c r="D139" i="16"/>
  <c r="GC139" i="16"/>
  <c r="FW139" i="16"/>
  <c r="FP139" i="16"/>
  <c r="FI139" i="16"/>
  <c r="FC139" i="16"/>
  <c r="EV139" i="16"/>
  <c r="EO139" i="16"/>
  <c r="EI139" i="16"/>
  <c r="EB139" i="16"/>
  <c r="DU139" i="16"/>
  <c r="DO139" i="16"/>
  <c r="DH139" i="16"/>
  <c r="DA139" i="16"/>
  <c r="CU139" i="16"/>
  <c r="H139" i="16"/>
  <c r="C139" i="16"/>
  <c r="GG139" i="16"/>
  <c r="FS139" i="16"/>
  <c r="FF139" i="16"/>
  <c r="ES139" i="16"/>
  <c r="EE139" i="16"/>
  <c r="DR139" i="16"/>
  <c r="DE139" i="16"/>
  <c r="E139" i="16"/>
  <c r="AH139" i="16" s="1"/>
  <c r="AX139" i="16" s="1"/>
  <c r="GB139" i="16"/>
  <c r="FN139" i="16"/>
  <c r="FA139" i="16"/>
  <c r="EN139" i="16"/>
  <c r="DZ139" i="16"/>
  <c r="DM139" i="16"/>
  <c r="CZ139" i="16"/>
  <c r="B140" i="16"/>
  <c r="FZ139" i="16"/>
  <c r="FM139" i="16"/>
  <c r="EY139" i="16"/>
  <c r="EL139" i="16"/>
  <c r="DY139" i="16"/>
  <c r="DK139" i="16"/>
  <c r="CX139" i="16"/>
  <c r="GH139" i="16"/>
  <c r="FU139" i="16"/>
  <c r="FH139" i="16"/>
  <c r="ET139" i="16"/>
  <c r="EG139" i="16"/>
  <c r="DT139" i="16"/>
  <c r="DF139" i="16"/>
  <c r="CS139" i="16"/>
  <c r="G139" i="16"/>
  <c r="U138" i="16"/>
  <c r="AS138" i="16"/>
  <c r="AR138" i="16"/>
  <c r="AB138" i="16"/>
  <c r="AC138" i="16"/>
  <c r="JY139" i="16"/>
  <c r="JT139" i="16"/>
  <c r="JO139" i="16"/>
  <c r="JJ139" i="16"/>
  <c r="JE139" i="16"/>
  <c r="IZ139" i="16"/>
  <c r="IU139" i="16"/>
  <c r="IP139" i="16"/>
  <c r="IK139" i="16"/>
  <c r="IF139" i="16"/>
  <c r="IA139" i="16"/>
  <c r="HV139" i="16"/>
  <c r="HQ139" i="16"/>
  <c r="HL139" i="16"/>
  <c r="HG139" i="16"/>
  <c r="HB139" i="16"/>
  <c r="GW139" i="16"/>
  <c r="GR139" i="16"/>
  <c r="GM139" i="16"/>
  <c r="N139" i="16"/>
  <c r="AP139" i="16" s="1"/>
  <c r="K140" i="16"/>
  <c r="JV139" i="16"/>
  <c r="JP139" i="16"/>
  <c r="JI139" i="16"/>
  <c r="JB139" i="16"/>
  <c r="IV139" i="16"/>
  <c r="IO139" i="16"/>
  <c r="IH139" i="16"/>
  <c r="IB139" i="16"/>
  <c r="HU139" i="16"/>
  <c r="HN139" i="16"/>
  <c r="HH139" i="16"/>
  <c r="HA139" i="16"/>
  <c r="GT139" i="16"/>
  <c r="GN139" i="16"/>
  <c r="KA139" i="16"/>
  <c r="JU139" i="16"/>
  <c r="JN139" i="16"/>
  <c r="JG139" i="16"/>
  <c r="JA139" i="16"/>
  <c r="IT139" i="16"/>
  <c r="IM139" i="16"/>
  <c r="IG139" i="16"/>
  <c r="HZ139" i="16"/>
  <c r="HS139" i="16"/>
  <c r="HM139" i="16"/>
  <c r="HF139" i="16"/>
  <c r="GY139" i="16"/>
  <c r="GS139" i="16"/>
  <c r="GL139" i="16"/>
  <c r="M139" i="16"/>
  <c r="JX139" i="16"/>
  <c r="JK139" i="16"/>
  <c r="IW139" i="16"/>
  <c r="IJ139" i="16"/>
  <c r="HW139" i="16"/>
  <c r="HI139" i="16"/>
  <c r="GV139" i="16"/>
  <c r="JS139" i="16"/>
  <c r="JF139" i="16"/>
  <c r="IR139" i="16"/>
  <c r="IE139" i="16"/>
  <c r="HR139" i="16"/>
  <c r="HD139" i="16"/>
  <c r="GQ139" i="16"/>
  <c r="L139" i="16"/>
  <c r="BF139" i="16" s="1"/>
  <c r="JQ139" i="16"/>
  <c r="JD139" i="16"/>
  <c r="IQ139" i="16"/>
  <c r="IC139" i="16"/>
  <c r="HP139" i="16"/>
  <c r="HC139" i="16"/>
  <c r="GO139" i="16"/>
  <c r="Q139" i="16"/>
  <c r="JZ139" i="16"/>
  <c r="JL139" i="16"/>
  <c r="IY139" i="16"/>
  <c r="IL139" i="16"/>
  <c r="HX139" i="16"/>
  <c r="HK139" i="16"/>
  <c r="GX139" i="16"/>
  <c r="P139" i="16"/>
  <c r="I140" i="16" l="1" a="1"/>
  <c r="I140" i="16" s="1"/>
  <c r="Z138" i="16"/>
  <c r="V138" i="16"/>
  <c r="Y138" i="16"/>
  <c r="X138" i="16"/>
  <c r="W138" i="16"/>
  <c r="JX140" i="16"/>
  <c r="JS140" i="16"/>
  <c r="JN140" i="16"/>
  <c r="JI140" i="16"/>
  <c r="JD140" i="16"/>
  <c r="IY140" i="16"/>
  <c r="IT140" i="16"/>
  <c r="IO140" i="16"/>
  <c r="IJ140" i="16"/>
  <c r="IE140" i="16"/>
  <c r="HZ140" i="16"/>
  <c r="HU140" i="16"/>
  <c r="HP140" i="16"/>
  <c r="HK140" i="16"/>
  <c r="HF140" i="16"/>
  <c r="HA140" i="16"/>
  <c r="GV140" i="16"/>
  <c r="GQ140" i="16"/>
  <c r="GL140" i="16"/>
  <c r="Q140" i="16"/>
  <c r="M140" i="16"/>
  <c r="JY140" i="16"/>
  <c r="JQ140" i="16"/>
  <c r="JK140" i="16"/>
  <c r="JE140" i="16"/>
  <c r="IW140" i="16"/>
  <c r="IQ140" i="16"/>
  <c r="IK140" i="16"/>
  <c r="IC140" i="16"/>
  <c r="HW140" i="16"/>
  <c r="HQ140" i="16"/>
  <c r="HI140" i="16"/>
  <c r="HC140" i="16"/>
  <c r="GW140" i="16"/>
  <c r="GO140" i="16"/>
  <c r="P140" i="16"/>
  <c r="K141" i="16"/>
  <c r="JV140" i="16"/>
  <c r="JP140" i="16"/>
  <c r="JJ140" i="16"/>
  <c r="JB140" i="16"/>
  <c r="IV140" i="16"/>
  <c r="IP140" i="16"/>
  <c r="IH140" i="16"/>
  <c r="IB140" i="16"/>
  <c r="HV140" i="16"/>
  <c r="HN140" i="16"/>
  <c r="HH140" i="16"/>
  <c r="HB140" i="16"/>
  <c r="GT140" i="16"/>
  <c r="GN140" i="16"/>
  <c r="JT140" i="16"/>
  <c r="JF140" i="16"/>
  <c r="IR140" i="16"/>
  <c r="IF140" i="16"/>
  <c r="HR140" i="16"/>
  <c r="HD140" i="16"/>
  <c r="GR140" i="16"/>
  <c r="KA140" i="16"/>
  <c r="JO140" i="16"/>
  <c r="JA140" i="16"/>
  <c r="IM140" i="16"/>
  <c r="IA140" i="16"/>
  <c r="HM140" i="16"/>
  <c r="GY140" i="16"/>
  <c r="GM140" i="16"/>
  <c r="N140" i="16"/>
  <c r="AP140" i="16" s="1"/>
  <c r="JZ140" i="16"/>
  <c r="JL140" i="16"/>
  <c r="IZ140" i="16"/>
  <c r="IL140" i="16"/>
  <c r="HX140" i="16"/>
  <c r="HL140" i="16"/>
  <c r="GX140" i="16"/>
  <c r="L140" i="16"/>
  <c r="JU140" i="16"/>
  <c r="JG140" i="16"/>
  <c r="IU140" i="16"/>
  <c r="IG140" i="16"/>
  <c r="HS140" i="16"/>
  <c r="HG140" i="16"/>
  <c r="GS140" i="16"/>
  <c r="GE140" i="16"/>
  <c r="FZ140" i="16"/>
  <c r="FU140" i="16"/>
  <c r="FP140" i="16"/>
  <c r="FK140" i="16"/>
  <c r="FF140" i="16"/>
  <c r="FA140" i="16"/>
  <c r="EV140" i="16"/>
  <c r="EQ140" i="16"/>
  <c r="EL140" i="16"/>
  <c r="EG140" i="16"/>
  <c r="EB140" i="16"/>
  <c r="DW140" i="16"/>
  <c r="DR140" i="16"/>
  <c r="DM140" i="16"/>
  <c r="DH140" i="16"/>
  <c r="DC140" i="16"/>
  <c r="CX140" i="16"/>
  <c r="CS140" i="16"/>
  <c r="E140" i="16"/>
  <c r="AH140" i="16" s="1"/>
  <c r="AX140" i="16" s="1"/>
  <c r="B141" i="16"/>
  <c r="GG140" i="16"/>
  <c r="GA140" i="16"/>
  <c r="FS140" i="16"/>
  <c r="FM140" i="16"/>
  <c r="FG140" i="16"/>
  <c r="EY140" i="16"/>
  <c r="ES140" i="16"/>
  <c r="EM140" i="16"/>
  <c r="EE140" i="16"/>
  <c r="DY140" i="16"/>
  <c r="DS140" i="16"/>
  <c r="DK140" i="16"/>
  <c r="DE140" i="16"/>
  <c r="CY140" i="16"/>
  <c r="F140" i="16"/>
  <c r="GF140" i="16"/>
  <c r="FX140" i="16"/>
  <c r="FR140" i="16"/>
  <c r="FL140" i="16"/>
  <c r="FD140" i="16"/>
  <c r="EX140" i="16"/>
  <c r="ER140" i="16"/>
  <c r="EJ140" i="16"/>
  <c r="ED140" i="16"/>
  <c r="DX140" i="16"/>
  <c r="DP140" i="16"/>
  <c r="DJ140" i="16"/>
  <c r="DD140" i="16"/>
  <c r="CV140" i="16"/>
  <c r="D140" i="16"/>
  <c r="GB140" i="16"/>
  <c r="FN140" i="16"/>
  <c r="FB140" i="16"/>
  <c r="EN140" i="16"/>
  <c r="DZ140" i="16"/>
  <c r="DN140" i="16"/>
  <c r="CZ140" i="16"/>
  <c r="G140" i="16"/>
  <c r="FW140" i="16"/>
  <c r="FI140" i="16"/>
  <c r="EW140" i="16"/>
  <c r="EI140" i="16"/>
  <c r="DU140" i="16"/>
  <c r="DI140" i="16"/>
  <c r="CU140" i="16"/>
  <c r="C140" i="16"/>
  <c r="GH140" i="16"/>
  <c r="FV140" i="16"/>
  <c r="FH140" i="16"/>
  <c r="ET140" i="16"/>
  <c r="EH140" i="16"/>
  <c r="DT140" i="16"/>
  <c r="DF140" i="16"/>
  <c r="CT140" i="16"/>
  <c r="GC140" i="16"/>
  <c r="FQ140" i="16"/>
  <c r="FC140" i="16"/>
  <c r="EO140" i="16"/>
  <c r="EC140" i="16"/>
  <c r="DO140" i="16"/>
  <c r="DA140" i="16"/>
  <c r="H140" i="16"/>
  <c r="U139" i="16"/>
  <c r="AR139" i="16"/>
  <c r="AC139" i="16"/>
  <c r="AS139" i="16"/>
  <c r="AB139" i="16"/>
  <c r="U140" i="16" l="1"/>
  <c r="AC140" i="16"/>
  <c r="AR140" i="16"/>
  <c r="AB140" i="16"/>
  <c r="AS140" i="16"/>
  <c r="I141" i="16" a="1"/>
  <c r="I141" i="16" s="1"/>
  <c r="GH141" i="16"/>
  <c r="GC141" i="16"/>
  <c r="FX141" i="16"/>
  <c r="FS141" i="16"/>
  <c r="FN141" i="16"/>
  <c r="FI141" i="16"/>
  <c r="FD141" i="16"/>
  <c r="EY141" i="16"/>
  <c r="ET141" i="16"/>
  <c r="EO141" i="16"/>
  <c r="EJ141" i="16"/>
  <c r="EE141" i="16"/>
  <c r="DZ141" i="16"/>
  <c r="DU141" i="16"/>
  <c r="DP141" i="16"/>
  <c r="DK141" i="16"/>
  <c r="DF141" i="16"/>
  <c r="DA141" i="16"/>
  <c r="CV141" i="16"/>
  <c r="H141" i="16"/>
  <c r="D141" i="16"/>
  <c r="GB141" i="16"/>
  <c r="FV141" i="16"/>
  <c r="FP141" i="16"/>
  <c r="FH141" i="16"/>
  <c r="FB141" i="16"/>
  <c r="EV141" i="16"/>
  <c r="EN141" i="16"/>
  <c r="EH141" i="16"/>
  <c r="EB141" i="16"/>
  <c r="DT141" i="16"/>
  <c r="DN141" i="16"/>
  <c r="DH141" i="16"/>
  <c r="CZ141" i="16"/>
  <c r="CT141" i="16"/>
  <c r="G141" i="16"/>
  <c r="B142" i="16"/>
  <c r="GG141" i="16"/>
  <c r="GA141" i="16"/>
  <c r="FU141" i="16"/>
  <c r="FM141" i="16"/>
  <c r="FG141" i="16"/>
  <c r="FA141" i="16"/>
  <c r="ES141" i="16"/>
  <c r="EM141" i="16"/>
  <c r="EG141" i="16"/>
  <c r="DY141" i="16"/>
  <c r="DS141" i="16"/>
  <c r="DM141" i="16"/>
  <c r="DE141" i="16"/>
  <c r="CY141" i="16"/>
  <c r="CS141" i="16"/>
  <c r="F141" i="16"/>
  <c r="GF141" i="16"/>
  <c r="FR141" i="16"/>
  <c r="FF141" i="16"/>
  <c r="ER141" i="16"/>
  <c r="ED141" i="16"/>
  <c r="DR141" i="16"/>
  <c r="DD141" i="16"/>
  <c r="C141" i="16"/>
  <c r="GE141" i="16"/>
  <c r="FQ141" i="16"/>
  <c r="FC141" i="16"/>
  <c r="EQ141" i="16"/>
  <c r="EC141" i="16"/>
  <c r="DO141" i="16"/>
  <c r="DC141" i="16"/>
  <c r="FZ141" i="16"/>
  <c r="FL141" i="16"/>
  <c r="EX141" i="16"/>
  <c r="EL141" i="16"/>
  <c r="DX141" i="16"/>
  <c r="DJ141" i="16"/>
  <c r="CX141" i="16"/>
  <c r="FW141" i="16"/>
  <c r="FK141" i="16"/>
  <c r="EW141" i="16"/>
  <c r="EI141" i="16"/>
  <c r="DW141" i="16"/>
  <c r="DI141" i="16"/>
  <c r="CU141" i="16"/>
  <c r="E141" i="16"/>
  <c r="AH141" i="16" s="1"/>
  <c r="AX141" i="16" s="1"/>
  <c r="K142" i="16"/>
  <c r="KA141" i="16"/>
  <c r="JV141" i="16"/>
  <c r="JQ141" i="16"/>
  <c r="JL141" i="16"/>
  <c r="JG141" i="16"/>
  <c r="JB141" i="16"/>
  <c r="IW141" i="16"/>
  <c r="IR141" i="16"/>
  <c r="IM141" i="16"/>
  <c r="IH141" i="16"/>
  <c r="IC141" i="16"/>
  <c r="HX141" i="16"/>
  <c r="HS141" i="16"/>
  <c r="HN141" i="16"/>
  <c r="HI141" i="16"/>
  <c r="HD141" i="16"/>
  <c r="GY141" i="16"/>
  <c r="GT141" i="16"/>
  <c r="GO141" i="16"/>
  <c r="P141" i="16"/>
  <c r="L141" i="16"/>
  <c r="I142" i="16" s="1" a="1"/>
  <c r="I142" i="16" s="1"/>
  <c r="JZ141" i="16"/>
  <c r="JT141" i="16"/>
  <c r="JN141" i="16"/>
  <c r="JF141" i="16"/>
  <c r="IZ141" i="16"/>
  <c r="IT141" i="16"/>
  <c r="IL141" i="16"/>
  <c r="IF141" i="16"/>
  <c r="HZ141" i="16"/>
  <c r="HR141" i="16"/>
  <c r="HL141" i="16"/>
  <c r="HF141" i="16"/>
  <c r="GX141" i="16"/>
  <c r="GR141" i="16"/>
  <c r="GL141" i="16"/>
  <c r="M141" i="16"/>
  <c r="JY141" i="16"/>
  <c r="JS141" i="16"/>
  <c r="JK141" i="16"/>
  <c r="JE141" i="16"/>
  <c r="IY141" i="16"/>
  <c r="IQ141" i="16"/>
  <c r="IK141" i="16"/>
  <c r="IE141" i="16"/>
  <c r="HW141" i="16"/>
  <c r="HQ141" i="16"/>
  <c r="HK141" i="16"/>
  <c r="HC141" i="16"/>
  <c r="GW141" i="16"/>
  <c r="GQ141" i="16"/>
  <c r="Q141" i="16"/>
  <c r="JX141" i="16"/>
  <c r="JJ141" i="16"/>
  <c r="IV141" i="16"/>
  <c r="IJ141" i="16"/>
  <c r="HV141" i="16"/>
  <c r="HH141" i="16"/>
  <c r="GV141" i="16"/>
  <c r="N141" i="16"/>
  <c r="AP141" i="16" s="1"/>
  <c r="JU141" i="16"/>
  <c r="JI141" i="16"/>
  <c r="IU141" i="16"/>
  <c r="IG141" i="16"/>
  <c r="HU141" i="16"/>
  <c r="HG141" i="16"/>
  <c r="GS141" i="16"/>
  <c r="JP141" i="16"/>
  <c r="JD141" i="16"/>
  <c r="IP141" i="16"/>
  <c r="IB141" i="16"/>
  <c r="HP141" i="16"/>
  <c r="HB141" i="16"/>
  <c r="GN141" i="16"/>
  <c r="JO141" i="16"/>
  <c r="JA141" i="16"/>
  <c r="IO141" i="16"/>
  <c r="IA141" i="16"/>
  <c r="HM141" i="16"/>
  <c r="HA141" i="16"/>
  <c r="GM141" i="16"/>
  <c r="BF140" i="16"/>
  <c r="Y139" i="16"/>
  <c r="W139" i="16"/>
  <c r="V139" i="16"/>
  <c r="Z139" i="16"/>
  <c r="X139" i="16"/>
  <c r="BF141" i="16" l="1"/>
  <c r="JZ142" i="16"/>
  <c r="JU142" i="16"/>
  <c r="JP142" i="16"/>
  <c r="JK142" i="16"/>
  <c r="JF142" i="16"/>
  <c r="JA142" i="16"/>
  <c r="IV142" i="16"/>
  <c r="IQ142" i="16"/>
  <c r="IL142" i="16"/>
  <c r="IG142" i="16"/>
  <c r="IB142" i="16"/>
  <c r="HW142" i="16"/>
  <c r="HR142" i="16"/>
  <c r="HM142" i="16"/>
  <c r="HH142" i="16"/>
  <c r="HC142" i="16"/>
  <c r="GX142" i="16"/>
  <c r="GS142" i="16"/>
  <c r="GN142" i="16"/>
  <c r="KA142" i="16"/>
  <c r="JT142" i="16"/>
  <c r="JN142" i="16"/>
  <c r="JG142" i="16"/>
  <c r="IZ142" i="16"/>
  <c r="IT142" i="16"/>
  <c r="IM142" i="16"/>
  <c r="IF142" i="16"/>
  <c r="HZ142" i="16"/>
  <c r="HS142" i="16"/>
  <c r="HL142" i="16"/>
  <c r="HF142" i="16"/>
  <c r="GY142" i="16"/>
  <c r="GR142" i="16"/>
  <c r="GL142" i="16"/>
  <c r="N142" i="16"/>
  <c r="AP142" i="16" s="1"/>
  <c r="JY142" i="16"/>
  <c r="JS142" i="16"/>
  <c r="JL142" i="16"/>
  <c r="JE142" i="16"/>
  <c r="IY142" i="16"/>
  <c r="IR142" i="16"/>
  <c r="IK142" i="16"/>
  <c r="IE142" i="16"/>
  <c r="HX142" i="16"/>
  <c r="HQ142" i="16"/>
  <c r="HK142" i="16"/>
  <c r="HD142" i="16"/>
  <c r="GW142" i="16"/>
  <c r="GQ142" i="16"/>
  <c r="Q142" i="16"/>
  <c r="M142" i="16"/>
  <c r="K143" i="16"/>
  <c r="JO142" i="16"/>
  <c r="JB142" i="16"/>
  <c r="IO142" i="16"/>
  <c r="IA142" i="16"/>
  <c r="HN142" i="16"/>
  <c r="HA142" i="16"/>
  <c r="GM142" i="16"/>
  <c r="P142" i="16"/>
  <c r="JX142" i="16"/>
  <c r="JJ142" i="16"/>
  <c r="IW142" i="16"/>
  <c r="IJ142" i="16"/>
  <c r="HV142" i="16"/>
  <c r="HI142" i="16"/>
  <c r="GV142" i="16"/>
  <c r="JV142" i="16"/>
  <c r="JI142" i="16"/>
  <c r="IU142" i="16"/>
  <c r="IH142" i="16"/>
  <c r="HU142" i="16"/>
  <c r="HG142" i="16"/>
  <c r="GT142" i="16"/>
  <c r="L142" i="16"/>
  <c r="BF142" i="16" s="1"/>
  <c r="JQ142" i="16"/>
  <c r="JD142" i="16"/>
  <c r="IP142" i="16"/>
  <c r="IC142" i="16"/>
  <c r="HP142" i="16"/>
  <c r="HB142" i="16"/>
  <c r="GO142" i="16"/>
  <c r="X140" i="16"/>
  <c r="Y140" i="16"/>
  <c r="W140" i="16"/>
  <c r="Z140" i="16"/>
  <c r="V140" i="16"/>
  <c r="U141" i="16"/>
  <c r="B143" i="16"/>
  <c r="GG142" i="16"/>
  <c r="GB142" i="16"/>
  <c r="FW142" i="16"/>
  <c r="FR142" i="16"/>
  <c r="FM142" i="16"/>
  <c r="FH142" i="16"/>
  <c r="FC142" i="16"/>
  <c r="EX142" i="16"/>
  <c r="ES142" i="16"/>
  <c r="EN142" i="16"/>
  <c r="EI142" i="16"/>
  <c r="ED142" i="16"/>
  <c r="DY142" i="16"/>
  <c r="DT142" i="16"/>
  <c r="DO142" i="16"/>
  <c r="DJ142" i="16"/>
  <c r="DE142" i="16"/>
  <c r="CZ142" i="16"/>
  <c r="CU142" i="16"/>
  <c r="G142" i="16"/>
  <c r="C142" i="16"/>
  <c r="GC142" i="16"/>
  <c r="FV142" i="16"/>
  <c r="FP142" i="16"/>
  <c r="FI142" i="16"/>
  <c r="FB142" i="16"/>
  <c r="EV142" i="16"/>
  <c r="EO142" i="16"/>
  <c r="EH142" i="16"/>
  <c r="EB142" i="16"/>
  <c r="DU142" i="16"/>
  <c r="DN142" i="16"/>
  <c r="DH142" i="16"/>
  <c r="DA142" i="16"/>
  <c r="CT142" i="16"/>
  <c r="D142" i="16"/>
  <c r="GH142" i="16"/>
  <c r="GA142" i="16"/>
  <c r="FU142" i="16"/>
  <c r="FN142" i="16"/>
  <c r="FG142" i="16"/>
  <c r="FA142" i="16"/>
  <c r="ET142" i="16"/>
  <c r="EM142" i="16"/>
  <c r="EG142" i="16"/>
  <c r="DZ142" i="16"/>
  <c r="DS142" i="16"/>
  <c r="DM142" i="16"/>
  <c r="DF142" i="16"/>
  <c r="CY142" i="16"/>
  <c r="CS142" i="16"/>
  <c r="H142" i="16"/>
  <c r="FX142" i="16"/>
  <c r="FK142" i="16"/>
  <c r="EW142" i="16"/>
  <c r="EJ142" i="16"/>
  <c r="DW142" i="16"/>
  <c r="DI142" i="16"/>
  <c r="CV142" i="16"/>
  <c r="F142" i="16"/>
  <c r="GF142" i="16"/>
  <c r="FS142" i="16"/>
  <c r="FF142" i="16"/>
  <c r="ER142" i="16"/>
  <c r="EE142" i="16"/>
  <c r="DR142" i="16"/>
  <c r="DD142" i="16"/>
  <c r="E142" i="16"/>
  <c r="AH142" i="16" s="1"/>
  <c r="AX142" i="16" s="1"/>
  <c r="GE142" i="16"/>
  <c r="FQ142" i="16"/>
  <c r="FD142" i="16"/>
  <c r="EQ142" i="16"/>
  <c r="EC142" i="16"/>
  <c r="DP142" i="16"/>
  <c r="DC142" i="16"/>
  <c r="FZ142" i="16"/>
  <c r="FL142" i="16"/>
  <c r="EY142" i="16"/>
  <c r="EL142" i="16"/>
  <c r="DX142" i="16"/>
  <c r="DK142" i="16"/>
  <c r="CX142" i="16"/>
  <c r="AB141" i="16"/>
  <c r="AS141" i="16"/>
  <c r="AR141" i="16"/>
  <c r="AC141" i="16"/>
  <c r="JY143" i="16" l="1"/>
  <c r="JT143" i="16"/>
  <c r="JO143" i="16"/>
  <c r="JJ143" i="16"/>
  <c r="JE143" i="16"/>
  <c r="IZ143" i="16"/>
  <c r="IU143" i="16"/>
  <c r="IP143" i="16"/>
  <c r="IK143" i="16"/>
  <c r="IF143" i="16"/>
  <c r="IA143" i="16"/>
  <c r="HV143" i="16"/>
  <c r="HQ143" i="16"/>
  <c r="HL143" i="16"/>
  <c r="HG143" i="16"/>
  <c r="HB143" i="16"/>
  <c r="GW143" i="16"/>
  <c r="GR143" i="16"/>
  <c r="GM143" i="16"/>
  <c r="N143" i="16"/>
  <c r="AP143" i="16" s="1"/>
  <c r="K144" i="16"/>
  <c r="JV143" i="16"/>
  <c r="JP143" i="16"/>
  <c r="JI143" i="16"/>
  <c r="JB143" i="16"/>
  <c r="IV143" i="16"/>
  <c r="IO143" i="16"/>
  <c r="IH143" i="16"/>
  <c r="IB143" i="16"/>
  <c r="HU143" i="16"/>
  <c r="HN143" i="16"/>
  <c r="HH143" i="16"/>
  <c r="HA143" i="16"/>
  <c r="GT143" i="16"/>
  <c r="GN143" i="16"/>
  <c r="KA143" i="16"/>
  <c r="JU143" i="16"/>
  <c r="JN143" i="16"/>
  <c r="JG143" i="16"/>
  <c r="JA143" i="16"/>
  <c r="IT143" i="16"/>
  <c r="IM143" i="16"/>
  <c r="IG143" i="16"/>
  <c r="HZ143" i="16"/>
  <c r="HS143" i="16"/>
  <c r="HM143" i="16"/>
  <c r="HF143" i="16"/>
  <c r="GY143" i="16"/>
  <c r="GS143" i="16"/>
  <c r="GL143" i="16"/>
  <c r="M143" i="16"/>
  <c r="JQ143" i="16"/>
  <c r="JD143" i="16"/>
  <c r="IQ143" i="16"/>
  <c r="IC143" i="16"/>
  <c r="HP143" i="16"/>
  <c r="HC143" i="16"/>
  <c r="GO143" i="16"/>
  <c r="Q143" i="16"/>
  <c r="JZ143" i="16"/>
  <c r="JL143" i="16"/>
  <c r="IY143" i="16"/>
  <c r="IL143" i="16"/>
  <c r="HX143" i="16"/>
  <c r="HK143" i="16"/>
  <c r="GX143" i="16"/>
  <c r="P143" i="16"/>
  <c r="JX143" i="16"/>
  <c r="JK143" i="16"/>
  <c r="IW143" i="16"/>
  <c r="IJ143" i="16"/>
  <c r="HW143" i="16"/>
  <c r="HI143" i="16"/>
  <c r="GV143" i="16"/>
  <c r="JS143" i="16"/>
  <c r="JF143" i="16"/>
  <c r="IR143" i="16"/>
  <c r="IE143" i="16"/>
  <c r="HR143" i="16"/>
  <c r="HD143" i="16"/>
  <c r="GQ143" i="16"/>
  <c r="L143" i="16"/>
  <c r="AS142" i="16"/>
  <c r="AR142" i="16"/>
  <c r="AB142" i="16"/>
  <c r="AC142" i="16"/>
  <c r="W141" i="16"/>
  <c r="Z141" i="16"/>
  <c r="Y141" i="16"/>
  <c r="X141" i="16"/>
  <c r="V141" i="16"/>
  <c r="GF143" i="16"/>
  <c r="GA143" i="16"/>
  <c r="FV143" i="16"/>
  <c r="FQ143" i="16"/>
  <c r="FL143" i="16"/>
  <c r="FG143" i="16"/>
  <c r="FB143" i="16"/>
  <c r="EW143" i="16"/>
  <c r="ER143" i="16"/>
  <c r="EM143" i="16"/>
  <c r="EH143" i="16"/>
  <c r="EC143" i="16"/>
  <c r="DX143" i="16"/>
  <c r="DS143" i="16"/>
  <c r="DN143" i="16"/>
  <c r="DI143" i="16"/>
  <c r="DD143" i="16"/>
  <c r="CY143" i="16"/>
  <c r="CT143" i="16"/>
  <c r="F143" i="16"/>
  <c r="GE143" i="16"/>
  <c r="FX143" i="16"/>
  <c r="FR143" i="16"/>
  <c r="FK143" i="16"/>
  <c r="FD143" i="16"/>
  <c r="EX143" i="16"/>
  <c r="EQ143" i="16"/>
  <c r="EJ143" i="16"/>
  <c r="ED143" i="16"/>
  <c r="DW143" i="16"/>
  <c r="DP143" i="16"/>
  <c r="DJ143" i="16"/>
  <c r="DC143" i="16"/>
  <c r="CV143" i="16"/>
  <c r="D143" i="16"/>
  <c r="GC143" i="16"/>
  <c r="FW143" i="16"/>
  <c r="FP143" i="16"/>
  <c r="FI143" i="16"/>
  <c r="FC143" i="16"/>
  <c r="EV143" i="16"/>
  <c r="EO143" i="16"/>
  <c r="EI143" i="16"/>
  <c r="EB143" i="16"/>
  <c r="DU143" i="16"/>
  <c r="DO143" i="16"/>
  <c r="DH143" i="16"/>
  <c r="DA143" i="16"/>
  <c r="CU143" i="16"/>
  <c r="H143" i="16"/>
  <c r="C143" i="16"/>
  <c r="B144" i="16"/>
  <c r="FZ143" i="16"/>
  <c r="FM143" i="16"/>
  <c r="EY143" i="16"/>
  <c r="EL143" i="16"/>
  <c r="DY143" i="16"/>
  <c r="DK143" i="16"/>
  <c r="CX143" i="16"/>
  <c r="GH143" i="16"/>
  <c r="FU143" i="16"/>
  <c r="FH143" i="16"/>
  <c r="ET143" i="16"/>
  <c r="EG143" i="16"/>
  <c r="DT143" i="16"/>
  <c r="DF143" i="16"/>
  <c r="CS143" i="16"/>
  <c r="G143" i="16"/>
  <c r="GG143" i="16"/>
  <c r="FS143" i="16"/>
  <c r="FF143" i="16"/>
  <c r="ES143" i="16"/>
  <c r="EE143" i="16"/>
  <c r="DR143" i="16"/>
  <c r="DE143" i="16"/>
  <c r="E143" i="16"/>
  <c r="AH143" i="16" s="1"/>
  <c r="AX143" i="16" s="1"/>
  <c r="GB143" i="16"/>
  <c r="FN143" i="16"/>
  <c r="FA143" i="16"/>
  <c r="EN143" i="16"/>
  <c r="DZ143" i="16"/>
  <c r="DM143" i="16"/>
  <c r="CZ143" i="16"/>
  <c r="I144" i="16" a="1"/>
  <c r="I144" i="16" s="1"/>
  <c r="I143" i="16" a="1"/>
  <c r="I143" i="16" s="1"/>
  <c r="U142" i="16"/>
  <c r="BF143" i="16"/>
  <c r="JX144" i="16" l="1"/>
  <c r="JS144" i="16"/>
  <c r="JN144" i="16"/>
  <c r="JI144" i="16"/>
  <c r="JD144" i="16"/>
  <c r="IY144" i="16"/>
  <c r="IT144" i="16"/>
  <c r="IO144" i="16"/>
  <c r="IJ144" i="16"/>
  <c r="IE144" i="16"/>
  <c r="HZ144" i="16"/>
  <c r="HU144" i="16"/>
  <c r="HP144" i="16"/>
  <c r="HK144" i="16"/>
  <c r="HF144" i="16"/>
  <c r="HA144" i="16"/>
  <c r="GV144" i="16"/>
  <c r="GQ144" i="16"/>
  <c r="GL144" i="16"/>
  <c r="Q144" i="16"/>
  <c r="M144" i="16"/>
  <c r="JY144" i="16"/>
  <c r="JQ144" i="16"/>
  <c r="JK144" i="16"/>
  <c r="JE144" i="16"/>
  <c r="IW144" i="16"/>
  <c r="IQ144" i="16"/>
  <c r="IK144" i="16"/>
  <c r="IC144" i="16"/>
  <c r="HW144" i="16"/>
  <c r="HQ144" i="16"/>
  <c r="HI144" i="16"/>
  <c r="HC144" i="16"/>
  <c r="GW144" i="16"/>
  <c r="GO144" i="16"/>
  <c r="P144" i="16"/>
  <c r="K145" i="16"/>
  <c r="JV144" i="16"/>
  <c r="JP144" i="16"/>
  <c r="JJ144" i="16"/>
  <c r="JB144" i="16"/>
  <c r="IV144" i="16"/>
  <c r="IP144" i="16"/>
  <c r="IH144" i="16"/>
  <c r="IB144" i="16"/>
  <c r="HV144" i="16"/>
  <c r="HN144" i="16"/>
  <c r="HH144" i="16"/>
  <c r="HB144" i="16"/>
  <c r="GT144" i="16"/>
  <c r="GN144" i="16"/>
  <c r="JZ144" i="16"/>
  <c r="JL144" i="16"/>
  <c r="IZ144" i="16"/>
  <c r="IL144" i="16"/>
  <c r="HX144" i="16"/>
  <c r="HL144" i="16"/>
  <c r="GX144" i="16"/>
  <c r="L144" i="16"/>
  <c r="JU144" i="16"/>
  <c r="JG144" i="16"/>
  <c r="IU144" i="16"/>
  <c r="IG144" i="16"/>
  <c r="HS144" i="16"/>
  <c r="HG144" i="16"/>
  <c r="GS144" i="16"/>
  <c r="JT144" i="16"/>
  <c r="JF144" i="16"/>
  <c r="IR144" i="16"/>
  <c r="IF144" i="16"/>
  <c r="HR144" i="16"/>
  <c r="HD144" i="16"/>
  <c r="GR144" i="16"/>
  <c r="KA144" i="16"/>
  <c r="JO144" i="16"/>
  <c r="JA144" i="16"/>
  <c r="IM144" i="16"/>
  <c r="IA144" i="16"/>
  <c r="HM144" i="16"/>
  <c r="GY144" i="16"/>
  <c r="GM144" i="16"/>
  <c r="N144" i="16"/>
  <c r="AP144" i="16" s="1"/>
  <c r="GE144" i="16"/>
  <c r="FZ144" i="16"/>
  <c r="FU144" i="16"/>
  <c r="FP144" i="16"/>
  <c r="FK144" i="16"/>
  <c r="FF144" i="16"/>
  <c r="FA144" i="16"/>
  <c r="EV144" i="16"/>
  <c r="EQ144" i="16"/>
  <c r="EL144" i="16"/>
  <c r="EG144" i="16"/>
  <c r="EB144" i="16"/>
  <c r="DW144" i="16"/>
  <c r="DR144" i="16"/>
  <c r="DM144" i="16"/>
  <c r="DH144" i="16"/>
  <c r="DC144" i="16"/>
  <c r="CX144" i="16"/>
  <c r="CS144" i="16"/>
  <c r="E144" i="16"/>
  <c r="AH144" i="16" s="1"/>
  <c r="AX144" i="16" s="1"/>
  <c r="B145" i="16"/>
  <c r="GG144" i="16"/>
  <c r="GA144" i="16"/>
  <c r="FS144" i="16"/>
  <c r="FM144" i="16"/>
  <c r="FG144" i="16"/>
  <c r="EY144" i="16"/>
  <c r="ES144" i="16"/>
  <c r="EM144" i="16"/>
  <c r="EE144" i="16"/>
  <c r="DY144" i="16"/>
  <c r="DS144" i="16"/>
  <c r="DK144" i="16"/>
  <c r="DE144" i="16"/>
  <c r="CY144" i="16"/>
  <c r="F144" i="16"/>
  <c r="GF144" i="16"/>
  <c r="FX144" i="16"/>
  <c r="FR144" i="16"/>
  <c r="FL144" i="16"/>
  <c r="FD144" i="16"/>
  <c r="EX144" i="16"/>
  <c r="ER144" i="16"/>
  <c r="EJ144" i="16"/>
  <c r="ED144" i="16"/>
  <c r="DX144" i="16"/>
  <c r="DP144" i="16"/>
  <c r="DJ144" i="16"/>
  <c r="DD144" i="16"/>
  <c r="CV144" i="16"/>
  <c r="D144" i="16"/>
  <c r="GH144" i="16"/>
  <c r="FV144" i="16"/>
  <c r="FH144" i="16"/>
  <c r="ET144" i="16"/>
  <c r="EH144" i="16"/>
  <c r="DT144" i="16"/>
  <c r="DF144" i="16"/>
  <c r="CT144" i="16"/>
  <c r="GC144" i="16"/>
  <c r="FQ144" i="16"/>
  <c r="FC144" i="16"/>
  <c r="EO144" i="16"/>
  <c r="EC144" i="16"/>
  <c r="DO144" i="16"/>
  <c r="DA144" i="16"/>
  <c r="H144" i="16"/>
  <c r="GB144" i="16"/>
  <c r="FN144" i="16"/>
  <c r="FB144" i="16"/>
  <c r="EN144" i="16"/>
  <c r="DZ144" i="16"/>
  <c r="DN144" i="16"/>
  <c r="CZ144" i="16"/>
  <c r="G144" i="16"/>
  <c r="FW144" i="16"/>
  <c r="FI144" i="16"/>
  <c r="EW144" i="16"/>
  <c r="EI144" i="16"/>
  <c r="DU144" i="16"/>
  <c r="DI144" i="16"/>
  <c r="CU144" i="16"/>
  <c r="C144" i="16"/>
  <c r="Z142" i="16"/>
  <c r="V142" i="16"/>
  <c r="Y142" i="16"/>
  <c r="X142" i="16"/>
  <c r="W142" i="16"/>
  <c r="U143" i="16"/>
  <c r="AR143" i="16"/>
  <c r="AC143" i="16"/>
  <c r="AS143" i="16"/>
  <c r="AB143" i="16"/>
  <c r="Y143" i="16" l="1"/>
  <c r="W143" i="16"/>
  <c r="V143" i="16"/>
  <c r="Z143" i="16"/>
  <c r="X143" i="16"/>
  <c r="I145" i="16" a="1"/>
  <c r="I145" i="16" s="1"/>
  <c r="BF144" i="16"/>
  <c r="GH145" i="16"/>
  <c r="GC145" i="16"/>
  <c r="FX145" i="16"/>
  <c r="FS145" i="16"/>
  <c r="FN145" i="16"/>
  <c r="FI145" i="16"/>
  <c r="FD145" i="16"/>
  <c r="EY145" i="16"/>
  <c r="ET145" i="16"/>
  <c r="EO145" i="16"/>
  <c r="EJ145" i="16"/>
  <c r="EE145" i="16"/>
  <c r="DZ145" i="16"/>
  <c r="DU145" i="16"/>
  <c r="DP145" i="16"/>
  <c r="DK145" i="16"/>
  <c r="DF145" i="16"/>
  <c r="DA145" i="16"/>
  <c r="CV145" i="16"/>
  <c r="H145" i="16"/>
  <c r="D145" i="16"/>
  <c r="GB145" i="16"/>
  <c r="FV145" i="16"/>
  <c r="FP145" i="16"/>
  <c r="FH145" i="16"/>
  <c r="FB145" i="16"/>
  <c r="EV145" i="16"/>
  <c r="EN145" i="16"/>
  <c r="EH145" i="16"/>
  <c r="EB145" i="16"/>
  <c r="DT145" i="16"/>
  <c r="DN145" i="16"/>
  <c r="DH145" i="16"/>
  <c r="CZ145" i="16"/>
  <c r="CT145" i="16"/>
  <c r="G145" i="16"/>
  <c r="B146" i="16"/>
  <c r="GG145" i="16"/>
  <c r="GA145" i="16"/>
  <c r="FU145" i="16"/>
  <c r="FM145" i="16"/>
  <c r="FG145" i="16"/>
  <c r="FA145" i="16"/>
  <c r="ES145" i="16"/>
  <c r="EM145" i="16"/>
  <c r="EG145" i="16"/>
  <c r="DY145" i="16"/>
  <c r="DS145" i="16"/>
  <c r="DM145" i="16"/>
  <c r="DE145" i="16"/>
  <c r="CY145" i="16"/>
  <c r="CS145" i="16"/>
  <c r="F145" i="16"/>
  <c r="FZ145" i="16"/>
  <c r="FL145" i="16"/>
  <c r="EX145" i="16"/>
  <c r="EL145" i="16"/>
  <c r="DX145" i="16"/>
  <c r="DJ145" i="16"/>
  <c r="CX145" i="16"/>
  <c r="FW145" i="16"/>
  <c r="FK145" i="16"/>
  <c r="EW145" i="16"/>
  <c r="EI145" i="16"/>
  <c r="DW145" i="16"/>
  <c r="DI145" i="16"/>
  <c r="CU145" i="16"/>
  <c r="E145" i="16"/>
  <c r="AH145" i="16" s="1"/>
  <c r="AX145" i="16" s="1"/>
  <c r="GF145" i="16"/>
  <c r="FR145" i="16"/>
  <c r="FF145" i="16"/>
  <c r="ER145" i="16"/>
  <c r="ED145" i="16"/>
  <c r="DR145" i="16"/>
  <c r="DD145" i="16"/>
  <c r="C145" i="16"/>
  <c r="GE145" i="16"/>
  <c r="FQ145" i="16"/>
  <c r="FC145" i="16"/>
  <c r="EQ145" i="16"/>
  <c r="EC145" i="16"/>
  <c r="DO145" i="16"/>
  <c r="DC145" i="16"/>
  <c r="U144" i="16"/>
  <c r="AC144" i="16"/>
  <c r="AR144" i="16"/>
  <c r="AB144" i="16"/>
  <c r="AS144" i="16"/>
  <c r="K146" i="16"/>
  <c r="KA145" i="16"/>
  <c r="JV145" i="16"/>
  <c r="JQ145" i="16"/>
  <c r="JL145" i="16"/>
  <c r="JG145" i="16"/>
  <c r="JB145" i="16"/>
  <c r="IW145" i="16"/>
  <c r="IR145" i="16"/>
  <c r="IM145" i="16"/>
  <c r="IH145" i="16"/>
  <c r="IC145" i="16"/>
  <c r="HX145" i="16"/>
  <c r="HS145" i="16"/>
  <c r="HN145" i="16"/>
  <c r="HI145" i="16"/>
  <c r="HD145" i="16"/>
  <c r="GY145" i="16"/>
  <c r="GT145" i="16"/>
  <c r="GO145" i="16"/>
  <c r="P145" i="16"/>
  <c r="L145" i="16"/>
  <c r="JZ145" i="16"/>
  <c r="JT145" i="16"/>
  <c r="JN145" i="16"/>
  <c r="JF145" i="16"/>
  <c r="IZ145" i="16"/>
  <c r="IT145" i="16"/>
  <c r="IL145" i="16"/>
  <c r="IF145" i="16"/>
  <c r="HZ145" i="16"/>
  <c r="HR145" i="16"/>
  <c r="HL145" i="16"/>
  <c r="HF145" i="16"/>
  <c r="GX145" i="16"/>
  <c r="GR145" i="16"/>
  <c r="GL145" i="16"/>
  <c r="M145" i="16"/>
  <c r="JY145" i="16"/>
  <c r="JS145" i="16"/>
  <c r="JK145" i="16"/>
  <c r="JE145" i="16"/>
  <c r="IY145" i="16"/>
  <c r="IQ145" i="16"/>
  <c r="IK145" i="16"/>
  <c r="IE145" i="16"/>
  <c r="HW145" i="16"/>
  <c r="HQ145" i="16"/>
  <c r="HK145" i="16"/>
  <c r="HC145" i="16"/>
  <c r="GW145" i="16"/>
  <c r="GQ145" i="16"/>
  <c r="Q145" i="16"/>
  <c r="JP145" i="16"/>
  <c r="JD145" i="16"/>
  <c r="IP145" i="16"/>
  <c r="IB145" i="16"/>
  <c r="HP145" i="16"/>
  <c r="HB145" i="16"/>
  <c r="GN145" i="16"/>
  <c r="JO145" i="16"/>
  <c r="JA145" i="16"/>
  <c r="IO145" i="16"/>
  <c r="IA145" i="16"/>
  <c r="HM145" i="16"/>
  <c r="HA145" i="16"/>
  <c r="GM145" i="16"/>
  <c r="JX145" i="16"/>
  <c r="JJ145" i="16"/>
  <c r="IV145" i="16"/>
  <c r="IJ145" i="16"/>
  <c r="HV145" i="16"/>
  <c r="HH145" i="16"/>
  <c r="GV145" i="16"/>
  <c r="N145" i="16"/>
  <c r="AP145" i="16" s="1"/>
  <c r="JU145" i="16"/>
  <c r="JI145" i="16"/>
  <c r="IU145" i="16"/>
  <c r="IG145" i="16"/>
  <c r="HU145" i="16"/>
  <c r="HG145" i="16"/>
  <c r="GS145" i="16"/>
  <c r="X144" i="16" l="1"/>
  <c r="Y144" i="16"/>
  <c r="W144" i="16"/>
  <c r="V144" i="16"/>
  <c r="Z144" i="16"/>
  <c r="B147" i="16"/>
  <c r="GG146" i="16"/>
  <c r="GB146" i="16"/>
  <c r="FW146" i="16"/>
  <c r="FR146" i="16"/>
  <c r="FM146" i="16"/>
  <c r="FH146" i="16"/>
  <c r="FC146" i="16"/>
  <c r="EX146" i="16"/>
  <c r="ES146" i="16"/>
  <c r="EN146" i="16"/>
  <c r="EI146" i="16"/>
  <c r="ED146" i="16"/>
  <c r="DY146" i="16"/>
  <c r="DT146" i="16"/>
  <c r="DO146" i="16"/>
  <c r="DJ146" i="16"/>
  <c r="DE146" i="16"/>
  <c r="CZ146" i="16"/>
  <c r="CU146" i="16"/>
  <c r="G146" i="16"/>
  <c r="C146" i="16"/>
  <c r="GC146" i="16"/>
  <c r="FV146" i="16"/>
  <c r="FP146" i="16"/>
  <c r="FI146" i="16"/>
  <c r="FB146" i="16"/>
  <c r="EV146" i="16"/>
  <c r="EO146" i="16"/>
  <c r="EH146" i="16"/>
  <c r="EB146" i="16"/>
  <c r="DU146" i="16"/>
  <c r="DN146" i="16"/>
  <c r="DH146" i="16"/>
  <c r="DA146" i="16"/>
  <c r="CT146" i="16"/>
  <c r="D146" i="16"/>
  <c r="GH146" i="16"/>
  <c r="GA146" i="16"/>
  <c r="FU146" i="16"/>
  <c r="FN146" i="16"/>
  <c r="FG146" i="16"/>
  <c r="FA146" i="16"/>
  <c r="ET146" i="16"/>
  <c r="EM146" i="16"/>
  <c r="EG146" i="16"/>
  <c r="DZ146" i="16"/>
  <c r="DS146" i="16"/>
  <c r="DM146" i="16"/>
  <c r="DF146" i="16"/>
  <c r="CY146" i="16"/>
  <c r="CS146" i="16"/>
  <c r="H146" i="16"/>
  <c r="GE146" i="16"/>
  <c r="FQ146" i="16"/>
  <c r="FD146" i="16"/>
  <c r="EQ146" i="16"/>
  <c r="EC146" i="16"/>
  <c r="DP146" i="16"/>
  <c r="DC146" i="16"/>
  <c r="FZ146" i="16"/>
  <c r="FL146" i="16"/>
  <c r="EY146" i="16"/>
  <c r="EL146" i="16"/>
  <c r="DX146" i="16"/>
  <c r="DK146" i="16"/>
  <c r="CX146" i="16"/>
  <c r="FX146" i="16"/>
  <c r="FK146" i="16"/>
  <c r="EW146" i="16"/>
  <c r="EJ146" i="16"/>
  <c r="DW146" i="16"/>
  <c r="DI146" i="16"/>
  <c r="CV146" i="16"/>
  <c r="F146" i="16"/>
  <c r="GF146" i="16"/>
  <c r="FS146" i="16"/>
  <c r="FF146" i="16"/>
  <c r="ER146" i="16"/>
  <c r="EE146" i="16"/>
  <c r="DR146" i="16"/>
  <c r="DD146" i="16"/>
  <c r="E146" i="16"/>
  <c r="AH146" i="16" s="1"/>
  <c r="AX146" i="16" s="1"/>
  <c r="AB145" i="16"/>
  <c r="AS145" i="16"/>
  <c r="AR145" i="16"/>
  <c r="AC145" i="16"/>
  <c r="I146" i="16" a="1"/>
  <c r="I146" i="16" s="1"/>
  <c r="JZ146" i="16"/>
  <c r="JU146" i="16"/>
  <c r="JP146" i="16"/>
  <c r="JK146" i="16"/>
  <c r="JF146" i="16"/>
  <c r="JA146" i="16"/>
  <c r="IV146" i="16"/>
  <c r="IQ146" i="16"/>
  <c r="IL146" i="16"/>
  <c r="IG146" i="16"/>
  <c r="IB146" i="16"/>
  <c r="HW146" i="16"/>
  <c r="HR146" i="16"/>
  <c r="HM146" i="16"/>
  <c r="HH146" i="16"/>
  <c r="HC146" i="16"/>
  <c r="GX146" i="16"/>
  <c r="GS146" i="16"/>
  <c r="GN146" i="16"/>
  <c r="KA146" i="16"/>
  <c r="JT146" i="16"/>
  <c r="JN146" i="16"/>
  <c r="JG146" i="16"/>
  <c r="IZ146" i="16"/>
  <c r="IT146" i="16"/>
  <c r="IM146" i="16"/>
  <c r="IF146" i="16"/>
  <c r="HZ146" i="16"/>
  <c r="HS146" i="16"/>
  <c r="HL146" i="16"/>
  <c r="HF146" i="16"/>
  <c r="GY146" i="16"/>
  <c r="GR146" i="16"/>
  <c r="GL146" i="16"/>
  <c r="N146" i="16"/>
  <c r="AP146" i="16" s="1"/>
  <c r="JY146" i="16"/>
  <c r="JS146" i="16"/>
  <c r="JL146" i="16"/>
  <c r="JE146" i="16"/>
  <c r="IY146" i="16"/>
  <c r="IR146" i="16"/>
  <c r="IK146" i="16"/>
  <c r="IE146" i="16"/>
  <c r="HX146" i="16"/>
  <c r="HQ146" i="16"/>
  <c r="HK146" i="16"/>
  <c r="HD146" i="16"/>
  <c r="GW146" i="16"/>
  <c r="GQ146" i="16"/>
  <c r="Q146" i="16"/>
  <c r="M146" i="16"/>
  <c r="JV146" i="16"/>
  <c r="JI146" i="16"/>
  <c r="IU146" i="16"/>
  <c r="IH146" i="16"/>
  <c r="HU146" i="16"/>
  <c r="HG146" i="16"/>
  <c r="GT146" i="16"/>
  <c r="L146" i="16"/>
  <c r="I147" i="16" s="1" a="1"/>
  <c r="I147" i="16" s="1"/>
  <c r="JQ146" i="16"/>
  <c r="JD146" i="16"/>
  <c r="IP146" i="16"/>
  <c r="IC146" i="16"/>
  <c r="HP146" i="16"/>
  <c r="HB146" i="16"/>
  <c r="GO146" i="16"/>
  <c r="K147" i="16"/>
  <c r="JO146" i="16"/>
  <c r="JB146" i="16"/>
  <c r="IO146" i="16"/>
  <c r="IA146" i="16"/>
  <c r="HN146" i="16"/>
  <c r="HA146" i="16"/>
  <c r="GM146" i="16"/>
  <c r="P146" i="16"/>
  <c r="JX146" i="16"/>
  <c r="JJ146" i="16"/>
  <c r="IW146" i="16"/>
  <c r="IJ146" i="16"/>
  <c r="HV146" i="16"/>
  <c r="HI146" i="16"/>
  <c r="GV146" i="16"/>
  <c r="BF145" i="16"/>
  <c r="U145" i="16"/>
  <c r="BF146" i="16" l="1"/>
  <c r="W145" i="16"/>
  <c r="Z145" i="16"/>
  <c r="Y145" i="16"/>
  <c r="V145" i="16"/>
  <c r="X145" i="16"/>
  <c r="JY147" i="16"/>
  <c r="JT147" i="16"/>
  <c r="JO147" i="16"/>
  <c r="JJ147" i="16"/>
  <c r="JE147" i="16"/>
  <c r="IZ147" i="16"/>
  <c r="IU147" i="16"/>
  <c r="IP147" i="16"/>
  <c r="IK147" i="16"/>
  <c r="IF147" i="16"/>
  <c r="IA147" i="16"/>
  <c r="HV147" i="16"/>
  <c r="HQ147" i="16"/>
  <c r="HL147" i="16"/>
  <c r="HG147" i="16"/>
  <c r="HB147" i="16"/>
  <c r="GW147" i="16"/>
  <c r="GR147" i="16"/>
  <c r="GM147" i="16"/>
  <c r="N147" i="16"/>
  <c r="AP147" i="16" s="1"/>
  <c r="K148" i="16"/>
  <c r="JV147" i="16"/>
  <c r="JP147" i="16"/>
  <c r="JI147" i="16"/>
  <c r="JB147" i="16"/>
  <c r="IV147" i="16"/>
  <c r="IO147" i="16"/>
  <c r="IH147" i="16"/>
  <c r="IB147" i="16"/>
  <c r="HU147" i="16"/>
  <c r="HN147" i="16"/>
  <c r="HH147" i="16"/>
  <c r="HA147" i="16"/>
  <c r="GT147" i="16"/>
  <c r="GN147" i="16"/>
  <c r="KA147" i="16"/>
  <c r="JU147" i="16"/>
  <c r="JN147" i="16"/>
  <c r="JG147" i="16"/>
  <c r="JA147" i="16"/>
  <c r="IT147" i="16"/>
  <c r="IM147" i="16"/>
  <c r="IG147" i="16"/>
  <c r="HZ147" i="16"/>
  <c r="HS147" i="16"/>
  <c r="HM147" i="16"/>
  <c r="HF147" i="16"/>
  <c r="GY147" i="16"/>
  <c r="GS147" i="16"/>
  <c r="GL147" i="16"/>
  <c r="M147" i="16"/>
  <c r="JX147" i="16"/>
  <c r="JK147" i="16"/>
  <c r="IW147" i="16"/>
  <c r="IJ147" i="16"/>
  <c r="HW147" i="16"/>
  <c r="HI147" i="16"/>
  <c r="GV147" i="16"/>
  <c r="JS147" i="16"/>
  <c r="JF147" i="16"/>
  <c r="IR147" i="16"/>
  <c r="IE147" i="16"/>
  <c r="HR147" i="16"/>
  <c r="HD147" i="16"/>
  <c r="GQ147" i="16"/>
  <c r="L147" i="16"/>
  <c r="JQ147" i="16"/>
  <c r="JD147" i="16"/>
  <c r="IQ147" i="16"/>
  <c r="IC147" i="16"/>
  <c r="HP147" i="16"/>
  <c r="HC147" i="16"/>
  <c r="GO147" i="16"/>
  <c r="Q147" i="16"/>
  <c r="JZ147" i="16"/>
  <c r="JL147" i="16"/>
  <c r="IY147" i="16"/>
  <c r="IL147" i="16"/>
  <c r="HX147" i="16"/>
  <c r="HK147" i="16"/>
  <c r="GX147" i="16"/>
  <c r="P147" i="16"/>
  <c r="U146" i="16"/>
  <c r="AS146" i="16"/>
  <c r="AR146" i="16"/>
  <c r="AB146" i="16"/>
  <c r="AC146" i="16"/>
  <c r="GF147" i="16"/>
  <c r="GA147" i="16"/>
  <c r="FV147" i="16"/>
  <c r="FQ147" i="16"/>
  <c r="FL147" i="16"/>
  <c r="FG147" i="16"/>
  <c r="FB147" i="16"/>
  <c r="EW147" i="16"/>
  <c r="ER147" i="16"/>
  <c r="EM147" i="16"/>
  <c r="EH147" i="16"/>
  <c r="EC147" i="16"/>
  <c r="DX147" i="16"/>
  <c r="DS147" i="16"/>
  <c r="DN147" i="16"/>
  <c r="DI147" i="16"/>
  <c r="DD147" i="16"/>
  <c r="CY147" i="16"/>
  <c r="CT147" i="16"/>
  <c r="F147" i="16"/>
  <c r="GE147" i="16"/>
  <c r="FX147" i="16"/>
  <c r="FR147" i="16"/>
  <c r="FK147" i="16"/>
  <c r="FD147" i="16"/>
  <c r="EX147" i="16"/>
  <c r="EQ147" i="16"/>
  <c r="EJ147" i="16"/>
  <c r="ED147" i="16"/>
  <c r="DW147" i="16"/>
  <c r="DP147" i="16"/>
  <c r="DJ147" i="16"/>
  <c r="DC147" i="16"/>
  <c r="CV147" i="16"/>
  <c r="D147" i="16"/>
  <c r="GC147" i="16"/>
  <c r="FW147" i="16"/>
  <c r="FP147" i="16"/>
  <c r="FI147" i="16"/>
  <c r="FC147" i="16"/>
  <c r="EV147" i="16"/>
  <c r="EO147" i="16"/>
  <c r="EI147" i="16"/>
  <c r="EB147" i="16"/>
  <c r="DU147" i="16"/>
  <c r="DO147" i="16"/>
  <c r="DH147" i="16"/>
  <c r="DA147" i="16"/>
  <c r="CU147" i="16"/>
  <c r="H147" i="16"/>
  <c r="C147" i="16"/>
  <c r="GG147" i="16"/>
  <c r="FS147" i="16"/>
  <c r="FF147" i="16"/>
  <c r="ES147" i="16"/>
  <c r="EE147" i="16"/>
  <c r="DR147" i="16"/>
  <c r="DE147" i="16"/>
  <c r="E147" i="16"/>
  <c r="AH147" i="16" s="1"/>
  <c r="AX147" i="16" s="1"/>
  <c r="GB147" i="16"/>
  <c r="FN147" i="16"/>
  <c r="FA147" i="16"/>
  <c r="EN147" i="16"/>
  <c r="DZ147" i="16"/>
  <c r="DM147" i="16"/>
  <c r="CZ147" i="16"/>
  <c r="B148" i="16"/>
  <c r="FZ147" i="16"/>
  <c r="FM147" i="16"/>
  <c r="EY147" i="16"/>
  <c r="EL147" i="16"/>
  <c r="DY147" i="16"/>
  <c r="DK147" i="16"/>
  <c r="CX147" i="16"/>
  <c r="GH147" i="16"/>
  <c r="FU147" i="16"/>
  <c r="FH147" i="16"/>
  <c r="ET147" i="16"/>
  <c r="EG147" i="16"/>
  <c r="DT147" i="16"/>
  <c r="DF147" i="16"/>
  <c r="CS147" i="16"/>
  <c r="G147" i="16"/>
  <c r="GE148" i="16" l="1"/>
  <c r="FZ148" i="16"/>
  <c r="FU148" i="16"/>
  <c r="FP148" i="16"/>
  <c r="FK148" i="16"/>
  <c r="FF148" i="16"/>
  <c r="FA148" i="16"/>
  <c r="EV148" i="16"/>
  <c r="EQ148" i="16"/>
  <c r="EL148" i="16"/>
  <c r="EG148" i="16"/>
  <c r="EB148" i="16"/>
  <c r="DW148" i="16"/>
  <c r="DR148" i="16"/>
  <c r="DM148" i="16"/>
  <c r="DH148" i="16"/>
  <c r="DC148" i="16"/>
  <c r="CX148" i="16"/>
  <c r="CS148" i="16"/>
  <c r="E148" i="16"/>
  <c r="AH148" i="16" s="1"/>
  <c r="AX148" i="16" s="1"/>
  <c r="B149" i="16"/>
  <c r="GG148" i="16"/>
  <c r="GA148" i="16"/>
  <c r="FS148" i="16"/>
  <c r="FM148" i="16"/>
  <c r="FG148" i="16"/>
  <c r="EY148" i="16"/>
  <c r="ES148" i="16"/>
  <c r="EM148" i="16"/>
  <c r="EE148" i="16"/>
  <c r="DY148" i="16"/>
  <c r="DS148" i="16"/>
  <c r="DK148" i="16"/>
  <c r="DE148" i="16"/>
  <c r="CY148" i="16"/>
  <c r="F148" i="16"/>
  <c r="GF148" i="16"/>
  <c r="FX148" i="16"/>
  <c r="FR148" i="16"/>
  <c r="FL148" i="16"/>
  <c r="FD148" i="16"/>
  <c r="EX148" i="16"/>
  <c r="ER148" i="16"/>
  <c r="EJ148" i="16"/>
  <c r="ED148" i="16"/>
  <c r="DX148" i="16"/>
  <c r="DP148" i="16"/>
  <c r="DJ148" i="16"/>
  <c r="DD148" i="16"/>
  <c r="CV148" i="16"/>
  <c r="D148" i="16"/>
  <c r="GB148" i="16"/>
  <c r="FN148" i="16"/>
  <c r="FB148" i="16"/>
  <c r="EN148" i="16"/>
  <c r="DZ148" i="16"/>
  <c r="DN148" i="16"/>
  <c r="CZ148" i="16"/>
  <c r="G148" i="16"/>
  <c r="FW148" i="16"/>
  <c r="FI148" i="16"/>
  <c r="EW148" i="16"/>
  <c r="EI148" i="16"/>
  <c r="DU148" i="16"/>
  <c r="DI148" i="16"/>
  <c r="CU148" i="16"/>
  <c r="C148" i="16"/>
  <c r="GH148" i="16"/>
  <c r="FV148" i="16"/>
  <c r="FH148" i="16"/>
  <c r="ET148" i="16"/>
  <c r="EH148" i="16"/>
  <c r="DT148" i="16"/>
  <c r="DF148" i="16"/>
  <c r="CT148" i="16"/>
  <c r="GC148" i="16"/>
  <c r="FQ148" i="16"/>
  <c r="FC148" i="16"/>
  <c r="EO148" i="16"/>
  <c r="EC148" i="16"/>
  <c r="DO148" i="16"/>
  <c r="DA148" i="16"/>
  <c r="H148" i="16"/>
  <c r="U147" i="16"/>
  <c r="AR147" i="16"/>
  <c r="AC147" i="16"/>
  <c r="AS147" i="16"/>
  <c r="AB147" i="16"/>
  <c r="BF147" i="16"/>
  <c r="JX148" i="16"/>
  <c r="JS148" i="16"/>
  <c r="JN148" i="16"/>
  <c r="JI148" i="16"/>
  <c r="JD148" i="16"/>
  <c r="IY148" i="16"/>
  <c r="IT148" i="16"/>
  <c r="IO148" i="16"/>
  <c r="IJ148" i="16"/>
  <c r="IE148" i="16"/>
  <c r="HZ148" i="16"/>
  <c r="HU148" i="16"/>
  <c r="HP148" i="16"/>
  <c r="HK148" i="16"/>
  <c r="HF148" i="16"/>
  <c r="HA148" i="16"/>
  <c r="GV148" i="16"/>
  <c r="GQ148" i="16"/>
  <c r="GL148" i="16"/>
  <c r="Q148" i="16"/>
  <c r="M148" i="16"/>
  <c r="JY148" i="16"/>
  <c r="JQ148" i="16"/>
  <c r="JK148" i="16"/>
  <c r="JE148" i="16"/>
  <c r="IW148" i="16"/>
  <c r="IQ148" i="16"/>
  <c r="IK148" i="16"/>
  <c r="IC148" i="16"/>
  <c r="HW148" i="16"/>
  <c r="HQ148" i="16"/>
  <c r="HI148" i="16"/>
  <c r="HC148" i="16"/>
  <c r="GW148" i="16"/>
  <c r="GO148" i="16"/>
  <c r="P148" i="16"/>
  <c r="K149" i="16"/>
  <c r="JV148" i="16"/>
  <c r="JP148" i="16"/>
  <c r="JJ148" i="16"/>
  <c r="JB148" i="16"/>
  <c r="IV148" i="16"/>
  <c r="IP148" i="16"/>
  <c r="IH148" i="16"/>
  <c r="IB148" i="16"/>
  <c r="HV148" i="16"/>
  <c r="HN148" i="16"/>
  <c r="HH148" i="16"/>
  <c r="HB148" i="16"/>
  <c r="GT148" i="16"/>
  <c r="GN148" i="16"/>
  <c r="JT148" i="16"/>
  <c r="JF148" i="16"/>
  <c r="IR148" i="16"/>
  <c r="IF148" i="16"/>
  <c r="HR148" i="16"/>
  <c r="HD148" i="16"/>
  <c r="GR148" i="16"/>
  <c r="KA148" i="16"/>
  <c r="JO148" i="16"/>
  <c r="JA148" i="16"/>
  <c r="IM148" i="16"/>
  <c r="IA148" i="16"/>
  <c r="HM148" i="16"/>
  <c r="GY148" i="16"/>
  <c r="GM148" i="16"/>
  <c r="N148" i="16"/>
  <c r="AP148" i="16" s="1"/>
  <c r="JZ148" i="16"/>
  <c r="JL148" i="16"/>
  <c r="IZ148" i="16"/>
  <c r="IL148" i="16"/>
  <c r="HX148" i="16"/>
  <c r="HL148" i="16"/>
  <c r="GX148" i="16"/>
  <c r="L148" i="16"/>
  <c r="JU148" i="16"/>
  <c r="JG148" i="16"/>
  <c r="IU148" i="16"/>
  <c r="IG148" i="16"/>
  <c r="HS148" i="16"/>
  <c r="HG148" i="16"/>
  <c r="GS148" i="16"/>
  <c r="I148" i="16" a="1"/>
  <c r="I148" i="16" s="1"/>
  <c r="Z146" i="16"/>
  <c r="V146" i="16"/>
  <c r="Y146" i="16"/>
  <c r="X146" i="16"/>
  <c r="W146" i="16"/>
  <c r="BF148" i="16" l="1"/>
  <c r="K150" i="16"/>
  <c r="KA149" i="16"/>
  <c r="JV149" i="16"/>
  <c r="JQ149" i="16"/>
  <c r="JL149" i="16"/>
  <c r="JG149" i="16"/>
  <c r="JB149" i="16"/>
  <c r="IW149" i="16"/>
  <c r="IR149" i="16"/>
  <c r="IM149" i="16"/>
  <c r="IH149" i="16"/>
  <c r="IC149" i="16"/>
  <c r="HX149" i="16"/>
  <c r="HS149" i="16"/>
  <c r="HN149" i="16"/>
  <c r="HI149" i="16"/>
  <c r="HD149" i="16"/>
  <c r="GY149" i="16"/>
  <c r="GT149" i="16"/>
  <c r="GO149" i="16"/>
  <c r="P149" i="16"/>
  <c r="L149" i="16"/>
  <c r="I150" i="16" s="1" a="1"/>
  <c r="I150" i="16" s="1"/>
  <c r="JZ149" i="16"/>
  <c r="JT149" i="16"/>
  <c r="JN149" i="16"/>
  <c r="JF149" i="16"/>
  <c r="IZ149" i="16"/>
  <c r="IT149" i="16"/>
  <c r="IL149" i="16"/>
  <c r="IF149" i="16"/>
  <c r="HZ149" i="16"/>
  <c r="HR149" i="16"/>
  <c r="HL149" i="16"/>
  <c r="HF149" i="16"/>
  <c r="GX149" i="16"/>
  <c r="GR149" i="16"/>
  <c r="GL149" i="16"/>
  <c r="M149" i="16"/>
  <c r="JY149" i="16"/>
  <c r="JS149" i="16"/>
  <c r="JK149" i="16"/>
  <c r="JE149" i="16"/>
  <c r="IY149" i="16"/>
  <c r="IQ149" i="16"/>
  <c r="IK149" i="16"/>
  <c r="IE149" i="16"/>
  <c r="HW149" i="16"/>
  <c r="HQ149" i="16"/>
  <c r="HK149" i="16"/>
  <c r="HC149" i="16"/>
  <c r="GW149" i="16"/>
  <c r="GQ149" i="16"/>
  <c r="Q149" i="16"/>
  <c r="JX149" i="16"/>
  <c r="JJ149" i="16"/>
  <c r="IV149" i="16"/>
  <c r="IJ149" i="16"/>
  <c r="HV149" i="16"/>
  <c r="HH149" i="16"/>
  <c r="GV149" i="16"/>
  <c r="N149" i="16"/>
  <c r="AP149" i="16" s="1"/>
  <c r="JU149" i="16"/>
  <c r="JI149" i="16"/>
  <c r="IU149" i="16"/>
  <c r="IG149" i="16"/>
  <c r="HU149" i="16"/>
  <c r="HG149" i="16"/>
  <c r="GS149" i="16"/>
  <c r="JP149" i="16"/>
  <c r="JD149" i="16"/>
  <c r="IP149" i="16"/>
  <c r="IB149" i="16"/>
  <c r="HP149" i="16"/>
  <c r="HB149" i="16"/>
  <c r="GN149" i="16"/>
  <c r="JO149" i="16"/>
  <c r="JA149" i="16"/>
  <c r="IO149" i="16"/>
  <c r="IA149" i="16"/>
  <c r="HM149" i="16"/>
  <c r="HA149" i="16"/>
  <c r="GM149" i="16"/>
  <c r="U148" i="16"/>
  <c r="AC148" i="16"/>
  <c r="AR148" i="16"/>
  <c r="AB148" i="16"/>
  <c r="AS148" i="16"/>
  <c r="GH149" i="16"/>
  <c r="GC149" i="16"/>
  <c r="FX149" i="16"/>
  <c r="FS149" i="16"/>
  <c r="FN149" i="16"/>
  <c r="FI149" i="16"/>
  <c r="FD149" i="16"/>
  <c r="EY149" i="16"/>
  <c r="ET149" i="16"/>
  <c r="EO149" i="16"/>
  <c r="EJ149" i="16"/>
  <c r="EE149" i="16"/>
  <c r="DZ149" i="16"/>
  <c r="DU149" i="16"/>
  <c r="DP149" i="16"/>
  <c r="DK149" i="16"/>
  <c r="DF149" i="16"/>
  <c r="DA149" i="16"/>
  <c r="CV149" i="16"/>
  <c r="H149" i="16"/>
  <c r="D149" i="16"/>
  <c r="GB149" i="16"/>
  <c r="FV149" i="16"/>
  <c r="FP149" i="16"/>
  <c r="FH149" i="16"/>
  <c r="FB149" i="16"/>
  <c r="EV149" i="16"/>
  <c r="EN149" i="16"/>
  <c r="EH149" i="16"/>
  <c r="EB149" i="16"/>
  <c r="DT149" i="16"/>
  <c r="DN149" i="16"/>
  <c r="DH149" i="16"/>
  <c r="CZ149" i="16"/>
  <c r="CT149" i="16"/>
  <c r="G149" i="16"/>
  <c r="B150" i="16"/>
  <c r="GG149" i="16"/>
  <c r="GA149" i="16"/>
  <c r="FU149" i="16"/>
  <c r="FM149" i="16"/>
  <c r="FG149" i="16"/>
  <c r="FA149" i="16"/>
  <c r="ES149" i="16"/>
  <c r="EM149" i="16"/>
  <c r="EG149" i="16"/>
  <c r="DY149" i="16"/>
  <c r="DS149" i="16"/>
  <c r="DM149" i="16"/>
  <c r="DE149" i="16"/>
  <c r="CY149" i="16"/>
  <c r="CS149" i="16"/>
  <c r="F149" i="16"/>
  <c r="GF149" i="16"/>
  <c r="FR149" i="16"/>
  <c r="FF149" i="16"/>
  <c r="ER149" i="16"/>
  <c r="ED149" i="16"/>
  <c r="DR149" i="16"/>
  <c r="DD149" i="16"/>
  <c r="C149" i="16"/>
  <c r="GE149" i="16"/>
  <c r="FQ149" i="16"/>
  <c r="FC149" i="16"/>
  <c r="EQ149" i="16"/>
  <c r="EC149" i="16"/>
  <c r="DO149" i="16"/>
  <c r="DC149" i="16"/>
  <c r="FZ149" i="16"/>
  <c r="FL149" i="16"/>
  <c r="EX149" i="16"/>
  <c r="EL149" i="16"/>
  <c r="DX149" i="16"/>
  <c r="DJ149" i="16"/>
  <c r="CX149" i="16"/>
  <c r="FW149" i="16"/>
  <c r="FK149" i="16"/>
  <c r="EW149" i="16"/>
  <c r="EI149" i="16"/>
  <c r="DW149" i="16"/>
  <c r="DI149" i="16"/>
  <c r="CU149" i="16"/>
  <c r="E149" i="16"/>
  <c r="AH149" i="16" s="1"/>
  <c r="AX149" i="16" s="1"/>
  <c r="BF149" i="16"/>
  <c r="Y147" i="16"/>
  <c r="W147" i="16"/>
  <c r="V147" i="16"/>
  <c r="Z147" i="16"/>
  <c r="X147" i="16"/>
  <c r="I149" i="16" a="1"/>
  <c r="I149" i="16" s="1"/>
  <c r="X148" i="16" l="1"/>
  <c r="Y148" i="16"/>
  <c r="W148" i="16"/>
  <c r="Z148" i="16"/>
  <c r="V148" i="16"/>
  <c r="JZ150" i="16"/>
  <c r="JU150" i="16"/>
  <c r="JP150" i="16"/>
  <c r="JK150" i="16"/>
  <c r="JF150" i="16"/>
  <c r="JA150" i="16"/>
  <c r="IV150" i="16"/>
  <c r="IQ150" i="16"/>
  <c r="IL150" i="16"/>
  <c r="IG150" i="16"/>
  <c r="IB150" i="16"/>
  <c r="HW150" i="16"/>
  <c r="HR150" i="16"/>
  <c r="HM150" i="16"/>
  <c r="HH150" i="16"/>
  <c r="HC150" i="16"/>
  <c r="GX150" i="16"/>
  <c r="GS150" i="16"/>
  <c r="GN150" i="16"/>
  <c r="KA150" i="16"/>
  <c r="JT150" i="16"/>
  <c r="JN150" i="16"/>
  <c r="JG150" i="16"/>
  <c r="IZ150" i="16"/>
  <c r="IT150" i="16"/>
  <c r="IM150" i="16"/>
  <c r="IF150" i="16"/>
  <c r="HZ150" i="16"/>
  <c r="HS150" i="16"/>
  <c r="HL150" i="16"/>
  <c r="HF150" i="16"/>
  <c r="GY150" i="16"/>
  <c r="GR150" i="16"/>
  <c r="GL150" i="16"/>
  <c r="N150" i="16"/>
  <c r="AP150" i="16" s="1"/>
  <c r="JY150" i="16"/>
  <c r="JS150" i="16"/>
  <c r="JL150" i="16"/>
  <c r="JE150" i="16"/>
  <c r="IY150" i="16"/>
  <c r="IR150" i="16"/>
  <c r="IK150" i="16"/>
  <c r="IE150" i="16"/>
  <c r="HX150" i="16"/>
  <c r="HQ150" i="16"/>
  <c r="HK150" i="16"/>
  <c r="HD150" i="16"/>
  <c r="GW150" i="16"/>
  <c r="GQ150" i="16"/>
  <c r="Q150" i="16"/>
  <c r="M150" i="16"/>
  <c r="K151" i="16"/>
  <c r="JO150" i="16"/>
  <c r="JB150" i="16"/>
  <c r="IO150" i="16"/>
  <c r="IA150" i="16"/>
  <c r="HN150" i="16"/>
  <c r="HA150" i="16"/>
  <c r="GM150" i="16"/>
  <c r="P150" i="16"/>
  <c r="JX150" i="16"/>
  <c r="JJ150" i="16"/>
  <c r="IW150" i="16"/>
  <c r="IJ150" i="16"/>
  <c r="HV150" i="16"/>
  <c r="HI150" i="16"/>
  <c r="GV150" i="16"/>
  <c r="JV150" i="16"/>
  <c r="JI150" i="16"/>
  <c r="IU150" i="16"/>
  <c r="IH150" i="16"/>
  <c r="HU150" i="16"/>
  <c r="HG150" i="16"/>
  <c r="GT150" i="16"/>
  <c r="L150" i="16"/>
  <c r="BF150" i="16" s="1"/>
  <c r="JQ150" i="16"/>
  <c r="JD150" i="16"/>
  <c r="IP150" i="16"/>
  <c r="IC150" i="16"/>
  <c r="HP150" i="16"/>
  <c r="HB150" i="16"/>
  <c r="GO150" i="16"/>
  <c r="U149" i="16"/>
  <c r="B151" i="16"/>
  <c r="GG150" i="16"/>
  <c r="GB150" i="16"/>
  <c r="FW150" i="16"/>
  <c r="FR150" i="16"/>
  <c r="FM150" i="16"/>
  <c r="FH150" i="16"/>
  <c r="FC150" i="16"/>
  <c r="EX150" i="16"/>
  <c r="ES150" i="16"/>
  <c r="EN150" i="16"/>
  <c r="EI150" i="16"/>
  <c r="ED150" i="16"/>
  <c r="DY150" i="16"/>
  <c r="DT150" i="16"/>
  <c r="DO150" i="16"/>
  <c r="DJ150" i="16"/>
  <c r="DE150" i="16"/>
  <c r="CZ150" i="16"/>
  <c r="CU150" i="16"/>
  <c r="G150" i="16"/>
  <c r="C150" i="16"/>
  <c r="GC150" i="16"/>
  <c r="FV150" i="16"/>
  <c r="FP150" i="16"/>
  <c r="FI150" i="16"/>
  <c r="FB150" i="16"/>
  <c r="EV150" i="16"/>
  <c r="EO150" i="16"/>
  <c r="EH150" i="16"/>
  <c r="EB150" i="16"/>
  <c r="DU150" i="16"/>
  <c r="DN150" i="16"/>
  <c r="DH150" i="16"/>
  <c r="DA150" i="16"/>
  <c r="CT150" i="16"/>
  <c r="D150" i="16"/>
  <c r="GH150" i="16"/>
  <c r="GA150" i="16"/>
  <c r="FU150" i="16"/>
  <c r="FN150" i="16"/>
  <c r="FG150" i="16"/>
  <c r="FA150" i="16"/>
  <c r="ET150" i="16"/>
  <c r="EM150" i="16"/>
  <c r="EG150" i="16"/>
  <c r="DZ150" i="16"/>
  <c r="DS150" i="16"/>
  <c r="DM150" i="16"/>
  <c r="DF150" i="16"/>
  <c r="CY150" i="16"/>
  <c r="CS150" i="16"/>
  <c r="H150" i="16"/>
  <c r="FX150" i="16"/>
  <c r="FK150" i="16"/>
  <c r="EW150" i="16"/>
  <c r="EJ150" i="16"/>
  <c r="DW150" i="16"/>
  <c r="DI150" i="16"/>
  <c r="CV150" i="16"/>
  <c r="F150" i="16"/>
  <c r="GF150" i="16"/>
  <c r="FS150" i="16"/>
  <c r="FF150" i="16"/>
  <c r="ER150" i="16"/>
  <c r="EE150" i="16"/>
  <c r="DR150" i="16"/>
  <c r="DD150" i="16"/>
  <c r="E150" i="16"/>
  <c r="AH150" i="16" s="1"/>
  <c r="AX150" i="16" s="1"/>
  <c r="GE150" i="16"/>
  <c r="FQ150" i="16"/>
  <c r="FD150" i="16"/>
  <c r="EQ150" i="16"/>
  <c r="EC150" i="16"/>
  <c r="DP150" i="16"/>
  <c r="DC150" i="16"/>
  <c r="FZ150" i="16"/>
  <c r="FL150" i="16"/>
  <c r="EY150" i="16"/>
  <c r="EL150" i="16"/>
  <c r="DX150" i="16"/>
  <c r="DK150" i="16"/>
  <c r="CX150" i="16"/>
  <c r="AB149" i="16"/>
  <c r="AS149" i="16"/>
  <c r="AR149" i="16"/>
  <c r="AC149" i="16"/>
  <c r="U150" i="16" l="1"/>
  <c r="I151" i="16" a="1"/>
  <c r="I151" i="16" s="1"/>
  <c r="AS150" i="16"/>
  <c r="AR150" i="16"/>
  <c r="AB150" i="16"/>
  <c r="AC150" i="16"/>
  <c r="GF151" i="16"/>
  <c r="GA151" i="16"/>
  <c r="FV151" i="16"/>
  <c r="FQ151" i="16"/>
  <c r="FL151" i="16"/>
  <c r="FG151" i="16"/>
  <c r="FB151" i="16"/>
  <c r="EW151" i="16"/>
  <c r="ER151" i="16"/>
  <c r="EM151" i="16"/>
  <c r="EH151" i="16"/>
  <c r="EC151" i="16"/>
  <c r="DX151" i="16"/>
  <c r="DS151" i="16"/>
  <c r="DN151" i="16"/>
  <c r="DI151" i="16"/>
  <c r="DD151" i="16"/>
  <c r="CY151" i="16"/>
  <c r="CT151" i="16"/>
  <c r="F151" i="16"/>
  <c r="GE151" i="16"/>
  <c r="FX151" i="16"/>
  <c r="FR151" i="16"/>
  <c r="FK151" i="16"/>
  <c r="FD151" i="16"/>
  <c r="EX151" i="16"/>
  <c r="EQ151" i="16"/>
  <c r="EJ151" i="16"/>
  <c r="ED151" i="16"/>
  <c r="DW151" i="16"/>
  <c r="DP151" i="16"/>
  <c r="DJ151" i="16"/>
  <c r="DC151" i="16"/>
  <c r="CV151" i="16"/>
  <c r="D151" i="16"/>
  <c r="GC151" i="16"/>
  <c r="FW151" i="16"/>
  <c r="FP151" i="16"/>
  <c r="FI151" i="16"/>
  <c r="FC151" i="16"/>
  <c r="EV151" i="16"/>
  <c r="EO151" i="16"/>
  <c r="EI151" i="16"/>
  <c r="EB151" i="16"/>
  <c r="DU151" i="16"/>
  <c r="DO151" i="16"/>
  <c r="DH151" i="16"/>
  <c r="DA151" i="16"/>
  <c r="CU151" i="16"/>
  <c r="H151" i="16"/>
  <c r="C151" i="16"/>
  <c r="B152" i="16"/>
  <c r="FZ151" i="16"/>
  <c r="FM151" i="16"/>
  <c r="EY151" i="16"/>
  <c r="EL151" i="16"/>
  <c r="DY151" i="16"/>
  <c r="DK151" i="16"/>
  <c r="CX151" i="16"/>
  <c r="GH151" i="16"/>
  <c r="FU151" i="16"/>
  <c r="FH151" i="16"/>
  <c r="ET151" i="16"/>
  <c r="EG151" i="16"/>
  <c r="DT151" i="16"/>
  <c r="DF151" i="16"/>
  <c r="CS151" i="16"/>
  <c r="G151" i="16"/>
  <c r="GG151" i="16"/>
  <c r="FS151" i="16"/>
  <c r="FF151" i="16"/>
  <c r="ES151" i="16"/>
  <c r="EE151" i="16"/>
  <c r="DR151" i="16"/>
  <c r="DE151" i="16"/>
  <c r="E151" i="16"/>
  <c r="AH151" i="16" s="1"/>
  <c r="AX151" i="16" s="1"/>
  <c r="GB151" i="16"/>
  <c r="FN151" i="16"/>
  <c r="FA151" i="16"/>
  <c r="EN151" i="16"/>
  <c r="DZ151" i="16"/>
  <c r="DM151" i="16"/>
  <c r="CZ151" i="16"/>
  <c r="W149" i="16"/>
  <c r="Z149" i="16"/>
  <c r="Y149" i="16"/>
  <c r="X149" i="16"/>
  <c r="V149" i="16"/>
  <c r="JY151" i="16"/>
  <c r="JT151" i="16"/>
  <c r="JO151" i="16"/>
  <c r="JJ151" i="16"/>
  <c r="JE151" i="16"/>
  <c r="IZ151" i="16"/>
  <c r="IU151" i="16"/>
  <c r="IP151" i="16"/>
  <c r="IK151" i="16"/>
  <c r="IF151" i="16"/>
  <c r="IA151" i="16"/>
  <c r="HV151" i="16"/>
  <c r="HQ151" i="16"/>
  <c r="HL151" i="16"/>
  <c r="HG151" i="16"/>
  <c r="HB151" i="16"/>
  <c r="GW151" i="16"/>
  <c r="GR151" i="16"/>
  <c r="GM151" i="16"/>
  <c r="N151" i="16"/>
  <c r="AP151" i="16" s="1"/>
  <c r="K152" i="16"/>
  <c r="JV151" i="16"/>
  <c r="JP151" i="16"/>
  <c r="JI151" i="16"/>
  <c r="JB151" i="16"/>
  <c r="IV151" i="16"/>
  <c r="IO151" i="16"/>
  <c r="IH151" i="16"/>
  <c r="IB151" i="16"/>
  <c r="HU151" i="16"/>
  <c r="HN151" i="16"/>
  <c r="HH151" i="16"/>
  <c r="HA151" i="16"/>
  <c r="GT151" i="16"/>
  <c r="GN151" i="16"/>
  <c r="KA151" i="16"/>
  <c r="JU151" i="16"/>
  <c r="JN151" i="16"/>
  <c r="JG151" i="16"/>
  <c r="JA151" i="16"/>
  <c r="IT151" i="16"/>
  <c r="IM151" i="16"/>
  <c r="IG151" i="16"/>
  <c r="HZ151" i="16"/>
  <c r="HS151" i="16"/>
  <c r="HM151" i="16"/>
  <c r="HF151" i="16"/>
  <c r="GY151" i="16"/>
  <c r="GS151" i="16"/>
  <c r="GL151" i="16"/>
  <c r="M151" i="16"/>
  <c r="JQ151" i="16"/>
  <c r="JD151" i="16"/>
  <c r="IQ151" i="16"/>
  <c r="IC151" i="16"/>
  <c r="HP151" i="16"/>
  <c r="HC151" i="16"/>
  <c r="GO151" i="16"/>
  <c r="Q151" i="16"/>
  <c r="JZ151" i="16"/>
  <c r="JL151" i="16"/>
  <c r="IY151" i="16"/>
  <c r="IL151" i="16"/>
  <c r="HX151" i="16"/>
  <c r="HK151" i="16"/>
  <c r="GX151" i="16"/>
  <c r="P151" i="16"/>
  <c r="JX151" i="16"/>
  <c r="JK151" i="16"/>
  <c r="IW151" i="16"/>
  <c r="IJ151" i="16"/>
  <c r="HW151" i="16"/>
  <c r="HI151" i="16"/>
  <c r="GV151" i="16"/>
  <c r="JS151" i="16"/>
  <c r="JF151" i="16"/>
  <c r="IR151" i="16"/>
  <c r="IE151" i="16"/>
  <c r="HR151" i="16"/>
  <c r="HD151" i="16"/>
  <c r="GQ151" i="16"/>
  <c r="L151" i="16"/>
  <c r="BF151" i="16" s="1"/>
  <c r="U151" i="16" l="1"/>
  <c r="AR151" i="16"/>
  <c r="AC151" i="16"/>
  <c r="AS151" i="16"/>
  <c r="AB151" i="16"/>
  <c r="GE152" i="16"/>
  <c r="FZ152" i="16"/>
  <c r="FU152" i="16"/>
  <c r="FP152" i="16"/>
  <c r="FK152" i="16"/>
  <c r="FF152" i="16"/>
  <c r="FA152" i="16"/>
  <c r="EV152" i="16"/>
  <c r="EQ152" i="16"/>
  <c r="EL152" i="16"/>
  <c r="EG152" i="16"/>
  <c r="EB152" i="16"/>
  <c r="DW152" i="16"/>
  <c r="DR152" i="16"/>
  <c r="DM152" i="16"/>
  <c r="DH152" i="16"/>
  <c r="DC152" i="16"/>
  <c r="CX152" i="16"/>
  <c r="CS152" i="16"/>
  <c r="E152" i="16"/>
  <c r="AH152" i="16" s="1"/>
  <c r="AX152" i="16" s="1"/>
  <c r="B153" i="16"/>
  <c r="GG152" i="16"/>
  <c r="GA152" i="16"/>
  <c r="FS152" i="16"/>
  <c r="FM152" i="16"/>
  <c r="FG152" i="16"/>
  <c r="EY152" i="16"/>
  <c r="ES152" i="16"/>
  <c r="EM152" i="16"/>
  <c r="EE152" i="16"/>
  <c r="DY152" i="16"/>
  <c r="DS152" i="16"/>
  <c r="DK152" i="16"/>
  <c r="DE152" i="16"/>
  <c r="CY152" i="16"/>
  <c r="F152" i="16"/>
  <c r="GF152" i="16"/>
  <c r="FX152" i="16"/>
  <c r="FR152" i="16"/>
  <c r="FL152" i="16"/>
  <c r="FD152" i="16"/>
  <c r="EX152" i="16"/>
  <c r="ER152" i="16"/>
  <c r="EJ152" i="16"/>
  <c r="ED152" i="16"/>
  <c r="DX152" i="16"/>
  <c r="DP152" i="16"/>
  <c r="DJ152" i="16"/>
  <c r="DD152" i="16"/>
  <c r="CV152" i="16"/>
  <c r="D152" i="16"/>
  <c r="GH152" i="16"/>
  <c r="FV152" i="16"/>
  <c r="FH152" i="16"/>
  <c r="ET152" i="16"/>
  <c r="EH152" i="16"/>
  <c r="DT152" i="16"/>
  <c r="DF152" i="16"/>
  <c r="CT152" i="16"/>
  <c r="GC152" i="16"/>
  <c r="FQ152" i="16"/>
  <c r="FC152" i="16"/>
  <c r="EO152" i="16"/>
  <c r="EC152" i="16"/>
  <c r="DO152" i="16"/>
  <c r="DA152" i="16"/>
  <c r="H152" i="16"/>
  <c r="GB152" i="16"/>
  <c r="FN152" i="16"/>
  <c r="FB152" i="16"/>
  <c r="EN152" i="16"/>
  <c r="DZ152" i="16"/>
  <c r="DN152" i="16"/>
  <c r="CZ152" i="16"/>
  <c r="G152" i="16"/>
  <c r="FW152" i="16"/>
  <c r="FI152" i="16"/>
  <c r="EW152" i="16"/>
  <c r="EI152" i="16"/>
  <c r="DU152" i="16"/>
  <c r="DI152" i="16"/>
  <c r="CU152" i="16"/>
  <c r="C152" i="16"/>
  <c r="I152" i="16" a="1"/>
  <c r="I152" i="16" s="1"/>
  <c r="JX152" i="16"/>
  <c r="JS152" i="16"/>
  <c r="JN152" i="16"/>
  <c r="JI152" i="16"/>
  <c r="JD152" i="16"/>
  <c r="IY152" i="16"/>
  <c r="IT152" i="16"/>
  <c r="IO152" i="16"/>
  <c r="IJ152" i="16"/>
  <c r="IE152" i="16"/>
  <c r="HZ152" i="16"/>
  <c r="HU152" i="16"/>
  <c r="HP152" i="16"/>
  <c r="HK152" i="16"/>
  <c r="HF152" i="16"/>
  <c r="HA152" i="16"/>
  <c r="GV152" i="16"/>
  <c r="GQ152" i="16"/>
  <c r="GL152" i="16"/>
  <c r="Q152" i="16"/>
  <c r="M152" i="16"/>
  <c r="JY152" i="16"/>
  <c r="JQ152" i="16"/>
  <c r="JK152" i="16"/>
  <c r="JE152" i="16"/>
  <c r="IW152" i="16"/>
  <c r="IQ152" i="16"/>
  <c r="IK152" i="16"/>
  <c r="IC152" i="16"/>
  <c r="HW152" i="16"/>
  <c r="HQ152" i="16"/>
  <c r="HI152" i="16"/>
  <c r="HC152" i="16"/>
  <c r="GW152" i="16"/>
  <c r="GO152" i="16"/>
  <c r="P152" i="16"/>
  <c r="K153" i="16"/>
  <c r="JV152" i="16"/>
  <c r="JP152" i="16"/>
  <c r="JJ152" i="16"/>
  <c r="JB152" i="16"/>
  <c r="IV152" i="16"/>
  <c r="IP152" i="16"/>
  <c r="IH152" i="16"/>
  <c r="IB152" i="16"/>
  <c r="HV152" i="16"/>
  <c r="HN152" i="16"/>
  <c r="HH152" i="16"/>
  <c r="HB152" i="16"/>
  <c r="GT152" i="16"/>
  <c r="GN152" i="16"/>
  <c r="JZ152" i="16"/>
  <c r="JL152" i="16"/>
  <c r="IZ152" i="16"/>
  <c r="IL152" i="16"/>
  <c r="HX152" i="16"/>
  <c r="HL152" i="16"/>
  <c r="GX152" i="16"/>
  <c r="L152" i="16"/>
  <c r="JU152" i="16"/>
  <c r="JG152" i="16"/>
  <c r="IU152" i="16"/>
  <c r="IG152" i="16"/>
  <c r="HS152" i="16"/>
  <c r="HG152" i="16"/>
  <c r="GS152" i="16"/>
  <c r="JT152" i="16"/>
  <c r="JF152" i="16"/>
  <c r="IR152" i="16"/>
  <c r="IF152" i="16"/>
  <c r="HR152" i="16"/>
  <c r="HD152" i="16"/>
  <c r="GR152" i="16"/>
  <c r="KA152" i="16"/>
  <c r="JO152" i="16"/>
  <c r="JA152" i="16"/>
  <c r="IM152" i="16"/>
  <c r="IA152" i="16"/>
  <c r="HM152" i="16"/>
  <c r="GY152" i="16"/>
  <c r="GM152" i="16"/>
  <c r="N152" i="16"/>
  <c r="AP152" i="16" s="1"/>
  <c r="Z150" i="16"/>
  <c r="V150" i="16"/>
  <c r="Y150" i="16"/>
  <c r="X150" i="16"/>
  <c r="W150" i="16"/>
  <c r="BF152" i="16" l="1"/>
  <c r="K154" i="16"/>
  <c r="KA153" i="16"/>
  <c r="JV153" i="16"/>
  <c r="JQ153" i="16"/>
  <c r="JL153" i="16"/>
  <c r="JG153" i="16"/>
  <c r="JB153" i="16"/>
  <c r="IW153" i="16"/>
  <c r="IR153" i="16"/>
  <c r="IM153" i="16"/>
  <c r="IH153" i="16"/>
  <c r="IC153" i="16"/>
  <c r="HX153" i="16"/>
  <c r="HS153" i="16"/>
  <c r="HN153" i="16"/>
  <c r="HI153" i="16"/>
  <c r="HD153" i="16"/>
  <c r="GY153" i="16"/>
  <c r="GT153" i="16"/>
  <c r="GO153" i="16"/>
  <c r="P153" i="16"/>
  <c r="L153" i="16"/>
  <c r="JZ153" i="16"/>
  <c r="JT153" i="16"/>
  <c r="JN153" i="16"/>
  <c r="JF153" i="16"/>
  <c r="IZ153" i="16"/>
  <c r="IT153" i="16"/>
  <c r="IL153" i="16"/>
  <c r="IF153" i="16"/>
  <c r="HZ153" i="16"/>
  <c r="HR153" i="16"/>
  <c r="HL153" i="16"/>
  <c r="HF153" i="16"/>
  <c r="GX153" i="16"/>
  <c r="GR153" i="16"/>
  <c r="GL153" i="16"/>
  <c r="M153" i="16"/>
  <c r="JY153" i="16"/>
  <c r="JS153" i="16"/>
  <c r="JK153" i="16"/>
  <c r="JE153" i="16"/>
  <c r="IY153" i="16"/>
  <c r="IQ153" i="16"/>
  <c r="IK153" i="16"/>
  <c r="IE153" i="16"/>
  <c r="HW153" i="16"/>
  <c r="HQ153" i="16"/>
  <c r="HK153" i="16"/>
  <c r="HC153" i="16"/>
  <c r="GW153" i="16"/>
  <c r="GQ153" i="16"/>
  <c r="Q153" i="16"/>
  <c r="JP153" i="16"/>
  <c r="JD153" i="16"/>
  <c r="IP153" i="16"/>
  <c r="IB153" i="16"/>
  <c r="HP153" i="16"/>
  <c r="HB153" i="16"/>
  <c r="GN153" i="16"/>
  <c r="JO153" i="16"/>
  <c r="JA153" i="16"/>
  <c r="IO153" i="16"/>
  <c r="IA153" i="16"/>
  <c r="HM153" i="16"/>
  <c r="HA153" i="16"/>
  <c r="GM153" i="16"/>
  <c r="JX153" i="16"/>
  <c r="JJ153" i="16"/>
  <c r="IV153" i="16"/>
  <c r="IJ153" i="16"/>
  <c r="HV153" i="16"/>
  <c r="HH153" i="16"/>
  <c r="GV153" i="16"/>
  <c r="N153" i="16"/>
  <c r="AP153" i="16" s="1"/>
  <c r="JU153" i="16"/>
  <c r="JI153" i="16"/>
  <c r="IU153" i="16"/>
  <c r="IG153" i="16"/>
  <c r="HU153" i="16"/>
  <c r="HG153" i="16"/>
  <c r="GS153" i="16"/>
  <c r="I153" i="16" a="1"/>
  <c r="I153" i="16" s="1"/>
  <c r="Y151" i="16"/>
  <c r="W151" i="16"/>
  <c r="V151" i="16"/>
  <c r="Z151" i="16"/>
  <c r="X151" i="16"/>
  <c r="U152" i="16"/>
  <c r="AC152" i="16"/>
  <c r="AR152" i="16"/>
  <c r="AB152" i="16"/>
  <c r="AS152" i="16"/>
  <c r="GH153" i="16"/>
  <c r="GC153" i="16"/>
  <c r="FX153" i="16"/>
  <c r="FS153" i="16"/>
  <c r="FN153" i="16"/>
  <c r="FI153" i="16"/>
  <c r="FD153" i="16"/>
  <c r="EY153" i="16"/>
  <c r="ET153" i="16"/>
  <c r="EO153" i="16"/>
  <c r="EJ153" i="16"/>
  <c r="EE153" i="16"/>
  <c r="DZ153" i="16"/>
  <c r="DU153" i="16"/>
  <c r="DP153" i="16"/>
  <c r="DK153" i="16"/>
  <c r="DF153" i="16"/>
  <c r="DA153" i="16"/>
  <c r="CV153" i="16"/>
  <c r="H153" i="16"/>
  <c r="D153" i="16"/>
  <c r="GB153" i="16"/>
  <c r="FV153" i="16"/>
  <c r="FP153" i="16"/>
  <c r="FH153" i="16"/>
  <c r="FB153" i="16"/>
  <c r="EV153" i="16"/>
  <c r="EN153" i="16"/>
  <c r="EH153" i="16"/>
  <c r="EB153" i="16"/>
  <c r="DT153" i="16"/>
  <c r="DN153" i="16"/>
  <c r="DH153" i="16"/>
  <c r="CZ153" i="16"/>
  <c r="CT153" i="16"/>
  <c r="G153" i="16"/>
  <c r="GG153" i="16"/>
  <c r="GA153" i="16"/>
  <c r="FU153" i="16"/>
  <c r="FM153" i="16"/>
  <c r="FG153" i="16"/>
  <c r="FA153" i="16"/>
  <c r="ES153" i="16"/>
  <c r="EM153" i="16"/>
  <c r="EG153" i="16"/>
  <c r="DY153" i="16"/>
  <c r="DS153" i="16"/>
  <c r="DM153" i="16"/>
  <c r="DE153" i="16"/>
  <c r="CY153" i="16"/>
  <c r="CS153" i="16"/>
  <c r="F153" i="16"/>
  <c r="B154" i="16"/>
  <c r="FZ153" i="16"/>
  <c r="FL153" i="16"/>
  <c r="EX153" i="16"/>
  <c r="EL153" i="16"/>
  <c r="DX153" i="16"/>
  <c r="DJ153" i="16"/>
  <c r="CX153" i="16"/>
  <c r="FW153" i="16"/>
  <c r="FK153" i="16"/>
  <c r="EW153" i="16"/>
  <c r="EI153" i="16"/>
  <c r="DW153" i="16"/>
  <c r="DI153" i="16"/>
  <c r="CU153" i="16"/>
  <c r="E153" i="16"/>
  <c r="AH153" i="16" s="1"/>
  <c r="AX153" i="16" s="1"/>
  <c r="GF153" i="16"/>
  <c r="FR153" i="16"/>
  <c r="FF153" i="16"/>
  <c r="ER153" i="16"/>
  <c r="ED153" i="16"/>
  <c r="DR153" i="16"/>
  <c r="DD153" i="16"/>
  <c r="C153" i="16"/>
  <c r="GE153" i="16"/>
  <c r="FQ153" i="16"/>
  <c r="FC153" i="16"/>
  <c r="EQ153" i="16"/>
  <c r="EC153" i="16"/>
  <c r="DO153" i="16"/>
  <c r="DC153" i="16"/>
  <c r="U153" i="16" l="1"/>
  <c r="JZ154" i="16"/>
  <c r="JU154" i="16"/>
  <c r="JP154" i="16"/>
  <c r="JK154" i="16"/>
  <c r="JF154" i="16"/>
  <c r="JA154" i="16"/>
  <c r="IV154" i="16"/>
  <c r="IQ154" i="16"/>
  <c r="IL154" i="16"/>
  <c r="IG154" i="16"/>
  <c r="IB154" i="16"/>
  <c r="HW154" i="16"/>
  <c r="HR154" i="16"/>
  <c r="HM154" i="16"/>
  <c r="HH154" i="16"/>
  <c r="HC154" i="16"/>
  <c r="GX154" i="16"/>
  <c r="GS154" i="16"/>
  <c r="GN154" i="16"/>
  <c r="K155" i="16"/>
  <c r="JV154" i="16"/>
  <c r="JO154" i="16"/>
  <c r="JI154" i="16"/>
  <c r="JB154" i="16"/>
  <c r="IU154" i="16"/>
  <c r="IO154" i="16"/>
  <c r="IH154" i="16"/>
  <c r="IA154" i="16"/>
  <c r="HU154" i="16"/>
  <c r="HN154" i="16"/>
  <c r="HG154" i="16"/>
  <c r="HA154" i="16"/>
  <c r="GT154" i="16"/>
  <c r="GM154" i="16"/>
  <c r="JT154" i="16"/>
  <c r="JL154" i="16"/>
  <c r="JD154" i="16"/>
  <c r="IT154" i="16"/>
  <c r="IK154" i="16"/>
  <c r="IC154" i="16"/>
  <c r="HS154" i="16"/>
  <c r="HK154" i="16"/>
  <c r="HB154" i="16"/>
  <c r="GR154" i="16"/>
  <c r="Q154" i="16"/>
  <c r="M154" i="16"/>
  <c r="KA154" i="16"/>
  <c r="JS154" i="16"/>
  <c r="JJ154" i="16"/>
  <c r="IZ154" i="16"/>
  <c r="IR154" i="16"/>
  <c r="IJ154" i="16"/>
  <c r="HZ154" i="16"/>
  <c r="HQ154" i="16"/>
  <c r="HI154" i="16"/>
  <c r="GY154" i="16"/>
  <c r="GQ154" i="16"/>
  <c r="P154" i="16"/>
  <c r="L154" i="16"/>
  <c r="BF154" i="16" s="1"/>
  <c r="JY154" i="16"/>
  <c r="JQ154" i="16"/>
  <c r="JG154" i="16"/>
  <c r="IY154" i="16"/>
  <c r="IP154" i="16"/>
  <c r="IF154" i="16"/>
  <c r="HX154" i="16"/>
  <c r="HP154" i="16"/>
  <c r="HF154" i="16"/>
  <c r="GW154" i="16"/>
  <c r="GO154" i="16"/>
  <c r="JN154" i="16"/>
  <c r="IE154" i="16"/>
  <c r="GV154" i="16"/>
  <c r="JE154" i="16"/>
  <c r="HV154" i="16"/>
  <c r="GL154" i="16"/>
  <c r="IW154" i="16"/>
  <c r="HL154" i="16"/>
  <c r="N154" i="16"/>
  <c r="AP154" i="16" s="1"/>
  <c r="JX154" i="16"/>
  <c r="IM154" i="16"/>
  <c r="HD154" i="16"/>
  <c r="X152" i="16"/>
  <c r="Y152" i="16"/>
  <c r="W152" i="16"/>
  <c r="V152" i="16"/>
  <c r="Z152" i="16"/>
  <c r="B155" i="16"/>
  <c r="GG154" i="16"/>
  <c r="GB154" i="16"/>
  <c r="FW154" i="16"/>
  <c r="FR154" i="16"/>
  <c r="FM154" i="16"/>
  <c r="FH154" i="16"/>
  <c r="FC154" i="16"/>
  <c r="EX154" i="16"/>
  <c r="ES154" i="16"/>
  <c r="EN154" i="16"/>
  <c r="EI154" i="16"/>
  <c r="ED154" i="16"/>
  <c r="DY154" i="16"/>
  <c r="DT154" i="16"/>
  <c r="DO154" i="16"/>
  <c r="DJ154" i="16"/>
  <c r="DE154" i="16"/>
  <c r="CZ154" i="16"/>
  <c r="CU154" i="16"/>
  <c r="G154" i="16"/>
  <c r="C154" i="16"/>
  <c r="GE154" i="16"/>
  <c r="FX154" i="16"/>
  <c r="FQ154" i="16"/>
  <c r="FK154" i="16"/>
  <c r="FD154" i="16"/>
  <c r="EW154" i="16"/>
  <c r="EQ154" i="16"/>
  <c r="EJ154" i="16"/>
  <c r="EC154" i="16"/>
  <c r="DW154" i="16"/>
  <c r="DP154" i="16"/>
  <c r="DI154" i="16"/>
  <c r="DC154" i="16"/>
  <c r="CV154" i="16"/>
  <c r="E154" i="16"/>
  <c r="AH154" i="16" s="1"/>
  <c r="AX154" i="16" s="1"/>
  <c r="GH154" i="16"/>
  <c r="FZ154" i="16"/>
  <c r="FP154" i="16"/>
  <c r="FG154" i="16"/>
  <c r="EY154" i="16"/>
  <c r="EO154" i="16"/>
  <c r="EG154" i="16"/>
  <c r="DX154" i="16"/>
  <c r="DN154" i="16"/>
  <c r="DF154" i="16"/>
  <c r="CX154" i="16"/>
  <c r="F154" i="16"/>
  <c r="GF154" i="16"/>
  <c r="FV154" i="16"/>
  <c r="FN154" i="16"/>
  <c r="FF154" i="16"/>
  <c r="EV154" i="16"/>
  <c r="EM154" i="16"/>
  <c r="EE154" i="16"/>
  <c r="DU154" i="16"/>
  <c r="DM154" i="16"/>
  <c r="DD154" i="16"/>
  <c r="CT154" i="16"/>
  <c r="D154" i="16"/>
  <c r="GC154" i="16"/>
  <c r="FU154" i="16"/>
  <c r="FL154" i="16"/>
  <c r="FB154" i="16"/>
  <c r="ET154" i="16"/>
  <c r="EL154" i="16"/>
  <c r="EB154" i="16"/>
  <c r="DS154" i="16"/>
  <c r="DK154" i="16"/>
  <c r="DA154" i="16"/>
  <c r="CS154" i="16"/>
  <c r="FI154" i="16"/>
  <c r="DZ154" i="16"/>
  <c r="FA154" i="16"/>
  <c r="DR154" i="16"/>
  <c r="GA154" i="16"/>
  <c r="ER154" i="16"/>
  <c r="DH154" i="16"/>
  <c r="FS154" i="16"/>
  <c r="EH154" i="16"/>
  <c r="CY154" i="16"/>
  <c r="H154" i="16"/>
  <c r="AB153" i="16"/>
  <c r="AS153" i="16"/>
  <c r="AR153" i="16"/>
  <c r="AC153" i="16"/>
  <c r="I154" i="16" a="1"/>
  <c r="I154" i="16" s="1"/>
  <c r="I155" i="16" a="1"/>
  <c r="I155" i="16" s="1"/>
  <c r="BF153" i="16"/>
  <c r="W153" i="16" l="1"/>
  <c r="Z153" i="16"/>
  <c r="Y153" i="16"/>
  <c r="V153" i="16"/>
  <c r="X153" i="16"/>
  <c r="U154" i="16"/>
  <c r="JY155" i="16"/>
  <c r="JT155" i="16"/>
  <c r="JO155" i="16"/>
  <c r="JJ155" i="16"/>
  <c r="JE155" i="16"/>
  <c r="IZ155" i="16"/>
  <c r="IU155" i="16"/>
  <c r="IP155" i="16"/>
  <c r="IK155" i="16"/>
  <c r="IF155" i="16"/>
  <c r="IA155" i="16"/>
  <c r="HV155" i="16"/>
  <c r="HQ155" i="16"/>
  <c r="HL155" i="16"/>
  <c r="HG155" i="16"/>
  <c r="HB155" i="16"/>
  <c r="GW155" i="16"/>
  <c r="GR155" i="16"/>
  <c r="GM155" i="16"/>
  <c r="N155" i="16"/>
  <c r="AP155" i="16" s="1"/>
  <c r="JX155" i="16"/>
  <c r="JQ155" i="16"/>
  <c r="JK155" i="16"/>
  <c r="JD155" i="16"/>
  <c r="IW155" i="16"/>
  <c r="IQ155" i="16"/>
  <c r="IJ155" i="16"/>
  <c r="IC155" i="16"/>
  <c r="HW155" i="16"/>
  <c r="HP155" i="16"/>
  <c r="HI155" i="16"/>
  <c r="HC155" i="16"/>
  <c r="GV155" i="16"/>
  <c r="GO155" i="16"/>
  <c r="P155" i="16"/>
  <c r="K156" i="16"/>
  <c r="JZ155" i="16"/>
  <c r="JP155" i="16"/>
  <c r="JG155" i="16"/>
  <c r="IY155" i="16"/>
  <c r="IO155" i="16"/>
  <c r="IG155" i="16"/>
  <c r="HX155" i="16"/>
  <c r="HN155" i="16"/>
  <c r="HF155" i="16"/>
  <c r="GX155" i="16"/>
  <c r="GN155" i="16"/>
  <c r="JV155" i="16"/>
  <c r="JN155" i="16"/>
  <c r="JF155" i="16"/>
  <c r="IV155" i="16"/>
  <c r="IM155" i="16"/>
  <c r="IE155" i="16"/>
  <c r="HU155" i="16"/>
  <c r="HM155" i="16"/>
  <c r="HD155" i="16"/>
  <c r="GT155" i="16"/>
  <c r="GL155" i="16"/>
  <c r="M155" i="16"/>
  <c r="JU155" i="16"/>
  <c r="JL155" i="16"/>
  <c r="JB155" i="16"/>
  <c r="IT155" i="16"/>
  <c r="IL155" i="16"/>
  <c r="IB155" i="16"/>
  <c r="HS155" i="16"/>
  <c r="HK155" i="16"/>
  <c r="HA155" i="16"/>
  <c r="GS155" i="16"/>
  <c r="L155" i="16"/>
  <c r="JA155" i="16"/>
  <c r="HR155" i="16"/>
  <c r="KA155" i="16"/>
  <c r="IR155" i="16"/>
  <c r="HH155" i="16"/>
  <c r="JS155" i="16"/>
  <c r="IH155" i="16"/>
  <c r="GY155" i="16"/>
  <c r="JI155" i="16"/>
  <c r="HZ155" i="16"/>
  <c r="GQ155" i="16"/>
  <c r="Q155" i="16"/>
  <c r="AS154" i="16"/>
  <c r="AC154" i="16"/>
  <c r="AB154" i="16"/>
  <c r="AR154" i="16"/>
  <c r="GF155" i="16"/>
  <c r="GA155" i="16"/>
  <c r="FV155" i="16"/>
  <c r="FQ155" i="16"/>
  <c r="FL155" i="16"/>
  <c r="FG155" i="16"/>
  <c r="FB155" i="16"/>
  <c r="EW155" i="16"/>
  <c r="ER155" i="16"/>
  <c r="EM155" i="16"/>
  <c r="EH155" i="16"/>
  <c r="EC155" i="16"/>
  <c r="DX155" i="16"/>
  <c r="DS155" i="16"/>
  <c r="DN155" i="16"/>
  <c r="DI155" i="16"/>
  <c r="DD155" i="16"/>
  <c r="CY155" i="16"/>
  <c r="CT155" i="16"/>
  <c r="F155" i="16"/>
  <c r="B156" i="16"/>
  <c r="GG155" i="16"/>
  <c r="FZ155" i="16"/>
  <c r="FS155" i="16"/>
  <c r="FM155" i="16"/>
  <c r="FF155" i="16"/>
  <c r="EY155" i="16"/>
  <c r="ES155" i="16"/>
  <c r="EL155" i="16"/>
  <c r="EE155" i="16"/>
  <c r="DY155" i="16"/>
  <c r="DR155" i="16"/>
  <c r="DK155" i="16"/>
  <c r="DE155" i="16"/>
  <c r="CX155" i="16"/>
  <c r="E155" i="16"/>
  <c r="AH155" i="16" s="1"/>
  <c r="AX155" i="16" s="1"/>
  <c r="GC155" i="16"/>
  <c r="FU155" i="16"/>
  <c r="FK155" i="16"/>
  <c r="FC155" i="16"/>
  <c r="ET155" i="16"/>
  <c r="EJ155" i="16"/>
  <c r="EB155" i="16"/>
  <c r="DT155" i="16"/>
  <c r="DJ155" i="16"/>
  <c r="DA155" i="16"/>
  <c r="CS155" i="16"/>
  <c r="H155" i="16"/>
  <c r="GB155" i="16"/>
  <c r="FR155" i="16"/>
  <c r="FI155" i="16"/>
  <c r="FA155" i="16"/>
  <c r="EQ155" i="16"/>
  <c r="EI155" i="16"/>
  <c r="DZ155" i="16"/>
  <c r="DP155" i="16"/>
  <c r="DH155" i="16"/>
  <c r="CZ155" i="16"/>
  <c r="G155" i="16"/>
  <c r="GH155" i="16"/>
  <c r="FX155" i="16"/>
  <c r="FP155" i="16"/>
  <c r="FH155" i="16"/>
  <c r="EX155" i="16"/>
  <c r="EO155" i="16"/>
  <c r="EG155" i="16"/>
  <c r="DW155" i="16"/>
  <c r="DO155" i="16"/>
  <c r="DF155" i="16"/>
  <c r="CV155" i="16"/>
  <c r="D155" i="16"/>
  <c r="GE155" i="16"/>
  <c r="EV155" i="16"/>
  <c r="DM155" i="16"/>
  <c r="FW155" i="16"/>
  <c r="EN155" i="16"/>
  <c r="DC155" i="16"/>
  <c r="FN155" i="16"/>
  <c r="ED155" i="16"/>
  <c r="CU155" i="16"/>
  <c r="C155" i="16"/>
  <c r="FD155" i="16"/>
  <c r="DU155" i="16"/>
  <c r="AR155" i="16" l="1"/>
  <c r="AS155" i="16"/>
  <c r="AC155" i="16"/>
  <c r="AB155" i="16"/>
  <c r="I156" i="16" a="1"/>
  <c r="I156" i="16" s="1"/>
  <c r="JX156" i="16"/>
  <c r="JS156" i="16"/>
  <c r="JN156" i="16"/>
  <c r="JI156" i="16"/>
  <c r="JD156" i="16"/>
  <c r="IY156" i="16"/>
  <c r="IT156" i="16"/>
  <c r="IO156" i="16"/>
  <c r="IJ156" i="16"/>
  <c r="IE156" i="16"/>
  <c r="HZ156" i="16"/>
  <c r="HU156" i="16"/>
  <c r="HP156" i="16"/>
  <c r="HK156" i="16"/>
  <c r="HF156" i="16"/>
  <c r="HA156" i="16"/>
  <c r="GV156" i="16"/>
  <c r="GQ156" i="16"/>
  <c r="GL156" i="16"/>
  <c r="Q156" i="16"/>
  <c r="M156" i="16"/>
  <c r="JZ156" i="16"/>
  <c r="JT156" i="16"/>
  <c r="JL156" i="16"/>
  <c r="JF156" i="16"/>
  <c r="IZ156" i="16"/>
  <c r="IR156" i="16"/>
  <c r="IL156" i="16"/>
  <c r="IF156" i="16"/>
  <c r="HX156" i="16"/>
  <c r="HR156" i="16"/>
  <c r="HL156" i="16"/>
  <c r="HD156" i="16"/>
  <c r="GX156" i="16"/>
  <c r="GR156" i="16"/>
  <c r="L156" i="16"/>
  <c r="BF156" i="16" s="1"/>
  <c r="K157" i="16"/>
  <c r="JY156" i="16"/>
  <c r="JP156" i="16"/>
  <c r="JG156" i="16"/>
  <c r="IW156" i="16"/>
  <c r="IP156" i="16"/>
  <c r="IG156" i="16"/>
  <c r="HW156" i="16"/>
  <c r="HN156" i="16"/>
  <c r="HG156" i="16"/>
  <c r="GW156" i="16"/>
  <c r="GN156" i="16"/>
  <c r="JV156" i="16"/>
  <c r="JO156" i="16"/>
  <c r="JE156" i="16"/>
  <c r="IV156" i="16"/>
  <c r="IM156" i="16"/>
  <c r="IC156" i="16"/>
  <c r="HV156" i="16"/>
  <c r="HM156" i="16"/>
  <c r="HC156" i="16"/>
  <c r="GT156" i="16"/>
  <c r="GM156" i="16"/>
  <c r="P156" i="16"/>
  <c r="JU156" i="16"/>
  <c r="JK156" i="16"/>
  <c r="JB156" i="16"/>
  <c r="IU156" i="16"/>
  <c r="IK156" i="16"/>
  <c r="IB156" i="16"/>
  <c r="HS156" i="16"/>
  <c r="HI156" i="16"/>
  <c r="HB156" i="16"/>
  <c r="GS156" i="16"/>
  <c r="JA156" i="16"/>
  <c r="HQ156" i="16"/>
  <c r="KA156" i="16"/>
  <c r="IQ156" i="16"/>
  <c r="HH156" i="16"/>
  <c r="JQ156" i="16"/>
  <c r="IH156" i="16"/>
  <c r="GY156" i="16"/>
  <c r="JJ156" i="16"/>
  <c r="IA156" i="16"/>
  <c r="GO156" i="16"/>
  <c r="N156" i="16"/>
  <c r="AP156" i="16" s="1"/>
  <c r="I157" i="16" a="1"/>
  <c r="I157" i="16" s="1"/>
  <c r="U155" i="16"/>
  <c r="GE156" i="16"/>
  <c r="FZ156" i="16"/>
  <c r="FU156" i="16"/>
  <c r="FP156" i="16"/>
  <c r="FK156" i="16"/>
  <c r="FF156" i="16"/>
  <c r="FA156" i="16"/>
  <c r="EV156" i="16"/>
  <c r="EQ156" i="16"/>
  <c r="EL156" i="16"/>
  <c r="EG156" i="16"/>
  <c r="EB156" i="16"/>
  <c r="DW156" i="16"/>
  <c r="DR156" i="16"/>
  <c r="DM156" i="16"/>
  <c r="DH156" i="16"/>
  <c r="DC156" i="16"/>
  <c r="CX156" i="16"/>
  <c r="CS156" i="16"/>
  <c r="E156" i="16"/>
  <c r="AH156" i="16" s="1"/>
  <c r="AX156" i="16" s="1"/>
  <c r="GH156" i="16"/>
  <c r="GB156" i="16"/>
  <c r="FV156" i="16"/>
  <c r="FN156" i="16"/>
  <c r="FH156" i="16"/>
  <c r="FB156" i="16"/>
  <c r="ET156" i="16"/>
  <c r="EN156" i="16"/>
  <c r="EH156" i="16"/>
  <c r="DZ156" i="16"/>
  <c r="DT156" i="16"/>
  <c r="DN156" i="16"/>
  <c r="DF156" i="16"/>
  <c r="CZ156" i="16"/>
  <c r="CT156" i="16"/>
  <c r="G156" i="16"/>
  <c r="GC156" i="16"/>
  <c r="FS156" i="16"/>
  <c r="FL156" i="16"/>
  <c r="FC156" i="16"/>
  <c r="ES156" i="16"/>
  <c r="EJ156" i="16"/>
  <c r="EC156" i="16"/>
  <c r="DS156" i="16"/>
  <c r="DJ156" i="16"/>
  <c r="DA156" i="16"/>
  <c r="D156" i="16"/>
  <c r="B157" i="16"/>
  <c r="GA156" i="16"/>
  <c r="FR156" i="16"/>
  <c r="FI156" i="16"/>
  <c r="EY156" i="16"/>
  <c r="ER156" i="16"/>
  <c r="EI156" i="16"/>
  <c r="DY156" i="16"/>
  <c r="DP156" i="16"/>
  <c r="DI156" i="16"/>
  <c r="CY156" i="16"/>
  <c r="C156" i="16"/>
  <c r="GG156" i="16"/>
  <c r="FX156" i="16"/>
  <c r="FQ156" i="16"/>
  <c r="FG156" i="16"/>
  <c r="EX156" i="16"/>
  <c r="EO156" i="16"/>
  <c r="EE156" i="16"/>
  <c r="DX156" i="16"/>
  <c r="DO156" i="16"/>
  <c r="DE156" i="16"/>
  <c r="CV156" i="16"/>
  <c r="H156" i="16"/>
  <c r="GF156" i="16"/>
  <c r="EW156" i="16"/>
  <c r="DK156" i="16"/>
  <c r="F156" i="16"/>
  <c r="FW156" i="16"/>
  <c r="EM156" i="16"/>
  <c r="DD156" i="16"/>
  <c r="FM156" i="16"/>
  <c r="ED156" i="16"/>
  <c r="CU156" i="16"/>
  <c r="FD156" i="16"/>
  <c r="DU156" i="16"/>
  <c r="Z154" i="16"/>
  <c r="V154" i="16"/>
  <c r="W154" i="16"/>
  <c r="Y154" i="16"/>
  <c r="X154" i="16"/>
  <c r="BF155" i="16"/>
  <c r="U156" i="16" l="1"/>
  <c r="AC156" i="16"/>
  <c r="AS156" i="16"/>
  <c r="AR156" i="16"/>
  <c r="AB156" i="16"/>
  <c r="Y155" i="16"/>
  <c r="X155" i="16"/>
  <c r="Z155" i="16"/>
  <c r="W155" i="16"/>
  <c r="V155" i="16"/>
  <c r="GH157" i="16"/>
  <c r="GC157" i="16"/>
  <c r="FX157" i="16"/>
  <c r="FS157" i="16"/>
  <c r="FN157" i="16"/>
  <c r="FI157" i="16"/>
  <c r="FD157" i="16"/>
  <c r="EY157" i="16"/>
  <c r="ET157" i="16"/>
  <c r="EO157" i="16"/>
  <c r="EJ157" i="16"/>
  <c r="EE157" i="16"/>
  <c r="DZ157" i="16"/>
  <c r="DU157" i="16"/>
  <c r="DP157" i="16"/>
  <c r="DK157" i="16"/>
  <c r="DF157" i="16"/>
  <c r="DA157" i="16"/>
  <c r="CV157" i="16"/>
  <c r="H157" i="16"/>
  <c r="D157" i="16"/>
  <c r="GE157" i="16"/>
  <c r="FW157" i="16"/>
  <c r="FQ157" i="16"/>
  <c r="FK157" i="16"/>
  <c r="FC157" i="16"/>
  <c r="EW157" i="16"/>
  <c r="EQ157" i="16"/>
  <c r="EI157" i="16"/>
  <c r="EC157" i="16"/>
  <c r="DW157" i="16"/>
  <c r="DO157" i="16"/>
  <c r="DI157" i="16"/>
  <c r="DC157" i="16"/>
  <c r="CU157" i="16"/>
  <c r="C157" i="16"/>
  <c r="B158" i="16"/>
  <c r="GA157" i="16"/>
  <c r="FR157" i="16"/>
  <c r="FH157" i="16"/>
  <c r="FA157" i="16"/>
  <c r="ER157" i="16"/>
  <c r="EH157" i="16"/>
  <c r="DY157" i="16"/>
  <c r="DR157" i="16"/>
  <c r="DH157" i="16"/>
  <c r="CY157" i="16"/>
  <c r="E157" i="16"/>
  <c r="AH157" i="16" s="1"/>
  <c r="AX157" i="16" s="1"/>
  <c r="GG157" i="16"/>
  <c r="FZ157" i="16"/>
  <c r="FP157" i="16"/>
  <c r="FG157" i="16"/>
  <c r="EX157" i="16"/>
  <c r="EN157" i="16"/>
  <c r="EG157" i="16"/>
  <c r="DX157" i="16"/>
  <c r="DN157" i="16"/>
  <c r="DE157" i="16"/>
  <c r="CX157" i="16"/>
  <c r="GF157" i="16"/>
  <c r="FV157" i="16"/>
  <c r="FM157" i="16"/>
  <c r="FF157" i="16"/>
  <c r="EV157" i="16"/>
  <c r="EM157" i="16"/>
  <c r="ED157" i="16"/>
  <c r="DT157" i="16"/>
  <c r="DM157" i="16"/>
  <c r="DD157" i="16"/>
  <c r="CT157" i="16"/>
  <c r="G157" i="16"/>
  <c r="GB157" i="16"/>
  <c r="ES157" i="16"/>
  <c r="DJ157" i="16"/>
  <c r="F157" i="16"/>
  <c r="FU157" i="16"/>
  <c r="EL157" i="16"/>
  <c r="CZ157" i="16"/>
  <c r="FL157" i="16"/>
  <c r="EB157" i="16"/>
  <c r="CS157" i="16"/>
  <c r="FB157" i="16"/>
  <c r="DS157" i="16"/>
  <c r="K158" i="16"/>
  <c r="KA157" i="16"/>
  <c r="JV157" i="16"/>
  <c r="JQ157" i="16"/>
  <c r="JL157" i="16"/>
  <c r="JG157" i="16"/>
  <c r="JB157" i="16"/>
  <c r="IW157" i="16"/>
  <c r="IR157" i="16"/>
  <c r="IM157" i="16"/>
  <c r="IH157" i="16"/>
  <c r="IC157" i="16"/>
  <c r="HX157" i="16"/>
  <c r="HS157" i="16"/>
  <c r="HN157" i="16"/>
  <c r="HI157" i="16"/>
  <c r="HD157" i="16"/>
  <c r="GY157" i="16"/>
  <c r="GT157" i="16"/>
  <c r="GO157" i="16"/>
  <c r="P157" i="16"/>
  <c r="L157" i="16"/>
  <c r="JU157" i="16"/>
  <c r="JO157" i="16"/>
  <c r="JI157" i="16"/>
  <c r="JA157" i="16"/>
  <c r="IU157" i="16"/>
  <c r="IO157" i="16"/>
  <c r="IG157" i="16"/>
  <c r="IA157" i="16"/>
  <c r="HU157" i="16"/>
  <c r="HM157" i="16"/>
  <c r="HG157" i="16"/>
  <c r="HA157" i="16"/>
  <c r="GS157" i="16"/>
  <c r="GM157" i="16"/>
  <c r="N157" i="16"/>
  <c r="AP157" i="16" s="1"/>
  <c r="JX157" i="16"/>
  <c r="JN157" i="16"/>
  <c r="JE157" i="16"/>
  <c r="IV157" i="16"/>
  <c r="IL157" i="16"/>
  <c r="IE157" i="16"/>
  <c r="HV157" i="16"/>
  <c r="HL157" i="16"/>
  <c r="HC157" i="16"/>
  <c r="GV157" i="16"/>
  <c r="GL157" i="16"/>
  <c r="JT157" i="16"/>
  <c r="JK157" i="16"/>
  <c r="JD157" i="16"/>
  <c r="IT157" i="16"/>
  <c r="IK157" i="16"/>
  <c r="IB157" i="16"/>
  <c r="HR157" i="16"/>
  <c r="HK157" i="16"/>
  <c r="HB157" i="16"/>
  <c r="GR157" i="16"/>
  <c r="Q157" i="16"/>
  <c r="JZ157" i="16"/>
  <c r="JS157" i="16"/>
  <c r="JJ157" i="16"/>
  <c r="IZ157" i="16"/>
  <c r="IQ157" i="16"/>
  <c r="IJ157" i="16"/>
  <c r="HZ157" i="16"/>
  <c r="HQ157" i="16"/>
  <c r="HH157" i="16"/>
  <c r="GX157" i="16"/>
  <c r="GQ157" i="16"/>
  <c r="IY157" i="16"/>
  <c r="HP157" i="16"/>
  <c r="JY157" i="16"/>
  <c r="IP157" i="16"/>
  <c r="HF157" i="16"/>
  <c r="JP157" i="16"/>
  <c r="IF157" i="16"/>
  <c r="GW157" i="16"/>
  <c r="JF157" i="16"/>
  <c r="HW157" i="16"/>
  <c r="GN157" i="16"/>
  <c r="M157" i="16"/>
  <c r="BF157" i="16"/>
  <c r="JZ158" i="16" l="1"/>
  <c r="JU158" i="16"/>
  <c r="JP158" i="16"/>
  <c r="JK158" i="16"/>
  <c r="JF158" i="16"/>
  <c r="JA158" i="16"/>
  <c r="IV158" i="16"/>
  <c r="IQ158" i="16"/>
  <c r="IL158" i="16"/>
  <c r="IG158" i="16"/>
  <c r="IB158" i="16"/>
  <c r="HW158" i="16"/>
  <c r="HR158" i="16"/>
  <c r="HM158" i="16"/>
  <c r="HH158" i="16"/>
  <c r="HC158" i="16"/>
  <c r="GX158" i="16"/>
  <c r="GS158" i="16"/>
  <c r="GN158" i="16"/>
  <c r="K159" i="16"/>
  <c r="JV158" i="16"/>
  <c r="JO158" i="16"/>
  <c r="JI158" i="16"/>
  <c r="JB158" i="16"/>
  <c r="IU158" i="16"/>
  <c r="IO158" i="16"/>
  <c r="IH158" i="16"/>
  <c r="IA158" i="16"/>
  <c r="HU158" i="16"/>
  <c r="HN158" i="16"/>
  <c r="HG158" i="16"/>
  <c r="HA158" i="16"/>
  <c r="GT158" i="16"/>
  <c r="GM158" i="16"/>
  <c r="JY158" i="16"/>
  <c r="JQ158" i="16"/>
  <c r="JG158" i="16"/>
  <c r="IY158" i="16"/>
  <c r="IP158" i="16"/>
  <c r="IF158" i="16"/>
  <c r="HX158" i="16"/>
  <c r="HP158" i="16"/>
  <c r="HF158" i="16"/>
  <c r="GW158" i="16"/>
  <c r="GO158" i="16"/>
  <c r="JX158" i="16"/>
  <c r="JN158" i="16"/>
  <c r="JE158" i="16"/>
  <c r="IW158" i="16"/>
  <c r="IM158" i="16"/>
  <c r="IE158" i="16"/>
  <c r="HV158" i="16"/>
  <c r="HL158" i="16"/>
  <c r="HD158" i="16"/>
  <c r="GV158" i="16"/>
  <c r="GL158" i="16"/>
  <c r="N158" i="16"/>
  <c r="AP158" i="16" s="1"/>
  <c r="JT158" i="16"/>
  <c r="JL158" i="16"/>
  <c r="JD158" i="16"/>
  <c r="IT158" i="16"/>
  <c r="IK158" i="16"/>
  <c r="IC158" i="16"/>
  <c r="HS158" i="16"/>
  <c r="HK158" i="16"/>
  <c r="HB158" i="16"/>
  <c r="GR158" i="16"/>
  <c r="Q158" i="16"/>
  <c r="M158" i="16"/>
  <c r="JS158" i="16"/>
  <c r="IJ158" i="16"/>
  <c r="GY158" i="16"/>
  <c r="JJ158" i="16"/>
  <c r="HZ158" i="16"/>
  <c r="GQ158" i="16"/>
  <c r="P158" i="16"/>
  <c r="IZ158" i="16"/>
  <c r="HQ158" i="16"/>
  <c r="KA158" i="16"/>
  <c r="IR158" i="16"/>
  <c r="HI158" i="16"/>
  <c r="L158" i="16"/>
  <c r="I159" i="16" s="1" a="1"/>
  <c r="I159" i="16" s="1"/>
  <c r="I158" i="16" a="1"/>
  <c r="I158" i="16" s="1"/>
  <c r="B159" i="16"/>
  <c r="GG158" i="16"/>
  <c r="GB158" i="16"/>
  <c r="FW158" i="16"/>
  <c r="FR158" i="16"/>
  <c r="FM158" i="16"/>
  <c r="FH158" i="16"/>
  <c r="FC158" i="16"/>
  <c r="EX158" i="16"/>
  <c r="ES158" i="16"/>
  <c r="EN158" i="16"/>
  <c r="EI158" i="16"/>
  <c r="ED158" i="16"/>
  <c r="DY158" i="16"/>
  <c r="DT158" i="16"/>
  <c r="DO158" i="16"/>
  <c r="DJ158" i="16"/>
  <c r="DE158" i="16"/>
  <c r="CZ158" i="16"/>
  <c r="CU158" i="16"/>
  <c r="G158" i="16"/>
  <c r="C158" i="16"/>
  <c r="GE158" i="16"/>
  <c r="FX158" i="16"/>
  <c r="FQ158" i="16"/>
  <c r="FK158" i="16"/>
  <c r="FD158" i="16"/>
  <c r="EW158" i="16"/>
  <c r="EQ158" i="16"/>
  <c r="EJ158" i="16"/>
  <c r="EC158" i="16"/>
  <c r="DW158" i="16"/>
  <c r="DP158" i="16"/>
  <c r="DI158" i="16"/>
  <c r="DC158" i="16"/>
  <c r="CV158" i="16"/>
  <c r="E158" i="16"/>
  <c r="AH158" i="16" s="1"/>
  <c r="AX158" i="16" s="1"/>
  <c r="GC158" i="16"/>
  <c r="FU158" i="16"/>
  <c r="FL158" i="16"/>
  <c r="FB158" i="16"/>
  <c r="ET158" i="16"/>
  <c r="EL158" i="16"/>
  <c r="EB158" i="16"/>
  <c r="DS158" i="16"/>
  <c r="DK158" i="16"/>
  <c r="DA158" i="16"/>
  <c r="CS158" i="16"/>
  <c r="GA158" i="16"/>
  <c r="FS158" i="16"/>
  <c r="FI158" i="16"/>
  <c r="FA158" i="16"/>
  <c r="ER158" i="16"/>
  <c r="EH158" i="16"/>
  <c r="DZ158" i="16"/>
  <c r="DR158" i="16"/>
  <c r="DH158" i="16"/>
  <c r="CY158" i="16"/>
  <c r="H158" i="16"/>
  <c r="GH158" i="16"/>
  <c r="FZ158" i="16"/>
  <c r="FP158" i="16"/>
  <c r="FG158" i="16"/>
  <c r="EY158" i="16"/>
  <c r="EO158" i="16"/>
  <c r="EG158" i="16"/>
  <c r="DX158" i="16"/>
  <c r="DN158" i="16"/>
  <c r="DF158" i="16"/>
  <c r="CX158" i="16"/>
  <c r="F158" i="16"/>
  <c r="FN158" i="16"/>
  <c r="EE158" i="16"/>
  <c r="CT158" i="16"/>
  <c r="D158" i="16"/>
  <c r="FF158" i="16"/>
  <c r="DU158" i="16"/>
  <c r="GF158" i="16"/>
  <c r="EV158" i="16"/>
  <c r="DM158" i="16"/>
  <c r="FV158" i="16"/>
  <c r="EM158" i="16"/>
  <c r="DD158" i="16"/>
  <c r="AB157" i="16"/>
  <c r="AC157" i="16"/>
  <c r="AS157" i="16"/>
  <c r="AR157" i="16"/>
  <c r="U157" i="16"/>
  <c r="X156" i="16"/>
  <c r="Z156" i="16"/>
  <c r="V156" i="16"/>
  <c r="Y156" i="16"/>
  <c r="W156" i="16"/>
  <c r="BF158" i="16" l="1"/>
  <c r="W157" i="16"/>
  <c r="V157" i="16"/>
  <c r="Z157" i="16"/>
  <c r="Y157" i="16"/>
  <c r="X157" i="16"/>
  <c r="GF159" i="16"/>
  <c r="GA159" i="16"/>
  <c r="FV159" i="16"/>
  <c r="FQ159" i="16"/>
  <c r="FL159" i="16"/>
  <c r="FG159" i="16"/>
  <c r="FB159" i="16"/>
  <c r="EW159" i="16"/>
  <c r="ER159" i="16"/>
  <c r="EM159" i="16"/>
  <c r="EH159" i="16"/>
  <c r="EC159" i="16"/>
  <c r="DX159" i="16"/>
  <c r="DS159" i="16"/>
  <c r="DN159" i="16"/>
  <c r="DI159" i="16"/>
  <c r="DD159" i="16"/>
  <c r="CY159" i="16"/>
  <c r="CT159" i="16"/>
  <c r="F159" i="16"/>
  <c r="GH159" i="16"/>
  <c r="GB159" i="16"/>
  <c r="FU159" i="16"/>
  <c r="FN159" i="16"/>
  <c r="FH159" i="16"/>
  <c r="FA159" i="16"/>
  <c r="ET159" i="16"/>
  <c r="EN159" i="16"/>
  <c r="EG159" i="16"/>
  <c r="DZ159" i="16"/>
  <c r="DT159" i="16"/>
  <c r="DM159" i="16"/>
  <c r="DF159" i="16"/>
  <c r="CZ159" i="16"/>
  <c r="CS159" i="16"/>
  <c r="B160" i="16"/>
  <c r="FZ159" i="16"/>
  <c r="FR159" i="16"/>
  <c r="FI159" i="16"/>
  <c r="EY159" i="16"/>
  <c r="EQ159" i="16"/>
  <c r="EI159" i="16"/>
  <c r="DY159" i="16"/>
  <c r="DP159" i="16"/>
  <c r="DH159" i="16"/>
  <c r="CX159" i="16"/>
  <c r="E159" i="16"/>
  <c r="AH159" i="16" s="1"/>
  <c r="AX159" i="16" s="1"/>
  <c r="GC159" i="16"/>
  <c r="FP159" i="16"/>
  <c r="FD159" i="16"/>
  <c r="ES159" i="16"/>
  <c r="EE159" i="16"/>
  <c r="DU159" i="16"/>
  <c r="DJ159" i="16"/>
  <c r="CV159" i="16"/>
  <c r="D159" i="16"/>
  <c r="FX159" i="16"/>
  <c r="FM159" i="16"/>
  <c r="FC159" i="16"/>
  <c r="EO159" i="16"/>
  <c r="ED159" i="16"/>
  <c r="DR159" i="16"/>
  <c r="DE159" i="16"/>
  <c r="CU159" i="16"/>
  <c r="C159" i="16"/>
  <c r="GG159" i="16"/>
  <c r="FW159" i="16"/>
  <c r="FK159" i="16"/>
  <c r="EX159" i="16"/>
  <c r="EL159" i="16"/>
  <c r="EB159" i="16"/>
  <c r="DO159" i="16"/>
  <c r="DC159" i="16"/>
  <c r="H159" i="16"/>
  <c r="FF159" i="16"/>
  <c r="DK159" i="16"/>
  <c r="EV159" i="16"/>
  <c r="DA159" i="16"/>
  <c r="GE159" i="16"/>
  <c r="EJ159" i="16"/>
  <c r="G159" i="16"/>
  <c r="FS159" i="16"/>
  <c r="DW159" i="16"/>
  <c r="AS158" i="16"/>
  <c r="AC158" i="16"/>
  <c r="AR158" i="16"/>
  <c r="AB158" i="16"/>
  <c r="U158" i="16"/>
  <c r="JY159" i="16"/>
  <c r="JT159" i="16"/>
  <c r="JO159" i="16"/>
  <c r="JJ159" i="16"/>
  <c r="JE159" i="16"/>
  <c r="IZ159" i="16"/>
  <c r="IU159" i="16"/>
  <c r="IP159" i="16"/>
  <c r="IK159" i="16"/>
  <c r="IF159" i="16"/>
  <c r="IA159" i="16"/>
  <c r="HV159" i="16"/>
  <c r="HQ159" i="16"/>
  <c r="HL159" i="16"/>
  <c r="HG159" i="16"/>
  <c r="HB159" i="16"/>
  <c r="GW159" i="16"/>
  <c r="GR159" i="16"/>
  <c r="GM159" i="16"/>
  <c r="N159" i="16"/>
  <c r="AP159" i="16" s="1"/>
  <c r="JZ159" i="16"/>
  <c r="JS159" i="16"/>
  <c r="JL159" i="16"/>
  <c r="JF159" i="16"/>
  <c r="IY159" i="16"/>
  <c r="IR159" i="16"/>
  <c r="IL159" i="16"/>
  <c r="IE159" i="16"/>
  <c r="HX159" i="16"/>
  <c r="HR159" i="16"/>
  <c r="HK159" i="16"/>
  <c r="HD159" i="16"/>
  <c r="GX159" i="16"/>
  <c r="GQ159" i="16"/>
  <c r="Q159" i="16"/>
  <c r="L159" i="16"/>
  <c r="JV159" i="16"/>
  <c r="JN159" i="16"/>
  <c r="JD159" i="16"/>
  <c r="IV159" i="16"/>
  <c r="IM159" i="16"/>
  <c r="IC159" i="16"/>
  <c r="HU159" i="16"/>
  <c r="HM159" i="16"/>
  <c r="HC159" i="16"/>
  <c r="GT159" i="16"/>
  <c r="GL159" i="16"/>
  <c r="JU159" i="16"/>
  <c r="JI159" i="16"/>
  <c r="IW159" i="16"/>
  <c r="IJ159" i="16"/>
  <c r="HZ159" i="16"/>
  <c r="HN159" i="16"/>
  <c r="HA159" i="16"/>
  <c r="GO159" i="16"/>
  <c r="M159" i="16"/>
  <c r="K160" i="16"/>
  <c r="JQ159" i="16"/>
  <c r="JG159" i="16"/>
  <c r="IT159" i="16"/>
  <c r="IH159" i="16"/>
  <c r="HW159" i="16"/>
  <c r="HI159" i="16"/>
  <c r="GY159" i="16"/>
  <c r="GN159" i="16"/>
  <c r="KA159" i="16"/>
  <c r="JP159" i="16"/>
  <c r="JB159" i="16"/>
  <c r="IQ159" i="16"/>
  <c r="IG159" i="16"/>
  <c r="HS159" i="16"/>
  <c r="HH159" i="16"/>
  <c r="GV159" i="16"/>
  <c r="P159" i="16"/>
  <c r="JA159" i="16"/>
  <c r="HF159" i="16"/>
  <c r="IO159" i="16"/>
  <c r="GS159" i="16"/>
  <c r="JX159" i="16"/>
  <c r="IB159" i="16"/>
  <c r="JK159" i="16"/>
  <c r="HP159" i="16"/>
  <c r="BF159" i="16" l="1"/>
  <c r="Z158" i="16"/>
  <c r="V158" i="16"/>
  <c r="W158" i="16"/>
  <c r="X158" i="16"/>
  <c r="Y158" i="16"/>
  <c r="I160" i="16" a="1"/>
  <c r="I160" i="16" s="1"/>
  <c r="U159" i="16"/>
  <c r="JX160" i="16"/>
  <c r="JS160" i="16"/>
  <c r="JN160" i="16"/>
  <c r="JI160" i="16"/>
  <c r="JD160" i="16"/>
  <c r="IY160" i="16"/>
  <c r="IT160" i="16"/>
  <c r="IO160" i="16"/>
  <c r="IJ160" i="16"/>
  <c r="IE160" i="16"/>
  <c r="HZ160" i="16"/>
  <c r="HU160" i="16"/>
  <c r="HP160" i="16"/>
  <c r="HK160" i="16"/>
  <c r="HF160" i="16"/>
  <c r="HA160" i="16"/>
  <c r="GV160" i="16"/>
  <c r="GQ160" i="16"/>
  <c r="GL160" i="16"/>
  <c r="Q160" i="16"/>
  <c r="M160" i="16"/>
  <c r="KA160" i="16"/>
  <c r="JU160" i="16"/>
  <c r="JO160" i="16"/>
  <c r="JG160" i="16"/>
  <c r="JA160" i="16"/>
  <c r="IU160" i="16"/>
  <c r="IM160" i="16"/>
  <c r="IG160" i="16"/>
  <c r="IA160" i="16"/>
  <c r="HS160" i="16"/>
  <c r="HM160" i="16"/>
  <c r="HG160" i="16"/>
  <c r="GY160" i="16"/>
  <c r="GS160" i="16"/>
  <c r="GM160" i="16"/>
  <c r="N160" i="16"/>
  <c r="AP160" i="16" s="1"/>
  <c r="JT160" i="16"/>
  <c r="JK160" i="16"/>
  <c r="JB160" i="16"/>
  <c r="IR160" i="16"/>
  <c r="IK160" i="16"/>
  <c r="IB160" i="16"/>
  <c r="HR160" i="16"/>
  <c r="HI160" i="16"/>
  <c r="HB160" i="16"/>
  <c r="GR160" i="16"/>
  <c r="P160" i="16"/>
  <c r="JV160" i="16"/>
  <c r="JJ160" i="16"/>
  <c r="IW160" i="16"/>
  <c r="IL160" i="16"/>
  <c r="HX160" i="16"/>
  <c r="HN160" i="16"/>
  <c r="HC160" i="16"/>
  <c r="GO160" i="16"/>
  <c r="L160" i="16"/>
  <c r="K161" i="16"/>
  <c r="JQ160" i="16"/>
  <c r="JF160" i="16"/>
  <c r="IV160" i="16"/>
  <c r="IH160" i="16"/>
  <c r="HW160" i="16"/>
  <c r="HL160" i="16"/>
  <c r="GX160" i="16"/>
  <c r="GN160" i="16"/>
  <c r="JZ160" i="16"/>
  <c r="JP160" i="16"/>
  <c r="JE160" i="16"/>
  <c r="IQ160" i="16"/>
  <c r="IF160" i="16"/>
  <c r="HV160" i="16"/>
  <c r="HH160" i="16"/>
  <c r="GW160" i="16"/>
  <c r="IZ160" i="16"/>
  <c r="HD160" i="16"/>
  <c r="IP160" i="16"/>
  <c r="GT160" i="16"/>
  <c r="JY160" i="16"/>
  <c r="IC160" i="16"/>
  <c r="JL160" i="16"/>
  <c r="HQ160" i="16"/>
  <c r="AR159" i="16"/>
  <c r="AC159" i="16"/>
  <c r="AS159" i="16"/>
  <c r="AB159" i="16"/>
  <c r="GE160" i="16"/>
  <c r="FZ160" i="16"/>
  <c r="FU160" i="16"/>
  <c r="FP160" i="16"/>
  <c r="FK160" i="16"/>
  <c r="FF160" i="16"/>
  <c r="FA160" i="16"/>
  <c r="EV160" i="16"/>
  <c r="EQ160" i="16"/>
  <c r="EL160" i="16"/>
  <c r="EG160" i="16"/>
  <c r="EB160" i="16"/>
  <c r="DW160" i="16"/>
  <c r="DR160" i="16"/>
  <c r="DM160" i="16"/>
  <c r="DH160" i="16"/>
  <c r="DC160" i="16"/>
  <c r="CX160" i="16"/>
  <c r="CS160" i="16"/>
  <c r="E160" i="16"/>
  <c r="AH160" i="16" s="1"/>
  <c r="AX160" i="16" s="1"/>
  <c r="GC160" i="16"/>
  <c r="FW160" i="16"/>
  <c r="FQ160" i="16"/>
  <c r="FI160" i="16"/>
  <c r="FC160" i="16"/>
  <c r="EW160" i="16"/>
  <c r="EO160" i="16"/>
  <c r="EI160" i="16"/>
  <c r="EC160" i="16"/>
  <c r="DU160" i="16"/>
  <c r="DO160" i="16"/>
  <c r="DI160" i="16"/>
  <c r="DA160" i="16"/>
  <c r="CU160" i="16"/>
  <c r="H160" i="16"/>
  <c r="C160" i="16"/>
  <c r="GG160" i="16"/>
  <c r="FX160" i="16"/>
  <c r="FN160" i="16"/>
  <c r="FG160" i="16"/>
  <c r="EX160" i="16"/>
  <c r="EN160" i="16"/>
  <c r="EE160" i="16"/>
  <c r="DX160" i="16"/>
  <c r="DN160" i="16"/>
  <c r="DE160" i="16"/>
  <c r="CV160" i="16"/>
  <c r="GB160" i="16"/>
  <c r="FR160" i="16"/>
  <c r="FD160" i="16"/>
  <c r="ES160" i="16"/>
  <c r="EH160" i="16"/>
  <c r="DT160" i="16"/>
  <c r="DJ160" i="16"/>
  <c r="CY160" i="16"/>
  <c r="D160" i="16"/>
  <c r="B161" i="16"/>
  <c r="GA160" i="16"/>
  <c r="FM160" i="16"/>
  <c r="FB160" i="16"/>
  <c r="ER160" i="16"/>
  <c r="ED160" i="16"/>
  <c r="DS160" i="16"/>
  <c r="DF160" i="16"/>
  <c r="CT160" i="16"/>
  <c r="GH160" i="16"/>
  <c r="FV160" i="16"/>
  <c r="FL160" i="16"/>
  <c r="EY160" i="16"/>
  <c r="EM160" i="16"/>
  <c r="DZ160" i="16"/>
  <c r="DP160" i="16"/>
  <c r="DD160" i="16"/>
  <c r="G160" i="16"/>
  <c r="FH160" i="16"/>
  <c r="DK160" i="16"/>
  <c r="ET160" i="16"/>
  <c r="CZ160" i="16"/>
  <c r="F160" i="16"/>
  <c r="GF160" i="16"/>
  <c r="EJ160" i="16"/>
  <c r="FS160" i="16"/>
  <c r="DY160" i="16"/>
  <c r="K162" i="16" l="1"/>
  <c r="KA161" i="16"/>
  <c r="JV161" i="16"/>
  <c r="JQ161" i="16"/>
  <c r="JL161" i="16"/>
  <c r="JG161" i="16"/>
  <c r="JB161" i="16"/>
  <c r="IW161" i="16"/>
  <c r="IR161" i="16"/>
  <c r="IM161" i="16"/>
  <c r="IH161" i="16"/>
  <c r="IC161" i="16"/>
  <c r="HX161" i="16"/>
  <c r="HS161" i="16"/>
  <c r="HN161" i="16"/>
  <c r="HI161" i="16"/>
  <c r="HD161" i="16"/>
  <c r="GY161" i="16"/>
  <c r="GT161" i="16"/>
  <c r="GO161" i="16"/>
  <c r="P161" i="16"/>
  <c r="L161" i="16"/>
  <c r="BF161" i="16" s="1"/>
  <c r="JX161" i="16"/>
  <c r="JP161" i="16"/>
  <c r="JJ161" i="16"/>
  <c r="JD161" i="16"/>
  <c r="IV161" i="16"/>
  <c r="IP161" i="16"/>
  <c r="IJ161" i="16"/>
  <c r="IB161" i="16"/>
  <c r="HV161" i="16"/>
  <c r="HP161" i="16"/>
  <c r="HH161" i="16"/>
  <c r="HB161" i="16"/>
  <c r="GV161" i="16"/>
  <c r="GN161" i="16"/>
  <c r="JU161" i="16"/>
  <c r="JN161" i="16"/>
  <c r="JE161" i="16"/>
  <c r="IU161" i="16"/>
  <c r="IL161" i="16"/>
  <c r="IE161" i="16"/>
  <c r="HU161" i="16"/>
  <c r="HL161" i="16"/>
  <c r="HC161" i="16"/>
  <c r="GS161" i="16"/>
  <c r="GL161" i="16"/>
  <c r="N161" i="16"/>
  <c r="AP161" i="16" s="1"/>
  <c r="JZ161" i="16"/>
  <c r="JO161" i="16"/>
  <c r="JA161" i="16"/>
  <c r="IQ161" i="16"/>
  <c r="IF161" i="16"/>
  <c r="HR161" i="16"/>
  <c r="HG161" i="16"/>
  <c r="GW161" i="16"/>
  <c r="M161" i="16"/>
  <c r="JY161" i="16"/>
  <c r="JK161" i="16"/>
  <c r="IZ161" i="16"/>
  <c r="IO161" i="16"/>
  <c r="IA161" i="16"/>
  <c r="HQ161" i="16"/>
  <c r="HF161" i="16"/>
  <c r="GR161" i="16"/>
  <c r="JT161" i="16"/>
  <c r="JI161" i="16"/>
  <c r="IY161" i="16"/>
  <c r="IK161" i="16"/>
  <c r="HZ161" i="16"/>
  <c r="HM161" i="16"/>
  <c r="HA161" i="16"/>
  <c r="GQ161" i="16"/>
  <c r="Q161" i="16"/>
  <c r="JS161" i="16"/>
  <c r="HW161" i="16"/>
  <c r="JF161" i="16"/>
  <c r="HK161" i="16"/>
  <c r="IT161" i="16"/>
  <c r="GX161" i="16"/>
  <c r="IG161" i="16"/>
  <c r="GM161" i="16"/>
  <c r="AC160" i="16"/>
  <c r="AB160" i="16"/>
  <c r="AR160" i="16"/>
  <c r="AS160" i="16"/>
  <c r="I161" i="16" a="1"/>
  <c r="I161" i="16" s="1"/>
  <c r="Y159" i="16"/>
  <c r="Z159" i="16"/>
  <c r="V159" i="16"/>
  <c r="X159" i="16"/>
  <c r="W159" i="16"/>
  <c r="BF160" i="16"/>
  <c r="GH161" i="16"/>
  <c r="GC161" i="16"/>
  <c r="FX161" i="16"/>
  <c r="FS161" i="16"/>
  <c r="FN161" i="16"/>
  <c r="FI161" i="16"/>
  <c r="FD161" i="16"/>
  <c r="EY161" i="16"/>
  <c r="ET161" i="16"/>
  <c r="EO161" i="16"/>
  <c r="EJ161" i="16"/>
  <c r="EE161" i="16"/>
  <c r="DZ161" i="16"/>
  <c r="DU161" i="16"/>
  <c r="DP161" i="16"/>
  <c r="DK161" i="16"/>
  <c r="DF161" i="16"/>
  <c r="DA161" i="16"/>
  <c r="CV161" i="16"/>
  <c r="H161" i="16"/>
  <c r="D161" i="16"/>
  <c r="GF161" i="16"/>
  <c r="FZ161" i="16"/>
  <c r="FR161" i="16"/>
  <c r="FL161" i="16"/>
  <c r="FF161" i="16"/>
  <c r="EX161" i="16"/>
  <c r="ER161" i="16"/>
  <c r="EL161" i="16"/>
  <c r="ED161" i="16"/>
  <c r="DX161" i="16"/>
  <c r="DR161" i="16"/>
  <c r="DJ161" i="16"/>
  <c r="DD161" i="16"/>
  <c r="CX161" i="16"/>
  <c r="E161" i="16"/>
  <c r="AH161" i="16" s="1"/>
  <c r="AX161" i="16" s="1"/>
  <c r="B162" i="16"/>
  <c r="GA161" i="16"/>
  <c r="FQ161" i="16"/>
  <c r="FH161" i="16"/>
  <c r="FA161" i="16"/>
  <c r="EQ161" i="16"/>
  <c r="EH161" i="16"/>
  <c r="DY161" i="16"/>
  <c r="DO161" i="16"/>
  <c r="DH161" i="16"/>
  <c r="CY161" i="16"/>
  <c r="G161" i="16"/>
  <c r="GG161" i="16"/>
  <c r="FV161" i="16"/>
  <c r="FK161" i="16"/>
  <c r="EW161" i="16"/>
  <c r="EM161" i="16"/>
  <c r="EB161" i="16"/>
  <c r="DN161" i="16"/>
  <c r="DC161" i="16"/>
  <c r="CS161" i="16"/>
  <c r="C161" i="16"/>
  <c r="GE161" i="16"/>
  <c r="FU161" i="16"/>
  <c r="FG161" i="16"/>
  <c r="EV161" i="16"/>
  <c r="EI161" i="16"/>
  <c r="DW161" i="16"/>
  <c r="DM161" i="16"/>
  <c r="CZ161" i="16"/>
  <c r="GB161" i="16"/>
  <c r="FP161" i="16"/>
  <c r="FC161" i="16"/>
  <c r="ES161" i="16"/>
  <c r="EG161" i="16"/>
  <c r="DT161" i="16"/>
  <c r="DI161" i="16"/>
  <c r="CU161" i="16"/>
  <c r="FW161" i="16"/>
  <c r="EC161" i="16"/>
  <c r="FM161" i="16"/>
  <c r="DS161" i="16"/>
  <c r="F161" i="16"/>
  <c r="FB161" i="16"/>
  <c r="DE161" i="16"/>
  <c r="EN161" i="16"/>
  <c r="CT161" i="16"/>
  <c r="U160" i="16"/>
  <c r="U161" i="16" l="1"/>
  <c r="JZ162" i="16"/>
  <c r="JU162" i="16"/>
  <c r="JP162" i="16"/>
  <c r="JK162" i="16"/>
  <c r="JF162" i="16"/>
  <c r="JA162" i="16"/>
  <c r="IV162" i="16"/>
  <c r="IQ162" i="16"/>
  <c r="IL162" i="16"/>
  <c r="IG162" i="16"/>
  <c r="IB162" i="16"/>
  <c r="HW162" i="16"/>
  <c r="HR162" i="16"/>
  <c r="HM162" i="16"/>
  <c r="HH162" i="16"/>
  <c r="HC162" i="16"/>
  <c r="GX162" i="16"/>
  <c r="GS162" i="16"/>
  <c r="GN162" i="16"/>
  <c r="JX162" i="16"/>
  <c r="JQ162" i="16"/>
  <c r="JJ162" i="16"/>
  <c r="JD162" i="16"/>
  <c r="IW162" i="16"/>
  <c r="IP162" i="16"/>
  <c r="IJ162" i="16"/>
  <c r="IC162" i="16"/>
  <c r="HV162" i="16"/>
  <c r="HP162" i="16"/>
  <c r="HI162" i="16"/>
  <c r="HB162" i="16"/>
  <c r="GV162" i="16"/>
  <c r="GO162" i="16"/>
  <c r="P162" i="16"/>
  <c r="L162" i="16"/>
  <c r="K163" i="16"/>
  <c r="JY162" i="16"/>
  <c r="JO162" i="16"/>
  <c r="JG162" i="16"/>
  <c r="IY162" i="16"/>
  <c r="IO162" i="16"/>
  <c r="IF162" i="16"/>
  <c r="HX162" i="16"/>
  <c r="HN162" i="16"/>
  <c r="HF162" i="16"/>
  <c r="GW162" i="16"/>
  <c r="GM162" i="16"/>
  <c r="KA162" i="16"/>
  <c r="JN162" i="16"/>
  <c r="JB162" i="16"/>
  <c r="IR162" i="16"/>
  <c r="IE162" i="16"/>
  <c r="HS162" i="16"/>
  <c r="HG162" i="16"/>
  <c r="GT162" i="16"/>
  <c r="JV162" i="16"/>
  <c r="JL162" i="16"/>
  <c r="IZ162" i="16"/>
  <c r="IM162" i="16"/>
  <c r="IA162" i="16"/>
  <c r="HQ162" i="16"/>
  <c r="HD162" i="16"/>
  <c r="GR162" i="16"/>
  <c r="N162" i="16"/>
  <c r="AP162" i="16" s="1"/>
  <c r="JT162" i="16"/>
  <c r="JI162" i="16"/>
  <c r="IU162" i="16"/>
  <c r="IK162" i="16"/>
  <c r="HZ162" i="16"/>
  <c r="HL162" i="16"/>
  <c r="HA162" i="16"/>
  <c r="GQ162" i="16"/>
  <c r="M162" i="16"/>
  <c r="JS162" i="16"/>
  <c r="HU162" i="16"/>
  <c r="Q162" i="16"/>
  <c r="JE162" i="16"/>
  <c r="HK162" i="16"/>
  <c r="IT162" i="16"/>
  <c r="GY162" i="16"/>
  <c r="IH162" i="16"/>
  <c r="GL162" i="16"/>
  <c r="BF162" i="16"/>
  <c r="I162" i="16" a="1"/>
  <c r="I162" i="16" s="1"/>
  <c r="X160" i="16"/>
  <c r="V160" i="16"/>
  <c r="Z160" i="16"/>
  <c r="Y160" i="16"/>
  <c r="W160" i="16"/>
  <c r="B163" i="16"/>
  <c r="GG162" i="16"/>
  <c r="GB162" i="16"/>
  <c r="FW162" i="16"/>
  <c r="FR162" i="16"/>
  <c r="FM162" i="16"/>
  <c r="FH162" i="16"/>
  <c r="FC162" i="16"/>
  <c r="EX162" i="16"/>
  <c r="ES162" i="16"/>
  <c r="EN162" i="16"/>
  <c r="EI162" i="16"/>
  <c r="ED162" i="16"/>
  <c r="DY162" i="16"/>
  <c r="DT162" i="16"/>
  <c r="DO162" i="16"/>
  <c r="DJ162" i="16"/>
  <c r="DE162" i="16"/>
  <c r="CZ162" i="16"/>
  <c r="CU162" i="16"/>
  <c r="G162" i="16"/>
  <c r="C162" i="16"/>
  <c r="GF162" i="16"/>
  <c r="FZ162" i="16"/>
  <c r="FS162" i="16"/>
  <c r="FL162" i="16"/>
  <c r="FF162" i="16"/>
  <c r="EY162" i="16"/>
  <c r="ER162" i="16"/>
  <c r="EL162" i="16"/>
  <c r="EE162" i="16"/>
  <c r="DX162" i="16"/>
  <c r="DR162" i="16"/>
  <c r="DK162" i="16"/>
  <c r="DD162" i="16"/>
  <c r="CX162" i="16"/>
  <c r="F162" i="16"/>
  <c r="GC162" i="16"/>
  <c r="FU162" i="16"/>
  <c r="FK162" i="16"/>
  <c r="FB162" i="16"/>
  <c r="ET162" i="16"/>
  <c r="EJ162" i="16"/>
  <c r="EB162" i="16"/>
  <c r="DS162" i="16"/>
  <c r="DI162" i="16"/>
  <c r="DA162" i="16"/>
  <c r="CS162" i="16"/>
  <c r="GH162" i="16"/>
  <c r="FV162" i="16"/>
  <c r="FI162" i="16"/>
  <c r="EW162" i="16"/>
  <c r="EM162" i="16"/>
  <c r="DZ162" i="16"/>
  <c r="DN162" i="16"/>
  <c r="DC162" i="16"/>
  <c r="H162" i="16"/>
  <c r="GE162" i="16"/>
  <c r="FQ162" i="16"/>
  <c r="FG162" i="16"/>
  <c r="EV162" i="16"/>
  <c r="EH162" i="16"/>
  <c r="DW162" i="16"/>
  <c r="DM162" i="16"/>
  <c r="CY162" i="16"/>
  <c r="E162" i="16"/>
  <c r="AH162" i="16" s="1"/>
  <c r="AX162" i="16" s="1"/>
  <c r="GA162" i="16"/>
  <c r="FP162" i="16"/>
  <c r="FD162" i="16"/>
  <c r="EQ162" i="16"/>
  <c r="EG162" i="16"/>
  <c r="DU162" i="16"/>
  <c r="DH162" i="16"/>
  <c r="CV162" i="16"/>
  <c r="D162" i="16"/>
  <c r="FX162" i="16"/>
  <c r="EC162" i="16"/>
  <c r="FN162" i="16"/>
  <c r="DP162" i="16"/>
  <c r="FA162" i="16"/>
  <c r="DF162" i="16"/>
  <c r="EO162" i="16"/>
  <c r="CT162" i="16"/>
  <c r="AB161" i="16"/>
  <c r="AS161" i="16"/>
  <c r="AC161" i="16"/>
  <c r="AR161" i="16"/>
  <c r="GF163" i="16" l="1"/>
  <c r="GA163" i="16"/>
  <c r="FV163" i="16"/>
  <c r="FQ163" i="16"/>
  <c r="FL163" i="16"/>
  <c r="FG163" i="16"/>
  <c r="FB163" i="16"/>
  <c r="EW163" i="16"/>
  <c r="ER163" i="16"/>
  <c r="EM163" i="16"/>
  <c r="EH163" i="16"/>
  <c r="EC163" i="16"/>
  <c r="DX163" i="16"/>
  <c r="DS163" i="16"/>
  <c r="DN163" i="16"/>
  <c r="DI163" i="16"/>
  <c r="DD163" i="16"/>
  <c r="CY163" i="16"/>
  <c r="CT163" i="16"/>
  <c r="F163" i="16"/>
  <c r="GH163" i="16"/>
  <c r="GB163" i="16"/>
  <c r="FU163" i="16"/>
  <c r="FN163" i="16"/>
  <c r="FH163" i="16"/>
  <c r="FA163" i="16"/>
  <c r="ET163" i="16"/>
  <c r="EN163" i="16"/>
  <c r="EG163" i="16"/>
  <c r="DZ163" i="16"/>
  <c r="DT163" i="16"/>
  <c r="DM163" i="16"/>
  <c r="DF163" i="16"/>
  <c r="CZ163" i="16"/>
  <c r="CS163" i="16"/>
  <c r="G163" i="16"/>
  <c r="B164" i="16"/>
  <c r="FZ163" i="16"/>
  <c r="FR163" i="16"/>
  <c r="FI163" i="16"/>
  <c r="EY163" i="16"/>
  <c r="EQ163" i="16"/>
  <c r="EI163" i="16"/>
  <c r="DY163" i="16"/>
  <c r="DP163" i="16"/>
  <c r="DH163" i="16"/>
  <c r="CX163" i="16"/>
  <c r="D163" i="16"/>
  <c r="GG163" i="16"/>
  <c r="FW163" i="16"/>
  <c r="FK163" i="16"/>
  <c r="EX163" i="16"/>
  <c r="EL163" i="16"/>
  <c r="EB163" i="16"/>
  <c r="DO163" i="16"/>
  <c r="DC163" i="16"/>
  <c r="H163" i="16"/>
  <c r="GE163" i="16"/>
  <c r="FS163" i="16"/>
  <c r="FF163" i="16"/>
  <c r="EV163" i="16"/>
  <c r="EJ163" i="16"/>
  <c r="DW163" i="16"/>
  <c r="DK163" i="16"/>
  <c r="DA163" i="16"/>
  <c r="E163" i="16"/>
  <c r="AH163" i="16" s="1"/>
  <c r="AX163" i="16" s="1"/>
  <c r="GC163" i="16"/>
  <c r="FP163" i="16"/>
  <c r="FD163" i="16"/>
  <c r="ES163" i="16"/>
  <c r="EE163" i="16"/>
  <c r="DU163" i="16"/>
  <c r="DJ163" i="16"/>
  <c r="CV163" i="16"/>
  <c r="C163" i="16"/>
  <c r="FC163" i="16"/>
  <c r="DE163" i="16"/>
  <c r="EO163" i="16"/>
  <c r="CU163" i="16"/>
  <c r="FX163" i="16"/>
  <c r="ED163" i="16"/>
  <c r="FM163" i="16"/>
  <c r="DR163" i="16"/>
  <c r="AS162" i="16"/>
  <c r="AB162" i="16"/>
  <c r="AR162" i="16"/>
  <c r="AC162" i="16"/>
  <c r="U162" i="16"/>
  <c r="I163" i="16" a="1"/>
  <c r="I163" i="16" s="1"/>
  <c r="W161" i="16"/>
  <c r="X161" i="16"/>
  <c r="V161" i="16"/>
  <c r="Y161" i="16"/>
  <c r="Z161" i="16"/>
  <c r="JY163" i="16"/>
  <c r="JT163" i="16"/>
  <c r="JO163" i="16"/>
  <c r="JJ163" i="16"/>
  <c r="JE163" i="16"/>
  <c r="IZ163" i="16"/>
  <c r="IU163" i="16"/>
  <c r="IP163" i="16"/>
  <c r="IK163" i="16"/>
  <c r="IF163" i="16"/>
  <c r="IA163" i="16"/>
  <c r="HV163" i="16"/>
  <c r="HQ163" i="16"/>
  <c r="HL163" i="16"/>
  <c r="HG163" i="16"/>
  <c r="HB163" i="16"/>
  <c r="GW163" i="16"/>
  <c r="GR163" i="16"/>
  <c r="GM163" i="16"/>
  <c r="N163" i="16"/>
  <c r="AP163" i="16" s="1"/>
  <c r="JZ163" i="16"/>
  <c r="JS163" i="16"/>
  <c r="JL163" i="16"/>
  <c r="JF163" i="16"/>
  <c r="IY163" i="16"/>
  <c r="IR163" i="16"/>
  <c r="IL163" i="16"/>
  <c r="IE163" i="16"/>
  <c r="HX163" i="16"/>
  <c r="HR163" i="16"/>
  <c r="HK163" i="16"/>
  <c r="HD163" i="16"/>
  <c r="GX163" i="16"/>
  <c r="GQ163" i="16"/>
  <c r="Q163" i="16"/>
  <c r="L163" i="16"/>
  <c r="JV163" i="16"/>
  <c r="JN163" i="16"/>
  <c r="JD163" i="16"/>
  <c r="IV163" i="16"/>
  <c r="IM163" i="16"/>
  <c r="IC163" i="16"/>
  <c r="HU163" i="16"/>
  <c r="HM163" i="16"/>
  <c r="HC163" i="16"/>
  <c r="GT163" i="16"/>
  <c r="GL163" i="16"/>
  <c r="KA163" i="16"/>
  <c r="JP163" i="16"/>
  <c r="JB163" i="16"/>
  <c r="IQ163" i="16"/>
  <c r="IG163" i="16"/>
  <c r="HS163" i="16"/>
  <c r="HH163" i="16"/>
  <c r="GV163" i="16"/>
  <c r="P163" i="16"/>
  <c r="JX163" i="16"/>
  <c r="JK163" i="16"/>
  <c r="JA163" i="16"/>
  <c r="IO163" i="16"/>
  <c r="IB163" i="16"/>
  <c r="HP163" i="16"/>
  <c r="HF163" i="16"/>
  <c r="GS163" i="16"/>
  <c r="JU163" i="16"/>
  <c r="JI163" i="16"/>
  <c r="IW163" i="16"/>
  <c r="IJ163" i="16"/>
  <c r="HZ163" i="16"/>
  <c r="HN163" i="16"/>
  <c r="HA163" i="16"/>
  <c r="GO163" i="16"/>
  <c r="M163" i="16"/>
  <c r="K164" i="16"/>
  <c r="IT163" i="16"/>
  <c r="GY163" i="16"/>
  <c r="IH163" i="16"/>
  <c r="GN163" i="16"/>
  <c r="JQ163" i="16"/>
  <c r="HW163" i="16"/>
  <c r="JG163" i="16"/>
  <c r="HI163" i="16"/>
  <c r="U163" i="16" l="1"/>
  <c r="JX164" i="16"/>
  <c r="JS164" i="16"/>
  <c r="JN164" i="16"/>
  <c r="JI164" i="16"/>
  <c r="JD164" i="16"/>
  <c r="IY164" i="16"/>
  <c r="IT164" i="16"/>
  <c r="IO164" i="16"/>
  <c r="IJ164" i="16"/>
  <c r="IE164" i="16"/>
  <c r="HZ164" i="16"/>
  <c r="HU164" i="16"/>
  <c r="HP164" i="16"/>
  <c r="HK164" i="16"/>
  <c r="HF164" i="16"/>
  <c r="HA164" i="16"/>
  <c r="GV164" i="16"/>
  <c r="GQ164" i="16"/>
  <c r="GL164" i="16"/>
  <c r="Q164" i="16"/>
  <c r="M164" i="16"/>
  <c r="KA164" i="16"/>
  <c r="JU164" i="16"/>
  <c r="JO164" i="16"/>
  <c r="JG164" i="16"/>
  <c r="JA164" i="16"/>
  <c r="IU164" i="16"/>
  <c r="IM164" i="16"/>
  <c r="IG164" i="16"/>
  <c r="IA164" i="16"/>
  <c r="HS164" i="16"/>
  <c r="HM164" i="16"/>
  <c r="HG164" i="16"/>
  <c r="GY164" i="16"/>
  <c r="GS164" i="16"/>
  <c r="GM164" i="16"/>
  <c r="N164" i="16"/>
  <c r="AP164" i="16" s="1"/>
  <c r="JT164" i="16"/>
  <c r="JK164" i="16"/>
  <c r="JB164" i="16"/>
  <c r="IR164" i="16"/>
  <c r="IK164" i="16"/>
  <c r="IB164" i="16"/>
  <c r="HR164" i="16"/>
  <c r="HI164" i="16"/>
  <c r="HB164" i="16"/>
  <c r="GR164" i="16"/>
  <c r="P164" i="16"/>
  <c r="JV164" i="16"/>
  <c r="JL164" i="16"/>
  <c r="JE164" i="16"/>
  <c r="K165" i="16"/>
  <c r="JY164" i="16"/>
  <c r="JF164" i="16"/>
  <c r="IQ164" i="16"/>
  <c r="IF164" i="16"/>
  <c r="HV164" i="16"/>
  <c r="HH164" i="16"/>
  <c r="GW164" i="16"/>
  <c r="JQ164" i="16"/>
  <c r="IZ164" i="16"/>
  <c r="IP164" i="16"/>
  <c r="IC164" i="16"/>
  <c r="HQ164" i="16"/>
  <c r="HD164" i="16"/>
  <c r="GT164" i="16"/>
  <c r="JP164" i="16"/>
  <c r="IW164" i="16"/>
  <c r="IL164" i="16"/>
  <c r="HX164" i="16"/>
  <c r="HN164" i="16"/>
  <c r="HC164" i="16"/>
  <c r="GO164" i="16"/>
  <c r="L164" i="16"/>
  <c r="JJ164" i="16"/>
  <c r="HL164" i="16"/>
  <c r="IV164" i="16"/>
  <c r="GX164" i="16"/>
  <c r="IH164" i="16"/>
  <c r="GN164" i="16"/>
  <c r="JZ164" i="16"/>
  <c r="HW164" i="16"/>
  <c r="I164" i="16" a="1"/>
  <c r="I164" i="16" s="1"/>
  <c r="AR163" i="16"/>
  <c r="AC163" i="16"/>
  <c r="AB163" i="16"/>
  <c r="AS163" i="16"/>
  <c r="I165" i="16" a="1"/>
  <c r="I165" i="16" s="1"/>
  <c r="BF163" i="16"/>
  <c r="Z162" i="16"/>
  <c r="V162" i="16"/>
  <c r="X162" i="16"/>
  <c r="Y162" i="16"/>
  <c r="W162" i="16"/>
  <c r="GE164" i="16"/>
  <c r="FZ164" i="16"/>
  <c r="FU164" i="16"/>
  <c r="FP164" i="16"/>
  <c r="FK164" i="16"/>
  <c r="FF164" i="16"/>
  <c r="FA164" i="16"/>
  <c r="EV164" i="16"/>
  <c r="EQ164" i="16"/>
  <c r="EL164" i="16"/>
  <c r="EG164" i="16"/>
  <c r="EB164" i="16"/>
  <c r="DW164" i="16"/>
  <c r="DR164" i="16"/>
  <c r="DM164" i="16"/>
  <c r="DH164" i="16"/>
  <c r="DC164" i="16"/>
  <c r="CX164" i="16"/>
  <c r="CS164" i="16"/>
  <c r="E164" i="16"/>
  <c r="AH164" i="16" s="1"/>
  <c r="AX164" i="16" s="1"/>
  <c r="GC164" i="16"/>
  <c r="FW164" i="16"/>
  <c r="FQ164" i="16"/>
  <c r="FI164" i="16"/>
  <c r="FC164" i="16"/>
  <c r="EW164" i="16"/>
  <c r="EO164" i="16"/>
  <c r="EI164" i="16"/>
  <c r="EC164" i="16"/>
  <c r="DU164" i="16"/>
  <c r="DO164" i="16"/>
  <c r="DI164" i="16"/>
  <c r="DA164" i="16"/>
  <c r="CU164" i="16"/>
  <c r="H164" i="16"/>
  <c r="C164" i="16"/>
  <c r="GG164" i="16"/>
  <c r="FX164" i="16"/>
  <c r="FN164" i="16"/>
  <c r="FG164" i="16"/>
  <c r="EX164" i="16"/>
  <c r="EN164" i="16"/>
  <c r="EE164" i="16"/>
  <c r="DX164" i="16"/>
  <c r="DN164" i="16"/>
  <c r="DE164" i="16"/>
  <c r="CV164" i="16"/>
  <c r="B165" i="16"/>
  <c r="GH164" i="16"/>
  <c r="FV164" i="16"/>
  <c r="FL164" i="16"/>
  <c r="EY164" i="16"/>
  <c r="EM164" i="16"/>
  <c r="DZ164" i="16"/>
  <c r="DP164" i="16"/>
  <c r="DD164" i="16"/>
  <c r="G164" i="16"/>
  <c r="GF164" i="16"/>
  <c r="FS164" i="16"/>
  <c r="FH164" i="16"/>
  <c r="ET164" i="16"/>
  <c r="EJ164" i="16"/>
  <c r="DY164" i="16"/>
  <c r="DK164" i="16"/>
  <c r="CZ164" i="16"/>
  <c r="F164" i="16"/>
  <c r="GB164" i="16"/>
  <c r="FR164" i="16"/>
  <c r="FD164" i="16"/>
  <c r="ES164" i="16"/>
  <c r="EH164" i="16"/>
  <c r="DT164" i="16"/>
  <c r="DJ164" i="16"/>
  <c r="CY164" i="16"/>
  <c r="D164" i="16"/>
  <c r="FM164" i="16"/>
  <c r="DS164" i="16"/>
  <c r="FB164" i="16"/>
  <c r="DF164" i="16"/>
  <c r="ER164" i="16"/>
  <c r="CT164" i="16"/>
  <c r="GA164" i="16"/>
  <c r="ED164" i="16"/>
  <c r="GH165" i="16" l="1"/>
  <c r="GC165" i="16"/>
  <c r="FX165" i="16"/>
  <c r="FS165" i="16"/>
  <c r="FN165" i="16"/>
  <c r="FI165" i="16"/>
  <c r="FD165" i="16"/>
  <c r="EY165" i="16"/>
  <c r="ET165" i="16"/>
  <c r="EO165" i="16"/>
  <c r="EJ165" i="16"/>
  <c r="EE165" i="16"/>
  <c r="DZ165" i="16"/>
  <c r="DU165" i="16"/>
  <c r="DP165" i="16"/>
  <c r="DK165" i="16"/>
  <c r="DF165" i="16"/>
  <c r="DA165" i="16"/>
  <c r="CV165" i="16"/>
  <c r="H165" i="16"/>
  <c r="D165" i="16"/>
  <c r="GF165" i="16"/>
  <c r="FZ165" i="16"/>
  <c r="FR165" i="16"/>
  <c r="FL165" i="16"/>
  <c r="FF165" i="16"/>
  <c r="EX165" i="16"/>
  <c r="ER165" i="16"/>
  <c r="EL165" i="16"/>
  <c r="ED165" i="16"/>
  <c r="DX165" i="16"/>
  <c r="DR165" i="16"/>
  <c r="DJ165" i="16"/>
  <c r="DD165" i="16"/>
  <c r="CX165" i="16"/>
  <c r="E165" i="16"/>
  <c r="AH165" i="16" s="1"/>
  <c r="AX165" i="16" s="1"/>
  <c r="B166" i="16"/>
  <c r="GA165" i="16"/>
  <c r="FQ165" i="16"/>
  <c r="FH165" i="16"/>
  <c r="FA165" i="16"/>
  <c r="EQ165" i="16"/>
  <c r="EH165" i="16"/>
  <c r="DY165" i="16"/>
  <c r="DO165" i="16"/>
  <c r="DH165" i="16"/>
  <c r="CY165" i="16"/>
  <c r="G165" i="16"/>
  <c r="GB165" i="16"/>
  <c r="FU165" i="16"/>
  <c r="FK165" i="16"/>
  <c r="FB165" i="16"/>
  <c r="ES165" i="16"/>
  <c r="EI165" i="16"/>
  <c r="EB165" i="16"/>
  <c r="DS165" i="16"/>
  <c r="DI165" i="16"/>
  <c r="CZ165" i="16"/>
  <c r="CS165" i="16"/>
  <c r="FV165" i="16"/>
  <c r="FC165" i="16"/>
  <c r="EM165" i="16"/>
  <c r="DT165" i="16"/>
  <c r="DC165" i="16"/>
  <c r="GG165" i="16"/>
  <c r="FP165" i="16"/>
  <c r="EW165" i="16"/>
  <c r="EG165" i="16"/>
  <c r="DN165" i="16"/>
  <c r="CU165" i="16"/>
  <c r="F165" i="16"/>
  <c r="GE165" i="16"/>
  <c r="FM165" i="16"/>
  <c r="EV165" i="16"/>
  <c r="EC165" i="16"/>
  <c r="DM165" i="16"/>
  <c r="CT165" i="16"/>
  <c r="C165" i="16"/>
  <c r="DW165" i="16"/>
  <c r="FW165" i="16"/>
  <c r="DE165" i="16"/>
  <c r="FG165" i="16"/>
  <c r="EN165" i="16"/>
  <c r="K166" i="16"/>
  <c r="KA165" i="16"/>
  <c r="JV165" i="16"/>
  <c r="JQ165" i="16"/>
  <c r="JL165" i="16"/>
  <c r="JG165" i="16"/>
  <c r="JB165" i="16"/>
  <c r="IW165" i="16"/>
  <c r="IR165" i="16"/>
  <c r="IM165" i="16"/>
  <c r="IH165" i="16"/>
  <c r="IC165" i="16"/>
  <c r="HX165" i="16"/>
  <c r="HS165" i="16"/>
  <c r="HN165" i="16"/>
  <c r="HI165" i="16"/>
  <c r="HD165" i="16"/>
  <c r="GY165" i="16"/>
  <c r="GT165" i="16"/>
  <c r="GO165" i="16"/>
  <c r="P165" i="16"/>
  <c r="L165" i="16"/>
  <c r="BF165" i="16" s="1"/>
  <c r="JX165" i="16"/>
  <c r="JP165" i="16"/>
  <c r="JJ165" i="16"/>
  <c r="JD165" i="16"/>
  <c r="IV165" i="16"/>
  <c r="IP165" i="16"/>
  <c r="IJ165" i="16"/>
  <c r="IB165" i="16"/>
  <c r="HV165" i="16"/>
  <c r="HP165" i="16"/>
  <c r="HH165" i="16"/>
  <c r="HB165" i="16"/>
  <c r="GV165" i="16"/>
  <c r="GN165" i="16"/>
  <c r="JU165" i="16"/>
  <c r="JN165" i="16"/>
  <c r="JE165" i="16"/>
  <c r="IU165" i="16"/>
  <c r="IL165" i="16"/>
  <c r="IE165" i="16"/>
  <c r="HU165" i="16"/>
  <c r="HL165" i="16"/>
  <c r="HC165" i="16"/>
  <c r="GS165" i="16"/>
  <c r="GL165" i="16"/>
  <c r="N165" i="16"/>
  <c r="AP165" i="16" s="1"/>
  <c r="JY165" i="16"/>
  <c r="JO165" i="16"/>
  <c r="JF165" i="16"/>
  <c r="IY165" i="16"/>
  <c r="IO165" i="16"/>
  <c r="IF165" i="16"/>
  <c r="HW165" i="16"/>
  <c r="HM165" i="16"/>
  <c r="HF165" i="16"/>
  <c r="GW165" i="16"/>
  <c r="GM165" i="16"/>
  <c r="JZ165" i="16"/>
  <c r="JI165" i="16"/>
  <c r="IQ165" i="16"/>
  <c r="HZ165" i="16"/>
  <c r="HG165" i="16"/>
  <c r="GQ165" i="16"/>
  <c r="JT165" i="16"/>
  <c r="JA165" i="16"/>
  <c r="IK165" i="16"/>
  <c r="HR165" i="16"/>
  <c r="HA165" i="16"/>
  <c r="Q165" i="16"/>
  <c r="JS165" i="16"/>
  <c r="IZ165" i="16"/>
  <c r="IG165" i="16"/>
  <c r="HQ165" i="16"/>
  <c r="GX165" i="16"/>
  <c r="JK165" i="16"/>
  <c r="GR165" i="16"/>
  <c r="IT165" i="16"/>
  <c r="IA165" i="16"/>
  <c r="M165" i="16"/>
  <c r="HK165" i="16"/>
  <c r="BF164" i="16"/>
  <c r="Y163" i="16"/>
  <c r="Z163" i="16"/>
  <c r="V163" i="16"/>
  <c r="X163" i="16"/>
  <c r="W163" i="16"/>
  <c r="U164" i="16"/>
  <c r="AC164" i="16"/>
  <c r="AB164" i="16"/>
  <c r="AR164" i="16"/>
  <c r="AS164" i="16"/>
  <c r="X164" i="16" l="1"/>
  <c r="V164" i="16"/>
  <c r="Z164" i="16"/>
  <c r="Y164" i="16"/>
  <c r="W164" i="16"/>
  <c r="I166" i="16" a="1"/>
  <c r="I166" i="16" s="1"/>
  <c r="JZ166" i="16"/>
  <c r="JU166" i="16"/>
  <c r="JP166" i="16"/>
  <c r="JK166" i="16"/>
  <c r="JF166" i="16"/>
  <c r="JA166" i="16"/>
  <c r="IV166" i="16"/>
  <c r="IQ166" i="16"/>
  <c r="IL166" i="16"/>
  <c r="IG166" i="16"/>
  <c r="IB166" i="16"/>
  <c r="HW166" i="16"/>
  <c r="HR166" i="16"/>
  <c r="HM166" i="16"/>
  <c r="HH166" i="16"/>
  <c r="HC166" i="16"/>
  <c r="GX166" i="16"/>
  <c r="GS166" i="16"/>
  <c r="GN166" i="16"/>
  <c r="JX166" i="16"/>
  <c r="JQ166" i="16"/>
  <c r="JJ166" i="16"/>
  <c r="JD166" i="16"/>
  <c r="IW166" i="16"/>
  <c r="IP166" i="16"/>
  <c r="IJ166" i="16"/>
  <c r="IC166" i="16"/>
  <c r="HV166" i="16"/>
  <c r="HP166" i="16"/>
  <c r="HI166" i="16"/>
  <c r="HB166" i="16"/>
  <c r="GV166" i="16"/>
  <c r="GO166" i="16"/>
  <c r="P166" i="16"/>
  <c r="L166" i="16"/>
  <c r="K167" i="16"/>
  <c r="JY166" i="16"/>
  <c r="JO166" i="16"/>
  <c r="JG166" i="16"/>
  <c r="IY166" i="16"/>
  <c r="IO166" i="16"/>
  <c r="IF166" i="16"/>
  <c r="HX166" i="16"/>
  <c r="HN166" i="16"/>
  <c r="HF166" i="16"/>
  <c r="GW166" i="16"/>
  <c r="GM166" i="16"/>
  <c r="KA166" i="16"/>
  <c r="JS166" i="16"/>
  <c r="JI166" i="16"/>
  <c r="IZ166" i="16"/>
  <c r="IR166" i="16"/>
  <c r="IH166" i="16"/>
  <c r="HZ166" i="16"/>
  <c r="HQ166" i="16"/>
  <c r="HG166" i="16"/>
  <c r="GY166" i="16"/>
  <c r="GQ166" i="16"/>
  <c r="Q166" i="16"/>
  <c r="JL166" i="16"/>
  <c r="IT166" i="16"/>
  <c r="IA166" i="16"/>
  <c r="HK166" i="16"/>
  <c r="GR166" i="16"/>
  <c r="M166" i="16"/>
  <c r="JV166" i="16"/>
  <c r="JE166" i="16"/>
  <c r="IM166" i="16"/>
  <c r="HU166" i="16"/>
  <c r="HD166" i="16"/>
  <c r="GL166" i="16"/>
  <c r="JT166" i="16"/>
  <c r="JB166" i="16"/>
  <c r="IK166" i="16"/>
  <c r="HS166" i="16"/>
  <c r="HA166" i="16"/>
  <c r="JN166" i="16"/>
  <c r="GT166" i="16"/>
  <c r="IU166" i="16"/>
  <c r="IE166" i="16"/>
  <c r="N166" i="16"/>
  <c r="AP166" i="16" s="1"/>
  <c r="HL166" i="16"/>
  <c r="B167" i="16"/>
  <c r="GG166" i="16"/>
  <c r="GB166" i="16"/>
  <c r="FW166" i="16"/>
  <c r="FR166" i="16"/>
  <c r="FM166" i="16"/>
  <c r="FH166" i="16"/>
  <c r="FC166" i="16"/>
  <c r="EX166" i="16"/>
  <c r="ES166" i="16"/>
  <c r="EN166" i="16"/>
  <c r="EI166" i="16"/>
  <c r="ED166" i="16"/>
  <c r="DY166" i="16"/>
  <c r="DT166" i="16"/>
  <c r="DO166" i="16"/>
  <c r="DJ166" i="16"/>
  <c r="DE166" i="16"/>
  <c r="CZ166" i="16"/>
  <c r="CU166" i="16"/>
  <c r="G166" i="16"/>
  <c r="C166" i="16"/>
  <c r="GF166" i="16"/>
  <c r="FZ166" i="16"/>
  <c r="FS166" i="16"/>
  <c r="FL166" i="16"/>
  <c r="FF166" i="16"/>
  <c r="EY166" i="16"/>
  <c r="ER166" i="16"/>
  <c r="EL166" i="16"/>
  <c r="EE166" i="16"/>
  <c r="DX166" i="16"/>
  <c r="DR166" i="16"/>
  <c r="DK166" i="16"/>
  <c r="DD166" i="16"/>
  <c r="CX166" i="16"/>
  <c r="F166" i="16"/>
  <c r="GC166" i="16"/>
  <c r="FU166" i="16"/>
  <c r="FK166" i="16"/>
  <c r="FB166" i="16"/>
  <c r="ET166" i="16"/>
  <c r="EJ166" i="16"/>
  <c r="EB166" i="16"/>
  <c r="DS166" i="16"/>
  <c r="DI166" i="16"/>
  <c r="DA166" i="16"/>
  <c r="CS166" i="16"/>
  <c r="GE166" i="16"/>
  <c r="FV166" i="16"/>
  <c r="FN166" i="16"/>
  <c r="FD166" i="16"/>
  <c r="EV166" i="16"/>
  <c r="EM166" i="16"/>
  <c r="EC166" i="16"/>
  <c r="DU166" i="16"/>
  <c r="DM166" i="16"/>
  <c r="DC166" i="16"/>
  <c r="CT166" i="16"/>
  <c r="D166" i="16"/>
  <c r="FX166" i="16"/>
  <c r="FG166" i="16"/>
  <c r="EO166" i="16"/>
  <c r="DW166" i="16"/>
  <c r="DF166" i="16"/>
  <c r="FQ166" i="16"/>
  <c r="FA166" i="16"/>
  <c r="EH166" i="16"/>
  <c r="DP166" i="16"/>
  <c r="CY166" i="16"/>
  <c r="H166" i="16"/>
  <c r="GH166" i="16"/>
  <c r="FP166" i="16"/>
  <c r="EW166" i="16"/>
  <c r="EG166" i="16"/>
  <c r="DN166" i="16"/>
  <c r="CV166" i="16"/>
  <c r="E166" i="16"/>
  <c r="AH166" i="16" s="1"/>
  <c r="AX166" i="16" s="1"/>
  <c r="DZ166" i="16"/>
  <c r="GA166" i="16"/>
  <c r="DH166" i="16"/>
  <c r="FI166" i="16"/>
  <c r="EQ166" i="16"/>
  <c r="AB165" i="16"/>
  <c r="AS165" i="16"/>
  <c r="AR165" i="16"/>
  <c r="AC165" i="16"/>
  <c r="U165" i="16"/>
  <c r="AS166" i="16" l="1"/>
  <c r="AB166" i="16"/>
  <c r="AR166" i="16"/>
  <c r="AC166" i="16"/>
  <c r="W165" i="16"/>
  <c r="X165" i="16"/>
  <c r="V165" i="16"/>
  <c r="Y165" i="16"/>
  <c r="Z165" i="16"/>
  <c r="B168" i="16"/>
  <c r="GG167" i="16"/>
  <c r="GB167" i="16"/>
  <c r="FW167" i="16"/>
  <c r="FR167" i="16"/>
  <c r="FM167" i="16"/>
  <c r="FH167" i="16"/>
  <c r="FC167" i="16"/>
  <c r="EX167" i="16"/>
  <c r="ES167" i="16"/>
  <c r="EN167" i="16"/>
  <c r="EI167" i="16"/>
  <c r="ED167" i="16"/>
  <c r="DY167" i="16"/>
  <c r="DT167" i="16"/>
  <c r="DO167" i="16"/>
  <c r="DJ167" i="16"/>
  <c r="GE167" i="16"/>
  <c r="FX167" i="16"/>
  <c r="FQ167" i="16"/>
  <c r="FK167" i="16"/>
  <c r="FD167" i="16"/>
  <c r="EW167" i="16"/>
  <c r="EQ167" i="16"/>
  <c r="EJ167" i="16"/>
  <c r="EC167" i="16"/>
  <c r="DW167" i="16"/>
  <c r="DP167" i="16"/>
  <c r="DI167" i="16"/>
  <c r="DD167" i="16"/>
  <c r="CY167" i="16"/>
  <c r="CT167" i="16"/>
  <c r="F167" i="16"/>
  <c r="GH167" i="16"/>
  <c r="FZ167" i="16"/>
  <c r="FP167" i="16"/>
  <c r="FG167" i="16"/>
  <c r="EY167" i="16"/>
  <c r="EO167" i="16"/>
  <c r="EG167" i="16"/>
  <c r="DX167" i="16"/>
  <c r="DN167" i="16"/>
  <c r="DF167" i="16"/>
  <c r="CZ167" i="16"/>
  <c r="CS167" i="16"/>
  <c r="G167" i="16"/>
  <c r="GA167" i="16"/>
  <c r="FN167" i="16"/>
  <c r="FB167" i="16"/>
  <c r="ER167" i="16"/>
  <c r="EE167" i="16"/>
  <c r="DS167" i="16"/>
  <c r="DH167" i="16"/>
  <c r="CX167" i="16"/>
  <c r="D167" i="16"/>
  <c r="GC167" i="16"/>
  <c r="FS167" i="16"/>
  <c r="FF167" i="16"/>
  <c r="ET167" i="16"/>
  <c r="EH167" i="16"/>
  <c r="DU167" i="16"/>
  <c r="DK167" i="16"/>
  <c r="DA167" i="16"/>
  <c r="E167" i="16"/>
  <c r="AH167" i="16" s="1"/>
  <c r="AX167" i="16" s="1"/>
  <c r="FV167" i="16"/>
  <c r="FA167" i="16"/>
  <c r="EB167" i="16"/>
  <c r="DE167" i="16"/>
  <c r="FU167" i="16"/>
  <c r="EV167" i="16"/>
  <c r="DZ167" i="16"/>
  <c r="DC167" i="16"/>
  <c r="FL167" i="16"/>
  <c r="EM167" i="16"/>
  <c r="DR167" i="16"/>
  <c r="CV167" i="16"/>
  <c r="H167" i="16"/>
  <c r="GF167" i="16"/>
  <c r="CU167" i="16"/>
  <c r="FI167" i="16"/>
  <c r="EL167" i="16"/>
  <c r="DM167" i="16"/>
  <c r="C167" i="16"/>
  <c r="I167" i="16" a="1"/>
  <c r="I167" i="16" s="1"/>
  <c r="BF166" i="16"/>
  <c r="U166" i="16"/>
  <c r="JZ167" i="16"/>
  <c r="JU167" i="16"/>
  <c r="JP167" i="16"/>
  <c r="JK167" i="16"/>
  <c r="JF167" i="16"/>
  <c r="JA167" i="16"/>
  <c r="IV167" i="16"/>
  <c r="IQ167" i="16"/>
  <c r="IL167" i="16"/>
  <c r="IG167" i="16"/>
  <c r="IB167" i="16"/>
  <c r="HW167" i="16"/>
  <c r="HR167" i="16"/>
  <c r="HM167" i="16"/>
  <c r="HH167" i="16"/>
  <c r="HC167" i="16"/>
  <c r="GX167" i="16"/>
  <c r="GS167" i="16"/>
  <c r="GN167" i="16"/>
  <c r="K168" i="16"/>
  <c r="JV167" i="16"/>
  <c r="JO167" i="16"/>
  <c r="JI167" i="16"/>
  <c r="JB167" i="16"/>
  <c r="IU167" i="16"/>
  <c r="IO167" i="16"/>
  <c r="IH167" i="16"/>
  <c r="IA167" i="16"/>
  <c r="HU167" i="16"/>
  <c r="HN167" i="16"/>
  <c r="HG167" i="16"/>
  <c r="HA167" i="16"/>
  <c r="GT167" i="16"/>
  <c r="GM167" i="16"/>
  <c r="N167" i="16"/>
  <c r="AP167" i="16" s="1"/>
  <c r="JT167" i="16"/>
  <c r="JL167" i="16"/>
  <c r="JD167" i="16"/>
  <c r="IT167" i="16"/>
  <c r="IK167" i="16"/>
  <c r="IC167" i="16"/>
  <c r="HS167" i="16"/>
  <c r="HK167" i="16"/>
  <c r="HB167" i="16"/>
  <c r="GR167" i="16"/>
  <c r="Q167" i="16"/>
  <c r="L167" i="16"/>
  <c r="JS167" i="16"/>
  <c r="JG167" i="16"/>
  <c r="IW167" i="16"/>
  <c r="IJ167" i="16"/>
  <c r="HX167" i="16"/>
  <c r="HL167" i="16"/>
  <c r="GY167" i="16"/>
  <c r="GO167" i="16"/>
  <c r="JX167" i="16"/>
  <c r="JJ167" i="16"/>
  <c r="IY167" i="16"/>
  <c r="IM167" i="16"/>
  <c r="HZ167" i="16"/>
  <c r="HP167" i="16"/>
  <c r="HD167" i="16"/>
  <c r="GQ167" i="16"/>
  <c r="M167" i="16"/>
  <c r="JQ167" i="16"/>
  <c r="IR167" i="16"/>
  <c r="HV167" i="16"/>
  <c r="GW167" i="16"/>
  <c r="JN167" i="16"/>
  <c r="IP167" i="16"/>
  <c r="HQ167" i="16"/>
  <c r="GV167" i="16"/>
  <c r="KA167" i="16"/>
  <c r="JE167" i="16"/>
  <c r="IF167" i="16"/>
  <c r="HI167" i="16"/>
  <c r="GL167" i="16"/>
  <c r="JY167" i="16"/>
  <c r="IZ167" i="16"/>
  <c r="P167" i="16"/>
  <c r="IE167" i="16"/>
  <c r="HF167" i="16"/>
  <c r="JY168" i="16" l="1"/>
  <c r="JT168" i="16"/>
  <c r="JO168" i="16"/>
  <c r="JJ168" i="16"/>
  <c r="JE168" i="16"/>
  <c r="IZ168" i="16"/>
  <c r="IU168" i="16"/>
  <c r="IP168" i="16"/>
  <c r="IK168" i="16"/>
  <c r="IF168" i="16"/>
  <c r="IA168" i="16"/>
  <c r="HV168" i="16"/>
  <c r="HQ168" i="16"/>
  <c r="HL168" i="16"/>
  <c r="HG168" i="16"/>
  <c r="HB168" i="16"/>
  <c r="GW168" i="16"/>
  <c r="GR168" i="16"/>
  <c r="GM168" i="16"/>
  <c r="N168" i="16"/>
  <c r="AP168" i="16" s="1"/>
  <c r="JX168" i="16"/>
  <c r="JQ168" i="16"/>
  <c r="JK168" i="16"/>
  <c r="JD168" i="16"/>
  <c r="IW168" i="16"/>
  <c r="IQ168" i="16"/>
  <c r="IJ168" i="16"/>
  <c r="IC168" i="16"/>
  <c r="HW168" i="16"/>
  <c r="HP168" i="16"/>
  <c r="HI168" i="16"/>
  <c r="HC168" i="16"/>
  <c r="GV168" i="16"/>
  <c r="GO168" i="16"/>
  <c r="P168" i="16"/>
  <c r="K169" i="16"/>
  <c r="JZ168" i="16"/>
  <c r="JP168" i="16"/>
  <c r="JG168" i="16"/>
  <c r="IY168" i="16"/>
  <c r="IO168" i="16"/>
  <c r="IG168" i="16"/>
  <c r="HX168" i="16"/>
  <c r="HN168" i="16"/>
  <c r="HF168" i="16"/>
  <c r="GX168" i="16"/>
  <c r="GN168" i="16"/>
  <c r="JU168" i="16"/>
  <c r="JI168" i="16"/>
  <c r="IV168" i="16"/>
  <c r="IL168" i="16"/>
  <c r="HZ168" i="16"/>
  <c r="HM168" i="16"/>
  <c r="HA168" i="16"/>
  <c r="GQ168" i="16"/>
  <c r="L168" i="16"/>
  <c r="I169" i="16" s="1" a="1"/>
  <c r="I169" i="16" s="1"/>
  <c r="JV168" i="16"/>
  <c r="JL168" i="16"/>
  <c r="JA168" i="16"/>
  <c r="IM168" i="16"/>
  <c r="IB168" i="16"/>
  <c r="HR168" i="16"/>
  <c r="HD168" i="16"/>
  <c r="GS168" i="16"/>
  <c r="M168" i="16"/>
  <c r="JF168" i="16"/>
  <c r="IH168" i="16"/>
  <c r="HK168" i="16"/>
  <c r="GL168" i="16"/>
  <c r="KA168" i="16"/>
  <c r="JB168" i="16"/>
  <c r="IE168" i="16"/>
  <c r="HH168" i="16"/>
  <c r="JS168" i="16"/>
  <c r="IT168" i="16"/>
  <c r="HU168" i="16"/>
  <c r="GY168" i="16"/>
  <c r="Q168" i="16"/>
  <c r="GT168" i="16"/>
  <c r="JN168" i="16"/>
  <c r="IR168" i="16"/>
  <c r="HS168" i="16"/>
  <c r="U167" i="16"/>
  <c r="AR167" i="16"/>
  <c r="AC167" i="16"/>
  <c r="AS167" i="16"/>
  <c r="AB167" i="16"/>
  <c r="I168" i="16" a="1"/>
  <c r="I168" i="16" s="1"/>
  <c r="Z166" i="16"/>
  <c r="V166" i="16"/>
  <c r="X166" i="16"/>
  <c r="Y166" i="16"/>
  <c r="W166" i="16"/>
  <c r="GF168" i="16"/>
  <c r="GA168" i="16"/>
  <c r="FV168" i="16"/>
  <c r="FQ168" i="16"/>
  <c r="FL168" i="16"/>
  <c r="FG168" i="16"/>
  <c r="FB168" i="16"/>
  <c r="EW168" i="16"/>
  <c r="ER168" i="16"/>
  <c r="EM168" i="16"/>
  <c r="EH168" i="16"/>
  <c r="EC168" i="16"/>
  <c r="DX168" i="16"/>
  <c r="DS168" i="16"/>
  <c r="DN168" i="16"/>
  <c r="DI168" i="16"/>
  <c r="DD168" i="16"/>
  <c r="CY168" i="16"/>
  <c r="CT168" i="16"/>
  <c r="F168" i="16"/>
  <c r="B169" i="16"/>
  <c r="GG168" i="16"/>
  <c r="FZ168" i="16"/>
  <c r="FS168" i="16"/>
  <c r="FM168" i="16"/>
  <c r="FF168" i="16"/>
  <c r="EY168" i="16"/>
  <c r="ES168" i="16"/>
  <c r="EL168" i="16"/>
  <c r="EE168" i="16"/>
  <c r="DY168" i="16"/>
  <c r="DR168" i="16"/>
  <c r="DK168" i="16"/>
  <c r="DE168" i="16"/>
  <c r="CX168" i="16"/>
  <c r="E168" i="16"/>
  <c r="AH168" i="16" s="1"/>
  <c r="AX168" i="16" s="1"/>
  <c r="GC168" i="16"/>
  <c r="FU168" i="16"/>
  <c r="FK168" i="16"/>
  <c r="FC168" i="16"/>
  <c r="ET168" i="16"/>
  <c r="EJ168" i="16"/>
  <c r="EB168" i="16"/>
  <c r="DT168" i="16"/>
  <c r="DJ168" i="16"/>
  <c r="DA168" i="16"/>
  <c r="CS168" i="16"/>
  <c r="H168" i="16"/>
  <c r="GB168" i="16"/>
  <c r="FP168" i="16"/>
  <c r="FD168" i="16"/>
  <c r="EQ168" i="16"/>
  <c r="EG168" i="16"/>
  <c r="DU168" i="16"/>
  <c r="DH168" i="16"/>
  <c r="CV168" i="16"/>
  <c r="C168" i="16"/>
  <c r="GE168" i="16"/>
  <c r="FR168" i="16"/>
  <c r="FH168" i="16"/>
  <c r="EV168" i="16"/>
  <c r="EI168" i="16"/>
  <c r="DW168" i="16"/>
  <c r="DM168" i="16"/>
  <c r="CZ168" i="16"/>
  <c r="D168" i="16"/>
  <c r="FN168" i="16"/>
  <c r="EO168" i="16"/>
  <c r="DP168" i="16"/>
  <c r="CU168" i="16"/>
  <c r="GH168" i="16"/>
  <c r="FI168" i="16"/>
  <c r="EN168" i="16"/>
  <c r="DO168" i="16"/>
  <c r="G168" i="16"/>
  <c r="FX168" i="16"/>
  <c r="FA168" i="16"/>
  <c r="ED168" i="16"/>
  <c r="DF168" i="16"/>
  <c r="DC168" i="16"/>
  <c r="FW168" i="16"/>
  <c r="EX168" i="16"/>
  <c r="DZ168" i="16"/>
  <c r="BF167" i="16"/>
  <c r="BF168" i="16" l="1"/>
  <c r="AR168" i="16"/>
  <c r="AC168" i="16"/>
  <c r="AB168" i="16"/>
  <c r="AS168" i="16"/>
  <c r="GE169" i="16"/>
  <c r="FZ169" i="16"/>
  <c r="FU169" i="16"/>
  <c r="FP169" i="16"/>
  <c r="FK169" i="16"/>
  <c r="FF169" i="16"/>
  <c r="FA169" i="16"/>
  <c r="EV169" i="16"/>
  <c r="EQ169" i="16"/>
  <c r="EL169" i="16"/>
  <c r="EG169" i="16"/>
  <c r="EB169" i="16"/>
  <c r="DW169" i="16"/>
  <c r="DR169" i="16"/>
  <c r="DM169" i="16"/>
  <c r="DH169" i="16"/>
  <c r="DC169" i="16"/>
  <c r="CX169" i="16"/>
  <c r="CS169" i="16"/>
  <c r="E169" i="16"/>
  <c r="AH169" i="16" s="1"/>
  <c r="AX169" i="16" s="1"/>
  <c r="GH169" i="16"/>
  <c r="GB169" i="16"/>
  <c r="FV169" i="16"/>
  <c r="FN169" i="16"/>
  <c r="FH169" i="16"/>
  <c r="FB169" i="16"/>
  <c r="ET169" i="16"/>
  <c r="EN169" i="16"/>
  <c r="EH169" i="16"/>
  <c r="DZ169" i="16"/>
  <c r="DT169" i="16"/>
  <c r="DN169" i="16"/>
  <c r="DF169" i="16"/>
  <c r="CZ169" i="16"/>
  <c r="CT169" i="16"/>
  <c r="G169" i="16"/>
  <c r="GC169" i="16"/>
  <c r="FS169" i="16"/>
  <c r="FL169" i="16"/>
  <c r="FC169" i="16"/>
  <c r="ES169" i="16"/>
  <c r="EJ169" i="16"/>
  <c r="EC169" i="16"/>
  <c r="DS169" i="16"/>
  <c r="DJ169" i="16"/>
  <c r="DA169" i="16"/>
  <c r="D169" i="16"/>
  <c r="FX169" i="16"/>
  <c r="FM169" i="16"/>
  <c r="EY169" i="16"/>
  <c r="EO169" i="16"/>
  <c r="ED169" i="16"/>
  <c r="DP169" i="16"/>
  <c r="DE169" i="16"/>
  <c r="CU169" i="16"/>
  <c r="C169" i="16"/>
  <c r="B170" i="16"/>
  <c r="GA169" i="16"/>
  <c r="FQ169" i="16"/>
  <c r="FD169" i="16"/>
  <c r="ER169" i="16"/>
  <c r="EE169" i="16"/>
  <c r="DU169" i="16"/>
  <c r="DI169" i="16"/>
  <c r="CV169" i="16"/>
  <c r="F169" i="16"/>
  <c r="FW169" i="16"/>
  <c r="EX169" i="16"/>
  <c r="DY169" i="16"/>
  <c r="DD169" i="16"/>
  <c r="FR169" i="16"/>
  <c r="EW169" i="16"/>
  <c r="DX169" i="16"/>
  <c r="CY169" i="16"/>
  <c r="GG169" i="16"/>
  <c r="FI169" i="16"/>
  <c r="EM169" i="16"/>
  <c r="DO169" i="16"/>
  <c r="GF169" i="16"/>
  <c r="H169" i="16"/>
  <c r="FG169" i="16"/>
  <c r="EI169" i="16"/>
  <c r="DK169" i="16"/>
  <c r="U168" i="16"/>
  <c r="Y167" i="16"/>
  <c r="Z167" i="16"/>
  <c r="V167" i="16"/>
  <c r="W167" i="16"/>
  <c r="X167" i="16"/>
  <c r="JX169" i="16"/>
  <c r="JS169" i="16"/>
  <c r="JN169" i="16"/>
  <c r="JI169" i="16"/>
  <c r="JD169" i="16"/>
  <c r="IY169" i="16"/>
  <c r="IT169" i="16"/>
  <c r="IO169" i="16"/>
  <c r="IJ169" i="16"/>
  <c r="IE169" i="16"/>
  <c r="HZ169" i="16"/>
  <c r="HU169" i="16"/>
  <c r="HP169" i="16"/>
  <c r="HK169" i="16"/>
  <c r="HF169" i="16"/>
  <c r="HA169" i="16"/>
  <c r="GV169" i="16"/>
  <c r="GQ169" i="16"/>
  <c r="GL169" i="16"/>
  <c r="Q169" i="16"/>
  <c r="M169" i="16"/>
  <c r="JZ169" i="16"/>
  <c r="JT169" i="16"/>
  <c r="JL169" i="16"/>
  <c r="JF169" i="16"/>
  <c r="IZ169" i="16"/>
  <c r="IR169" i="16"/>
  <c r="IL169" i="16"/>
  <c r="IF169" i="16"/>
  <c r="HX169" i="16"/>
  <c r="HR169" i="16"/>
  <c r="HL169" i="16"/>
  <c r="HD169" i="16"/>
  <c r="GX169" i="16"/>
  <c r="GR169" i="16"/>
  <c r="L169" i="16"/>
  <c r="K170" i="16"/>
  <c r="JY169" i="16"/>
  <c r="JP169" i="16"/>
  <c r="JG169" i="16"/>
  <c r="IW169" i="16"/>
  <c r="IP169" i="16"/>
  <c r="IG169" i="16"/>
  <c r="HW169" i="16"/>
  <c r="HN169" i="16"/>
  <c r="HG169" i="16"/>
  <c r="GW169" i="16"/>
  <c r="GN169" i="16"/>
  <c r="JQ169" i="16"/>
  <c r="JE169" i="16"/>
  <c r="IU169" i="16"/>
  <c r="IH169" i="16"/>
  <c r="HV169" i="16"/>
  <c r="HI169" i="16"/>
  <c r="GY169" i="16"/>
  <c r="GM169" i="16"/>
  <c r="N169" i="16"/>
  <c r="AP169" i="16" s="1"/>
  <c r="JU169" i="16"/>
  <c r="JJ169" i="16"/>
  <c r="IV169" i="16"/>
  <c r="IK169" i="16"/>
  <c r="IA169" i="16"/>
  <c r="HM169" i="16"/>
  <c r="HB169" i="16"/>
  <c r="GO169" i="16"/>
  <c r="JO169" i="16"/>
  <c r="IQ169" i="16"/>
  <c r="HS169" i="16"/>
  <c r="GT169" i="16"/>
  <c r="P169" i="16"/>
  <c r="JK169" i="16"/>
  <c r="IM169" i="16"/>
  <c r="HQ169" i="16"/>
  <c r="GS169" i="16"/>
  <c r="KA169" i="16"/>
  <c r="JB169" i="16"/>
  <c r="IC169" i="16"/>
  <c r="HH169" i="16"/>
  <c r="JV169" i="16"/>
  <c r="JA169" i="16"/>
  <c r="IB169" i="16"/>
  <c r="HC169" i="16"/>
  <c r="K171" i="16" l="1"/>
  <c r="KA170" i="16"/>
  <c r="JV170" i="16"/>
  <c r="JQ170" i="16"/>
  <c r="JL170" i="16"/>
  <c r="JG170" i="16"/>
  <c r="JB170" i="16"/>
  <c r="IW170" i="16"/>
  <c r="IR170" i="16"/>
  <c r="IM170" i="16"/>
  <c r="IH170" i="16"/>
  <c r="IC170" i="16"/>
  <c r="HX170" i="16"/>
  <c r="HS170" i="16"/>
  <c r="HN170" i="16"/>
  <c r="HI170" i="16"/>
  <c r="HD170" i="16"/>
  <c r="GY170" i="16"/>
  <c r="GT170" i="16"/>
  <c r="GO170" i="16"/>
  <c r="P170" i="16"/>
  <c r="L170" i="16"/>
  <c r="JU170" i="16"/>
  <c r="JO170" i="16"/>
  <c r="JI170" i="16"/>
  <c r="JA170" i="16"/>
  <c r="IU170" i="16"/>
  <c r="IO170" i="16"/>
  <c r="IG170" i="16"/>
  <c r="IA170" i="16"/>
  <c r="HU170" i="16"/>
  <c r="HM170" i="16"/>
  <c r="HG170" i="16"/>
  <c r="HA170" i="16"/>
  <c r="GS170" i="16"/>
  <c r="GM170" i="16"/>
  <c r="N170" i="16"/>
  <c r="AP170" i="16" s="1"/>
  <c r="JX170" i="16"/>
  <c r="JN170" i="16"/>
  <c r="JE170" i="16"/>
  <c r="IV170" i="16"/>
  <c r="IL170" i="16"/>
  <c r="IE170" i="16"/>
  <c r="HV170" i="16"/>
  <c r="HL170" i="16"/>
  <c r="HC170" i="16"/>
  <c r="GV170" i="16"/>
  <c r="GL170" i="16"/>
  <c r="JZ170" i="16"/>
  <c r="JP170" i="16"/>
  <c r="JD170" i="16"/>
  <c r="IQ170" i="16"/>
  <c r="IF170" i="16"/>
  <c r="HR170" i="16"/>
  <c r="HH170" i="16"/>
  <c r="GW170" i="16"/>
  <c r="JS170" i="16"/>
  <c r="JF170" i="16"/>
  <c r="IT170" i="16"/>
  <c r="IJ170" i="16"/>
  <c r="HW170" i="16"/>
  <c r="HK170" i="16"/>
  <c r="GX170" i="16"/>
  <c r="GN170" i="16"/>
  <c r="M170" i="16"/>
  <c r="JJ170" i="16"/>
  <c r="IK170" i="16"/>
  <c r="HP170" i="16"/>
  <c r="GQ170" i="16"/>
  <c r="JY170" i="16"/>
  <c r="IZ170" i="16"/>
  <c r="IB170" i="16"/>
  <c r="HF170" i="16"/>
  <c r="JT170" i="16"/>
  <c r="IY170" i="16"/>
  <c r="HZ170" i="16"/>
  <c r="HB170" i="16"/>
  <c r="Q170" i="16"/>
  <c r="IP170" i="16"/>
  <c r="HQ170" i="16"/>
  <c r="GR170" i="16"/>
  <c r="JK170" i="16"/>
  <c r="AC169" i="16"/>
  <c r="AS169" i="16"/>
  <c r="AR169" i="16"/>
  <c r="AB169" i="16"/>
  <c r="U169" i="16"/>
  <c r="I170" i="16" a="1"/>
  <c r="I170" i="16" s="1"/>
  <c r="Y168" i="16"/>
  <c r="X168" i="16"/>
  <c r="Z168" i="16"/>
  <c r="V168" i="16"/>
  <c r="W168" i="16"/>
  <c r="BF169" i="16"/>
  <c r="GH170" i="16"/>
  <c r="GC170" i="16"/>
  <c r="FX170" i="16"/>
  <c r="FS170" i="16"/>
  <c r="FN170" i="16"/>
  <c r="FI170" i="16"/>
  <c r="FD170" i="16"/>
  <c r="EY170" i="16"/>
  <c r="ET170" i="16"/>
  <c r="EO170" i="16"/>
  <c r="EJ170" i="16"/>
  <c r="EE170" i="16"/>
  <c r="DZ170" i="16"/>
  <c r="DU170" i="16"/>
  <c r="DP170" i="16"/>
  <c r="DK170" i="16"/>
  <c r="DF170" i="16"/>
  <c r="DA170" i="16"/>
  <c r="CV170" i="16"/>
  <c r="H170" i="16"/>
  <c r="D170" i="16"/>
  <c r="GE170" i="16"/>
  <c r="FW170" i="16"/>
  <c r="FQ170" i="16"/>
  <c r="FK170" i="16"/>
  <c r="FC170" i="16"/>
  <c r="EW170" i="16"/>
  <c r="EQ170" i="16"/>
  <c r="EI170" i="16"/>
  <c r="EC170" i="16"/>
  <c r="DW170" i="16"/>
  <c r="DO170" i="16"/>
  <c r="DI170" i="16"/>
  <c r="DC170" i="16"/>
  <c r="CU170" i="16"/>
  <c r="C170" i="16"/>
  <c r="B171" i="16"/>
  <c r="GA170" i="16"/>
  <c r="FR170" i="16"/>
  <c r="FH170" i="16"/>
  <c r="FA170" i="16"/>
  <c r="ER170" i="16"/>
  <c r="EH170" i="16"/>
  <c r="DY170" i="16"/>
  <c r="DR170" i="16"/>
  <c r="DH170" i="16"/>
  <c r="CY170" i="16"/>
  <c r="E170" i="16"/>
  <c r="AH170" i="16" s="1"/>
  <c r="AX170" i="16" s="1"/>
  <c r="GG170" i="16"/>
  <c r="FV170" i="16"/>
  <c r="FL170" i="16"/>
  <c r="EX170" i="16"/>
  <c r="EM170" i="16"/>
  <c r="EB170" i="16"/>
  <c r="DN170" i="16"/>
  <c r="DD170" i="16"/>
  <c r="CS170" i="16"/>
  <c r="FZ170" i="16"/>
  <c r="FM170" i="16"/>
  <c r="FB170" i="16"/>
  <c r="EN170" i="16"/>
  <c r="ED170" i="16"/>
  <c r="DS170" i="16"/>
  <c r="DE170" i="16"/>
  <c r="CT170" i="16"/>
  <c r="FP170" i="16"/>
  <c r="ES170" i="16"/>
  <c r="DT170" i="16"/>
  <c r="CX170" i="16"/>
  <c r="G170" i="16"/>
  <c r="GF170" i="16"/>
  <c r="FG170" i="16"/>
  <c r="EL170" i="16"/>
  <c r="DM170" i="16"/>
  <c r="F170" i="16"/>
  <c r="GB170" i="16"/>
  <c r="FF170" i="16"/>
  <c r="EG170" i="16"/>
  <c r="DJ170" i="16"/>
  <c r="EV170" i="16"/>
  <c r="DX170" i="16"/>
  <c r="CZ170" i="16"/>
  <c r="FU170" i="16"/>
  <c r="U170" i="16" l="1"/>
  <c r="B172" i="16"/>
  <c r="GG171" i="16"/>
  <c r="GB171" i="16"/>
  <c r="FW171" i="16"/>
  <c r="FR171" i="16"/>
  <c r="FM171" i="16"/>
  <c r="FH171" i="16"/>
  <c r="FC171" i="16"/>
  <c r="EX171" i="16"/>
  <c r="ES171" i="16"/>
  <c r="EN171" i="16"/>
  <c r="EI171" i="16"/>
  <c r="ED171" i="16"/>
  <c r="DY171" i="16"/>
  <c r="DT171" i="16"/>
  <c r="DO171" i="16"/>
  <c r="DJ171" i="16"/>
  <c r="DE171" i="16"/>
  <c r="CZ171" i="16"/>
  <c r="CU171" i="16"/>
  <c r="G171" i="16"/>
  <c r="C171" i="16"/>
  <c r="GE171" i="16"/>
  <c r="FX171" i="16"/>
  <c r="FQ171" i="16"/>
  <c r="FK171" i="16"/>
  <c r="FD171" i="16"/>
  <c r="EW171" i="16"/>
  <c r="EQ171" i="16"/>
  <c r="EJ171" i="16"/>
  <c r="EC171" i="16"/>
  <c r="DW171" i="16"/>
  <c r="DP171" i="16"/>
  <c r="DI171" i="16"/>
  <c r="DC171" i="16"/>
  <c r="CV171" i="16"/>
  <c r="E171" i="16"/>
  <c r="AH171" i="16" s="1"/>
  <c r="AX171" i="16" s="1"/>
  <c r="GC171" i="16"/>
  <c r="FU171" i="16"/>
  <c r="FL171" i="16"/>
  <c r="FB171" i="16"/>
  <c r="ET171" i="16"/>
  <c r="EL171" i="16"/>
  <c r="EB171" i="16"/>
  <c r="DS171" i="16"/>
  <c r="DK171" i="16"/>
  <c r="DA171" i="16"/>
  <c r="CS171" i="16"/>
  <c r="GH171" i="16"/>
  <c r="FV171" i="16"/>
  <c r="FI171" i="16"/>
  <c r="EY171" i="16"/>
  <c r="EM171" i="16"/>
  <c r="DZ171" i="16"/>
  <c r="DN171" i="16"/>
  <c r="DD171" i="16"/>
  <c r="H171" i="16"/>
  <c r="FZ171" i="16"/>
  <c r="FN171" i="16"/>
  <c r="FA171" i="16"/>
  <c r="EO171" i="16"/>
  <c r="EE171" i="16"/>
  <c r="DR171" i="16"/>
  <c r="DF171" i="16"/>
  <c r="CT171" i="16"/>
  <c r="FS171" i="16"/>
  <c r="EV171" i="16"/>
  <c r="DX171" i="16"/>
  <c r="CY171" i="16"/>
  <c r="D171" i="16"/>
  <c r="FP171" i="16"/>
  <c r="ER171" i="16"/>
  <c r="DU171" i="16"/>
  <c r="CX171" i="16"/>
  <c r="GF171" i="16"/>
  <c r="FG171" i="16"/>
  <c r="EH171" i="16"/>
  <c r="DM171" i="16"/>
  <c r="EG171" i="16"/>
  <c r="DH171" i="16"/>
  <c r="GA171" i="16"/>
  <c r="F171" i="16"/>
  <c r="FF171" i="16"/>
  <c r="AB170" i="16"/>
  <c r="AC170" i="16"/>
  <c r="AS170" i="16"/>
  <c r="AR170" i="16"/>
  <c r="BF170" i="16"/>
  <c r="JZ171" i="16"/>
  <c r="JU171" i="16"/>
  <c r="JP171" i="16"/>
  <c r="JK171" i="16"/>
  <c r="JF171" i="16"/>
  <c r="JA171" i="16"/>
  <c r="IV171" i="16"/>
  <c r="IQ171" i="16"/>
  <c r="IL171" i="16"/>
  <c r="IG171" i="16"/>
  <c r="IB171" i="16"/>
  <c r="HW171" i="16"/>
  <c r="HR171" i="16"/>
  <c r="HM171" i="16"/>
  <c r="HH171" i="16"/>
  <c r="HC171" i="16"/>
  <c r="GX171" i="16"/>
  <c r="GS171" i="16"/>
  <c r="GN171" i="16"/>
  <c r="K172" i="16"/>
  <c r="JV171" i="16"/>
  <c r="JO171" i="16"/>
  <c r="JI171" i="16"/>
  <c r="JB171" i="16"/>
  <c r="IU171" i="16"/>
  <c r="IO171" i="16"/>
  <c r="IH171" i="16"/>
  <c r="IA171" i="16"/>
  <c r="HU171" i="16"/>
  <c r="HN171" i="16"/>
  <c r="HG171" i="16"/>
  <c r="HA171" i="16"/>
  <c r="GT171" i="16"/>
  <c r="GM171" i="16"/>
  <c r="JY171" i="16"/>
  <c r="JQ171" i="16"/>
  <c r="JG171" i="16"/>
  <c r="IY171" i="16"/>
  <c r="IP171" i="16"/>
  <c r="IF171" i="16"/>
  <c r="HX171" i="16"/>
  <c r="HP171" i="16"/>
  <c r="HF171" i="16"/>
  <c r="GW171" i="16"/>
  <c r="GO171" i="16"/>
  <c r="KA171" i="16"/>
  <c r="JN171" i="16"/>
  <c r="JD171" i="16"/>
  <c r="IR171" i="16"/>
  <c r="IE171" i="16"/>
  <c r="HS171" i="16"/>
  <c r="HI171" i="16"/>
  <c r="GV171" i="16"/>
  <c r="JS171" i="16"/>
  <c r="JE171" i="16"/>
  <c r="IT171" i="16"/>
  <c r="IJ171" i="16"/>
  <c r="HV171" i="16"/>
  <c r="HK171" i="16"/>
  <c r="GY171" i="16"/>
  <c r="GL171" i="16"/>
  <c r="P171" i="16"/>
  <c r="L171" i="16"/>
  <c r="I172" i="16" s="1" a="1"/>
  <c r="I172" i="16" s="1"/>
  <c r="JL171" i="16"/>
  <c r="IM171" i="16"/>
  <c r="HQ171" i="16"/>
  <c r="GR171" i="16"/>
  <c r="JJ171" i="16"/>
  <c r="IK171" i="16"/>
  <c r="HL171" i="16"/>
  <c r="GQ171" i="16"/>
  <c r="N171" i="16"/>
  <c r="AP171" i="16" s="1"/>
  <c r="JX171" i="16"/>
  <c r="IZ171" i="16"/>
  <c r="IC171" i="16"/>
  <c r="HD171" i="16"/>
  <c r="M171" i="16"/>
  <c r="HZ171" i="16"/>
  <c r="Q171" i="16"/>
  <c r="HB171" i="16"/>
  <c r="JT171" i="16"/>
  <c r="IW171" i="16"/>
  <c r="BF171" i="16"/>
  <c r="I171" i="16" a="1"/>
  <c r="I171" i="16" s="1"/>
  <c r="X169" i="16"/>
  <c r="Z169" i="16"/>
  <c r="V169" i="16"/>
  <c r="Y169" i="16"/>
  <c r="W169" i="16"/>
  <c r="W170" i="16" l="1"/>
  <c r="V170" i="16"/>
  <c r="X170" i="16"/>
  <c r="Y170" i="16"/>
  <c r="Z170" i="16"/>
  <c r="JY172" i="16"/>
  <c r="JT172" i="16"/>
  <c r="JO172" i="16"/>
  <c r="JJ172" i="16"/>
  <c r="JE172" i="16"/>
  <c r="IZ172" i="16"/>
  <c r="IU172" i="16"/>
  <c r="IP172" i="16"/>
  <c r="IK172" i="16"/>
  <c r="IF172" i="16"/>
  <c r="IA172" i="16"/>
  <c r="HV172" i="16"/>
  <c r="HQ172" i="16"/>
  <c r="HL172" i="16"/>
  <c r="HG172" i="16"/>
  <c r="HB172" i="16"/>
  <c r="GW172" i="16"/>
  <c r="GR172" i="16"/>
  <c r="GM172" i="16"/>
  <c r="N172" i="16"/>
  <c r="AP172" i="16" s="1"/>
  <c r="JX172" i="16"/>
  <c r="JQ172" i="16"/>
  <c r="JK172" i="16"/>
  <c r="JD172" i="16"/>
  <c r="IW172" i="16"/>
  <c r="IQ172" i="16"/>
  <c r="IJ172" i="16"/>
  <c r="IC172" i="16"/>
  <c r="HW172" i="16"/>
  <c r="HP172" i="16"/>
  <c r="HI172" i="16"/>
  <c r="HC172" i="16"/>
  <c r="GV172" i="16"/>
  <c r="GO172" i="16"/>
  <c r="P172" i="16"/>
  <c r="JU172" i="16"/>
  <c r="JL172" i="16"/>
  <c r="JB172" i="16"/>
  <c r="IT172" i="16"/>
  <c r="IL172" i="16"/>
  <c r="IB172" i="16"/>
  <c r="HS172" i="16"/>
  <c r="HK172" i="16"/>
  <c r="HA172" i="16"/>
  <c r="GS172" i="16"/>
  <c r="L172" i="16"/>
  <c r="BF172" i="16" s="1"/>
  <c r="JZ172" i="16"/>
  <c r="JN172" i="16"/>
  <c r="JA172" i="16"/>
  <c r="IO172" i="16"/>
  <c r="IE172" i="16"/>
  <c r="HR172" i="16"/>
  <c r="HF172" i="16"/>
  <c r="GT172" i="16"/>
  <c r="Q172" i="16"/>
  <c r="KA172" i="16"/>
  <c r="JP172" i="16"/>
  <c r="JF172" i="16"/>
  <c r="IR172" i="16"/>
  <c r="IG172" i="16"/>
  <c r="HU172" i="16"/>
  <c r="HH172" i="16"/>
  <c r="GX172" i="16"/>
  <c r="GL172" i="16"/>
  <c r="K173" i="16"/>
  <c r="JS172" i="16"/>
  <c r="IV172" i="16"/>
  <c r="HX172" i="16"/>
  <c r="GY172" i="16"/>
  <c r="JI172" i="16"/>
  <c r="IM172" i="16"/>
  <c r="HN172" i="16"/>
  <c r="GQ172" i="16"/>
  <c r="JG172" i="16"/>
  <c r="IH172" i="16"/>
  <c r="HM172" i="16"/>
  <c r="GN172" i="16"/>
  <c r="HZ172" i="16"/>
  <c r="HD172" i="16"/>
  <c r="M172" i="16"/>
  <c r="JV172" i="16"/>
  <c r="IY172" i="16"/>
  <c r="AS171" i="16"/>
  <c r="AC171" i="16"/>
  <c r="AR171" i="16"/>
  <c r="AB171" i="16"/>
  <c r="U171" i="16"/>
  <c r="GF172" i="16"/>
  <c r="GA172" i="16"/>
  <c r="FV172" i="16"/>
  <c r="FQ172" i="16"/>
  <c r="FL172" i="16"/>
  <c r="FG172" i="16"/>
  <c r="FB172" i="16"/>
  <c r="EW172" i="16"/>
  <c r="ER172" i="16"/>
  <c r="EM172" i="16"/>
  <c r="EH172" i="16"/>
  <c r="EC172" i="16"/>
  <c r="DX172" i="16"/>
  <c r="DS172" i="16"/>
  <c r="DN172" i="16"/>
  <c r="DI172" i="16"/>
  <c r="DD172" i="16"/>
  <c r="CY172" i="16"/>
  <c r="CT172" i="16"/>
  <c r="F172" i="16"/>
  <c r="B173" i="16"/>
  <c r="GG172" i="16"/>
  <c r="FZ172" i="16"/>
  <c r="FS172" i="16"/>
  <c r="FM172" i="16"/>
  <c r="FF172" i="16"/>
  <c r="EY172" i="16"/>
  <c r="ES172" i="16"/>
  <c r="EL172" i="16"/>
  <c r="EE172" i="16"/>
  <c r="DY172" i="16"/>
  <c r="DR172" i="16"/>
  <c r="DK172" i="16"/>
  <c r="DE172" i="16"/>
  <c r="CX172" i="16"/>
  <c r="E172" i="16"/>
  <c r="AH172" i="16" s="1"/>
  <c r="AX172" i="16" s="1"/>
  <c r="GH172" i="16"/>
  <c r="FX172" i="16"/>
  <c r="FP172" i="16"/>
  <c r="FH172" i="16"/>
  <c r="EX172" i="16"/>
  <c r="EO172" i="16"/>
  <c r="EG172" i="16"/>
  <c r="DW172" i="16"/>
  <c r="DO172" i="16"/>
  <c r="DF172" i="16"/>
  <c r="CV172" i="16"/>
  <c r="D172" i="16"/>
  <c r="GE172" i="16"/>
  <c r="FU172" i="16"/>
  <c r="FI172" i="16"/>
  <c r="EV172" i="16"/>
  <c r="EJ172" i="16"/>
  <c r="DZ172" i="16"/>
  <c r="DM172" i="16"/>
  <c r="DA172" i="16"/>
  <c r="H172" i="16"/>
  <c r="FW172" i="16"/>
  <c r="FK172" i="16"/>
  <c r="FA172" i="16"/>
  <c r="EN172" i="16"/>
  <c r="EB172" i="16"/>
  <c r="DP172" i="16"/>
  <c r="DC172" i="16"/>
  <c r="CS172" i="16"/>
  <c r="GB172" i="16"/>
  <c r="FC172" i="16"/>
  <c r="ED172" i="16"/>
  <c r="DH172" i="16"/>
  <c r="G172" i="16"/>
  <c r="FR172" i="16"/>
  <c r="ET172" i="16"/>
  <c r="DU172" i="16"/>
  <c r="CZ172" i="16"/>
  <c r="C172" i="16"/>
  <c r="FN172" i="16"/>
  <c r="EQ172" i="16"/>
  <c r="DT172" i="16"/>
  <c r="CU172" i="16"/>
  <c r="EI172" i="16"/>
  <c r="DJ172" i="16"/>
  <c r="GC172" i="16"/>
  <c r="FD172" i="16"/>
  <c r="GE173" i="16" l="1"/>
  <c r="FZ173" i="16"/>
  <c r="FU173" i="16"/>
  <c r="FP173" i="16"/>
  <c r="FK173" i="16"/>
  <c r="FF173" i="16"/>
  <c r="FA173" i="16"/>
  <c r="EV173" i="16"/>
  <c r="EQ173" i="16"/>
  <c r="EL173" i="16"/>
  <c r="EG173" i="16"/>
  <c r="EB173" i="16"/>
  <c r="DW173" i="16"/>
  <c r="DR173" i="16"/>
  <c r="DM173" i="16"/>
  <c r="DH173" i="16"/>
  <c r="DC173" i="16"/>
  <c r="CX173" i="16"/>
  <c r="CS173" i="16"/>
  <c r="E173" i="16"/>
  <c r="AH173" i="16" s="1"/>
  <c r="AX173" i="16" s="1"/>
  <c r="GH173" i="16"/>
  <c r="GB173" i="16"/>
  <c r="FV173" i="16"/>
  <c r="FN173" i="16"/>
  <c r="FH173" i="16"/>
  <c r="FB173" i="16"/>
  <c r="ET173" i="16"/>
  <c r="EN173" i="16"/>
  <c r="EH173" i="16"/>
  <c r="DZ173" i="16"/>
  <c r="DT173" i="16"/>
  <c r="DN173" i="16"/>
  <c r="DF173" i="16"/>
  <c r="CZ173" i="16"/>
  <c r="CT173" i="16"/>
  <c r="G173" i="16"/>
  <c r="GG173" i="16"/>
  <c r="FX173" i="16"/>
  <c r="FQ173" i="16"/>
  <c r="FG173" i="16"/>
  <c r="EX173" i="16"/>
  <c r="EO173" i="16"/>
  <c r="EE173" i="16"/>
  <c r="DX173" i="16"/>
  <c r="DO173" i="16"/>
  <c r="DE173" i="16"/>
  <c r="CV173" i="16"/>
  <c r="H173" i="16"/>
  <c r="GF173" i="16"/>
  <c r="FS173" i="16"/>
  <c r="FI173" i="16"/>
  <c r="EW173" i="16"/>
  <c r="EJ173" i="16"/>
  <c r="DY173" i="16"/>
  <c r="DK173" i="16"/>
  <c r="DA173" i="16"/>
  <c r="F173" i="16"/>
  <c r="FW173" i="16"/>
  <c r="FL173" i="16"/>
  <c r="EY173" i="16"/>
  <c r="EM173" i="16"/>
  <c r="EC173" i="16"/>
  <c r="DP173" i="16"/>
  <c r="DD173" i="16"/>
  <c r="GC173" i="16"/>
  <c r="FD173" i="16"/>
  <c r="EI173" i="16"/>
  <c r="DJ173" i="16"/>
  <c r="GA173" i="16"/>
  <c r="FC173" i="16"/>
  <c r="ED173" i="16"/>
  <c r="DI173" i="16"/>
  <c r="D173" i="16"/>
  <c r="FR173" i="16"/>
  <c r="ES173" i="16"/>
  <c r="DU173" i="16"/>
  <c r="CY173" i="16"/>
  <c r="C173" i="16"/>
  <c r="FM173" i="16"/>
  <c r="ER173" i="16"/>
  <c r="DS173" i="16"/>
  <c r="B174" i="16"/>
  <c r="CU173" i="16"/>
  <c r="AR172" i="16"/>
  <c r="AC172" i="16"/>
  <c r="AB172" i="16"/>
  <c r="AS172" i="16"/>
  <c r="JX173" i="16"/>
  <c r="JS173" i="16"/>
  <c r="JN173" i="16"/>
  <c r="JI173" i="16"/>
  <c r="JD173" i="16"/>
  <c r="IY173" i="16"/>
  <c r="IT173" i="16"/>
  <c r="IO173" i="16"/>
  <c r="IJ173" i="16"/>
  <c r="IE173" i="16"/>
  <c r="HZ173" i="16"/>
  <c r="HU173" i="16"/>
  <c r="HP173" i="16"/>
  <c r="HK173" i="16"/>
  <c r="HF173" i="16"/>
  <c r="HA173" i="16"/>
  <c r="GV173" i="16"/>
  <c r="GQ173" i="16"/>
  <c r="GL173" i="16"/>
  <c r="Q173" i="16"/>
  <c r="M173" i="16"/>
  <c r="JZ173" i="16"/>
  <c r="JT173" i="16"/>
  <c r="JL173" i="16"/>
  <c r="JF173" i="16"/>
  <c r="IZ173" i="16"/>
  <c r="IR173" i="16"/>
  <c r="IL173" i="16"/>
  <c r="IF173" i="16"/>
  <c r="HX173" i="16"/>
  <c r="HR173" i="16"/>
  <c r="HL173" i="16"/>
  <c r="HD173" i="16"/>
  <c r="GX173" i="16"/>
  <c r="GR173" i="16"/>
  <c r="L173" i="16"/>
  <c r="JU173" i="16"/>
  <c r="JK173" i="16"/>
  <c r="JB173" i="16"/>
  <c r="IU173" i="16"/>
  <c r="IK173" i="16"/>
  <c r="IB173" i="16"/>
  <c r="HS173" i="16"/>
  <c r="HI173" i="16"/>
  <c r="HB173" i="16"/>
  <c r="GS173" i="16"/>
  <c r="JY173" i="16"/>
  <c r="JO173" i="16"/>
  <c r="JA173" i="16"/>
  <c r="IP173" i="16"/>
  <c r="IC173" i="16"/>
  <c r="HQ173" i="16"/>
  <c r="HG173" i="16"/>
  <c r="GT173" i="16"/>
  <c r="KA173" i="16"/>
  <c r="JP173" i="16"/>
  <c r="JE173" i="16"/>
  <c r="IQ173" i="16"/>
  <c r="IG173" i="16"/>
  <c r="HV173" i="16"/>
  <c r="HH173" i="16"/>
  <c r="GW173" i="16"/>
  <c r="GM173" i="16"/>
  <c r="P173" i="16"/>
  <c r="JV173" i="16"/>
  <c r="IW173" i="16"/>
  <c r="IA173" i="16"/>
  <c r="HC173" i="16"/>
  <c r="K174" i="16"/>
  <c r="JQ173" i="16"/>
  <c r="IV173" i="16"/>
  <c r="HW173" i="16"/>
  <c r="GY173" i="16"/>
  <c r="JJ173" i="16"/>
  <c r="IM173" i="16"/>
  <c r="HN173" i="16"/>
  <c r="GO173" i="16"/>
  <c r="JG173" i="16"/>
  <c r="IH173" i="16"/>
  <c r="N173" i="16"/>
  <c r="AP173" i="16" s="1"/>
  <c r="HM173" i="16"/>
  <c r="GN173" i="16"/>
  <c r="I173" i="16" a="1"/>
  <c r="I173" i="16" s="1"/>
  <c r="I174" i="16" a="1"/>
  <c r="I174" i="16" s="1"/>
  <c r="U172" i="16"/>
  <c r="Z171" i="16"/>
  <c r="V171" i="16"/>
  <c r="W171" i="16"/>
  <c r="X171" i="16"/>
  <c r="Y171" i="16"/>
  <c r="BF173" i="16"/>
  <c r="Y172" i="16" l="1"/>
  <c r="X172" i="16"/>
  <c r="V172" i="16"/>
  <c r="W172" i="16"/>
  <c r="Z172" i="16"/>
  <c r="K175" i="16"/>
  <c r="KA174" i="16"/>
  <c r="JV174" i="16"/>
  <c r="JQ174" i="16"/>
  <c r="JL174" i="16"/>
  <c r="JG174" i="16"/>
  <c r="JB174" i="16"/>
  <c r="IW174" i="16"/>
  <c r="IR174" i="16"/>
  <c r="IM174" i="16"/>
  <c r="IH174" i="16"/>
  <c r="IC174" i="16"/>
  <c r="HX174" i="16"/>
  <c r="HS174" i="16"/>
  <c r="HN174" i="16"/>
  <c r="HI174" i="16"/>
  <c r="HD174" i="16"/>
  <c r="GY174" i="16"/>
  <c r="GT174" i="16"/>
  <c r="GO174" i="16"/>
  <c r="P174" i="16"/>
  <c r="L174" i="16"/>
  <c r="JU174" i="16"/>
  <c r="JO174" i="16"/>
  <c r="JI174" i="16"/>
  <c r="JA174" i="16"/>
  <c r="IU174" i="16"/>
  <c r="IO174" i="16"/>
  <c r="IG174" i="16"/>
  <c r="IA174" i="16"/>
  <c r="HU174" i="16"/>
  <c r="HM174" i="16"/>
  <c r="HG174" i="16"/>
  <c r="HA174" i="16"/>
  <c r="GS174" i="16"/>
  <c r="GM174" i="16"/>
  <c r="N174" i="16"/>
  <c r="AP174" i="16" s="1"/>
  <c r="JZ174" i="16"/>
  <c r="JS174" i="16"/>
  <c r="JJ174" i="16"/>
  <c r="IZ174" i="16"/>
  <c r="IQ174" i="16"/>
  <c r="IJ174" i="16"/>
  <c r="HZ174" i="16"/>
  <c r="HQ174" i="16"/>
  <c r="HH174" i="16"/>
  <c r="GX174" i="16"/>
  <c r="GQ174" i="16"/>
  <c r="JP174" i="16"/>
  <c r="JE174" i="16"/>
  <c r="IT174" i="16"/>
  <c r="IF174" i="16"/>
  <c r="HV174" i="16"/>
  <c r="HK174" i="16"/>
  <c r="GW174" i="16"/>
  <c r="GL174" i="16"/>
  <c r="JT174" i="16"/>
  <c r="JD174" i="16"/>
  <c r="IL174" i="16"/>
  <c r="HW174" i="16"/>
  <c r="HF174" i="16"/>
  <c r="GR174" i="16"/>
  <c r="JX174" i="16"/>
  <c r="JF174" i="16"/>
  <c r="IP174" i="16"/>
  <c r="IB174" i="16"/>
  <c r="HL174" i="16"/>
  <c r="GV174" i="16"/>
  <c r="Q174" i="16"/>
  <c r="IY174" i="16"/>
  <c r="HR174" i="16"/>
  <c r="GN174" i="16"/>
  <c r="M174" i="16"/>
  <c r="JY174" i="16"/>
  <c r="IV174" i="16"/>
  <c r="HP174" i="16"/>
  <c r="JN174" i="16"/>
  <c r="IK174" i="16"/>
  <c r="HC174" i="16"/>
  <c r="IE174" i="16"/>
  <c r="HB174" i="16"/>
  <c r="JK174" i="16"/>
  <c r="GH174" i="16"/>
  <c r="GC174" i="16"/>
  <c r="FX174" i="16"/>
  <c r="FS174" i="16"/>
  <c r="FN174" i="16"/>
  <c r="FI174" i="16"/>
  <c r="FD174" i="16"/>
  <c r="EY174" i="16"/>
  <c r="ET174" i="16"/>
  <c r="EO174" i="16"/>
  <c r="EJ174" i="16"/>
  <c r="EE174" i="16"/>
  <c r="DZ174" i="16"/>
  <c r="DU174" i="16"/>
  <c r="DP174" i="16"/>
  <c r="DK174" i="16"/>
  <c r="DF174" i="16"/>
  <c r="DA174" i="16"/>
  <c r="CV174" i="16"/>
  <c r="H174" i="16"/>
  <c r="D174" i="16"/>
  <c r="GE174" i="16"/>
  <c r="FW174" i="16"/>
  <c r="FQ174" i="16"/>
  <c r="FK174" i="16"/>
  <c r="FC174" i="16"/>
  <c r="EW174" i="16"/>
  <c r="EQ174" i="16"/>
  <c r="EI174" i="16"/>
  <c r="EC174" i="16"/>
  <c r="DW174" i="16"/>
  <c r="DO174" i="16"/>
  <c r="DI174" i="16"/>
  <c r="DC174" i="16"/>
  <c r="CU174" i="16"/>
  <c r="C174" i="16"/>
  <c r="GF174" i="16"/>
  <c r="FV174" i="16"/>
  <c r="FM174" i="16"/>
  <c r="FF174" i="16"/>
  <c r="EV174" i="16"/>
  <c r="EM174" i="16"/>
  <c r="FZ174" i="16"/>
  <c r="FL174" i="16"/>
  <c r="FA174" i="16"/>
  <c r="EN174" i="16"/>
  <c r="ED174" i="16"/>
  <c r="DT174" i="16"/>
  <c r="DM174" i="16"/>
  <c r="DD174" i="16"/>
  <c r="CT174" i="16"/>
  <c r="G174" i="16"/>
  <c r="GA174" i="16"/>
  <c r="FH174" i="16"/>
  <c r="ES174" i="16"/>
  <c r="EG174" i="16"/>
  <c r="DS174" i="16"/>
  <c r="DH174" i="16"/>
  <c r="CX174" i="16"/>
  <c r="F174" i="16"/>
  <c r="GB174" i="16"/>
  <c r="FP174" i="16"/>
  <c r="EX174" i="16"/>
  <c r="EH174" i="16"/>
  <c r="DX174" i="16"/>
  <c r="DJ174" i="16"/>
  <c r="CY174" i="16"/>
  <c r="B175" i="16"/>
  <c r="FG174" i="16"/>
  <c r="EB174" i="16"/>
  <c r="DE174" i="16"/>
  <c r="GG174" i="16"/>
  <c r="FB174" i="16"/>
  <c r="DY174" i="16"/>
  <c r="CZ174" i="16"/>
  <c r="FU174" i="16"/>
  <c r="ER174" i="16"/>
  <c r="DR174" i="16"/>
  <c r="CS174" i="16"/>
  <c r="E174" i="16"/>
  <c r="AH174" i="16" s="1"/>
  <c r="AX174" i="16" s="1"/>
  <c r="DN174" i="16"/>
  <c r="FR174" i="16"/>
  <c r="EL174" i="16"/>
  <c r="U173" i="16"/>
  <c r="AC173" i="16"/>
  <c r="AS173" i="16"/>
  <c r="AB173" i="16"/>
  <c r="AR173" i="16"/>
  <c r="U174" i="16" l="1"/>
  <c r="I175" i="16" a="1"/>
  <c r="I175" i="16" s="1"/>
  <c r="BF174" i="16"/>
  <c r="AB174" i="16"/>
  <c r="AC174" i="16"/>
  <c r="AS174" i="16"/>
  <c r="AR174" i="16"/>
  <c r="B176" i="16"/>
  <c r="GG175" i="16"/>
  <c r="GB175" i="16"/>
  <c r="FW175" i="16"/>
  <c r="FR175" i="16"/>
  <c r="FM175" i="16"/>
  <c r="FH175" i="16"/>
  <c r="FC175" i="16"/>
  <c r="EX175" i="16"/>
  <c r="ES175" i="16"/>
  <c r="EN175" i="16"/>
  <c r="EI175" i="16"/>
  <c r="ED175" i="16"/>
  <c r="DY175" i="16"/>
  <c r="DT175" i="16"/>
  <c r="DO175" i="16"/>
  <c r="DJ175" i="16"/>
  <c r="DE175" i="16"/>
  <c r="CZ175" i="16"/>
  <c r="CU175" i="16"/>
  <c r="G175" i="16"/>
  <c r="C175" i="16"/>
  <c r="GE175" i="16"/>
  <c r="FX175" i="16"/>
  <c r="FQ175" i="16"/>
  <c r="FK175" i="16"/>
  <c r="FD175" i="16"/>
  <c r="EW175" i="16"/>
  <c r="EQ175" i="16"/>
  <c r="EJ175" i="16"/>
  <c r="EC175" i="16"/>
  <c r="DW175" i="16"/>
  <c r="DP175" i="16"/>
  <c r="DI175" i="16"/>
  <c r="DC175" i="16"/>
  <c r="CV175" i="16"/>
  <c r="E175" i="16"/>
  <c r="AH175" i="16" s="1"/>
  <c r="AX175" i="16" s="1"/>
  <c r="GH175" i="16"/>
  <c r="FZ175" i="16"/>
  <c r="FP175" i="16"/>
  <c r="FG175" i="16"/>
  <c r="EY175" i="16"/>
  <c r="EO175" i="16"/>
  <c r="EG175" i="16"/>
  <c r="DX175" i="16"/>
  <c r="DN175" i="16"/>
  <c r="DF175" i="16"/>
  <c r="CX175" i="16"/>
  <c r="F175" i="16"/>
  <c r="GA175" i="16"/>
  <c r="FS175" i="16"/>
  <c r="FI175" i="16"/>
  <c r="FA175" i="16"/>
  <c r="ER175" i="16"/>
  <c r="EH175" i="16"/>
  <c r="DZ175" i="16"/>
  <c r="DR175" i="16"/>
  <c r="DH175" i="16"/>
  <c r="CY175" i="16"/>
  <c r="GC175" i="16"/>
  <c r="FL175" i="16"/>
  <c r="ET175" i="16"/>
  <c r="EB175" i="16"/>
  <c r="DK175" i="16"/>
  <c r="CS175" i="16"/>
  <c r="FN175" i="16"/>
  <c r="EM175" i="16"/>
  <c r="DS175" i="16"/>
  <c r="CT175" i="16"/>
  <c r="D175" i="16"/>
  <c r="FU175" i="16"/>
  <c r="EV175" i="16"/>
  <c r="DU175" i="16"/>
  <c r="DA175" i="16"/>
  <c r="H175" i="16"/>
  <c r="GF175" i="16"/>
  <c r="EL175" i="16"/>
  <c r="FV175" i="16"/>
  <c r="EE175" i="16"/>
  <c r="FF175" i="16"/>
  <c r="DM175" i="16"/>
  <c r="DD175" i="16"/>
  <c r="FB175" i="16"/>
  <c r="JZ175" i="16"/>
  <c r="JU175" i="16"/>
  <c r="JP175" i="16"/>
  <c r="JK175" i="16"/>
  <c r="JF175" i="16"/>
  <c r="JA175" i="16"/>
  <c r="IV175" i="16"/>
  <c r="IQ175" i="16"/>
  <c r="IL175" i="16"/>
  <c r="IG175" i="16"/>
  <c r="IB175" i="16"/>
  <c r="HW175" i="16"/>
  <c r="HR175" i="16"/>
  <c r="HM175" i="16"/>
  <c r="HH175" i="16"/>
  <c r="HC175" i="16"/>
  <c r="GX175" i="16"/>
  <c r="GS175" i="16"/>
  <c r="GN175" i="16"/>
  <c r="K176" i="16"/>
  <c r="JV175" i="16"/>
  <c r="JO175" i="16"/>
  <c r="JI175" i="16"/>
  <c r="JB175" i="16"/>
  <c r="IU175" i="16"/>
  <c r="IO175" i="16"/>
  <c r="IH175" i="16"/>
  <c r="IA175" i="16"/>
  <c r="HU175" i="16"/>
  <c r="HN175" i="16"/>
  <c r="HG175" i="16"/>
  <c r="HA175" i="16"/>
  <c r="GT175" i="16"/>
  <c r="GM175" i="16"/>
  <c r="JT175" i="16"/>
  <c r="JL175" i="16"/>
  <c r="JD175" i="16"/>
  <c r="IT175" i="16"/>
  <c r="IK175" i="16"/>
  <c r="IC175" i="16"/>
  <c r="HS175" i="16"/>
  <c r="HK175" i="16"/>
  <c r="HB175" i="16"/>
  <c r="GR175" i="16"/>
  <c r="Q175" i="16"/>
  <c r="M175" i="16"/>
  <c r="JX175" i="16"/>
  <c r="JN175" i="16"/>
  <c r="JE175" i="16"/>
  <c r="IW175" i="16"/>
  <c r="IM175" i="16"/>
  <c r="IE175" i="16"/>
  <c r="HV175" i="16"/>
  <c r="HL175" i="16"/>
  <c r="HD175" i="16"/>
  <c r="GV175" i="16"/>
  <c r="GL175" i="16"/>
  <c r="JQ175" i="16"/>
  <c r="IY175" i="16"/>
  <c r="IF175" i="16"/>
  <c r="HP175" i="16"/>
  <c r="GW175" i="16"/>
  <c r="P175" i="16"/>
  <c r="KA175" i="16"/>
  <c r="JG175" i="16"/>
  <c r="IJ175" i="16"/>
  <c r="HI175" i="16"/>
  <c r="GO175" i="16"/>
  <c r="JJ175" i="16"/>
  <c r="IP175" i="16"/>
  <c r="HQ175" i="16"/>
  <c r="GQ175" i="16"/>
  <c r="JY175" i="16"/>
  <c r="HZ175" i="16"/>
  <c r="JS175" i="16"/>
  <c r="HX175" i="16"/>
  <c r="IZ175" i="16"/>
  <c r="HF175" i="16"/>
  <c r="N175" i="16"/>
  <c r="AP175" i="16" s="1"/>
  <c r="IR175" i="16"/>
  <c r="GY175" i="16"/>
  <c r="L175" i="16"/>
  <c r="X173" i="16"/>
  <c r="Z173" i="16"/>
  <c r="Y173" i="16"/>
  <c r="W173" i="16"/>
  <c r="V173" i="16"/>
  <c r="JY176" i="16" l="1"/>
  <c r="JT176" i="16"/>
  <c r="JO176" i="16"/>
  <c r="JJ176" i="16"/>
  <c r="JE176" i="16"/>
  <c r="IZ176" i="16"/>
  <c r="IU176" i="16"/>
  <c r="IP176" i="16"/>
  <c r="IK176" i="16"/>
  <c r="IF176" i="16"/>
  <c r="IA176" i="16"/>
  <c r="HV176" i="16"/>
  <c r="HQ176" i="16"/>
  <c r="HL176" i="16"/>
  <c r="HG176" i="16"/>
  <c r="HB176" i="16"/>
  <c r="GW176" i="16"/>
  <c r="GR176" i="16"/>
  <c r="GM176" i="16"/>
  <c r="N176" i="16"/>
  <c r="AP176" i="16" s="1"/>
  <c r="JX176" i="16"/>
  <c r="JQ176" i="16"/>
  <c r="JK176" i="16"/>
  <c r="JD176" i="16"/>
  <c r="IW176" i="16"/>
  <c r="IQ176" i="16"/>
  <c r="IJ176" i="16"/>
  <c r="IC176" i="16"/>
  <c r="HW176" i="16"/>
  <c r="HP176" i="16"/>
  <c r="HI176" i="16"/>
  <c r="HC176" i="16"/>
  <c r="GV176" i="16"/>
  <c r="GO176" i="16"/>
  <c r="P176" i="16"/>
  <c r="K177" i="16"/>
  <c r="JZ176" i="16"/>
  <c r="JP176" i="16"/>
  <c r="JG176" i="16"/>
  <c r="IY176" i="16"/>
  <c r="IO176" i="16"/>
  <c r="IG176" i="16"/>
  <c r="HX176" i="16"/>
  <c r="HN176" i="16"/>
  <c r="HF176" i="16"/>
  <c r="GX176" i="16"/>
  <c r="GN176" i="16"/>
  <c r="KA176" i="16"/>
  <c r="JS176" i="16"/>
  <c r="JI176" i="16"/>
  <c r="JA176" i="16"/>
  <c r="IR176" i="16"/>
  <c r="IH176" i="16"/>
  <c r="HZ176" i="16"/>
  <c r="HR176" i="16"/>
  <c r="HH176" i="16"/>
  <c r="GY176" i="16"/>
  <c r="GQ176" i="16"/>
  <c r="Q176" i="16"/>
  <c r="JU176" i="16"/>
  <c r="JB176" i="16"/>
  <c r="IL176" i="16"/>
  <c r="HS176" i="16"/>
  <c r="HA176" i="16"/>
  <c r="JV176" i="16"/>
  <c r="IV176" i="16"/>
  <c r="IB176" i="16"/>
  <c r="HD176" i="16"/>
  <c r="JF176" i="16"/>
  <c r="IE176" i="16"/>
  <c r="HK176" i="16"/>
  <c r="GL176" i="16"/>
  <c r="JN176" i="16"/>
  <c r="HU176" i="16"/>
  <c r="JL176" i="16"/>
  <c r="HM176" i="16"/>
  <c r="IT176" i="16"/>
  <c r="GT176" i="16"/>
  <c r="M176" i="16"/>
  <c r="L176" i="16"/>
  <c r="I177" i="16" s="1" a="1"/>
  <c r="I177" i="16" s="1"/>
  <c r="IM176" i="16"/>
  <c r="GS176" i="16"/>
  <c r="BF175" i="16"/>
  <c r="AS175" i="16"/>
  <c r="AC175" i="16"/>
  <c r="AB175" i="16"/>
  <c r="AR175" i="16"/>
  <c r="U175" i="16"/>
  <c r="W174" i="16"/>
  <c r="V174" i="16"/>
  <c r="Y174" i="16"/>
  <c r="Z174" i="16"/>
  <c r="X174" i="16"/>
  <c r="GF176" i="16"/>
  <c r="GA176" i="16"/>
  <c r="FV176" i="16"/>
  <c r="FQ176" i="16"/>
  <c r="FL176" i="16"/>
  <c r="FG176" i="16"/>
  <c r="FB176" i="16"/>
  <c r="EW176" i="16"/>
  <c r="ER176" i="16"/>
  <c r="EM176" i="16"/>
  <c r="EH176" i="16"/>
  <c r="EC176" i="16"/>
  <c r="DX176" i="16"/>
  <c r="DS176" i="16"/>
  <c r="DN176" i="16"/>
  <c r="DI176" i="16"/>
  <c r="DD176" i="16"/>
  <c r="CY176" i="16"/>
  <c r="CT176" i="16"/>
  <c r="F176" i="16"/>
  <c r="B177" i="16"/>
  <c r="GG176" i="16"/>
  <c r="FZ176" i="16"/>
  <c r="FS176" i="16"/>
  <c r="FM176" i="16"/>
  <c r="FF176" i="16"/>
  <c r="EY176" i="16"/>
  <c r="ES176" i="16"/>
  <c r="EL176" i="16"/>
  <c r="EE176" i="16"/>
  <c r="DY176" i="16"/>
  <c r="DR176" i="16"/>
  <c r="DK176" i="16"/>
  <c r="DE176" i="16"/>
  <c r="CX176" i="16"/>
  <c r="E176" i="16"/>
  <c r="AH176" i="16" s="1"/>
  <c r="AX176" i="16" s="1"/>
  <c r="GC176" i="16"/>
  <c r="FU176" i="16"/>
  <c r="FK176" i="16"/>
  <c r="FC176" i="16"/>
  <c r="ET176" i="16"/>
  <c r="EJ176" i="16"/>
  <c r="EB176" i="16"/>
  <c r="DT176" i="16"/>
  <c r="DJ176" i="16"/>
  <c r="DA176" i="16"/>
  <c r="CS176" i="16"/>
  <c r="H176" i="16"/>
  <c r="GE176" i="16"/>
  <c r="FW176" i="16"/>
  <c r="FN176" i="16"/>
  <c r="FD176" i="16"/>
  <c r="EV176" i="16"/>
  <c r="EN176" i="16"/>
  <c r="ED176" i="16"/>
  <c r="DU176" i="16"/>
  <c r="DM176" i="16"/>
  <c r="DC176" i="16"/>
  <c r="CU176" i="16"/>
  <c r="C176" i="16"/>
  <c r="GH176" i="16"/>
  <c r="FP176" i="16"/>
  <c r="EX176" i="16"/>
  <c r="EG176" i="16"/>
  <c r="DO176" i="16"/>
  <c r="CV176" i="16"/>
  <c r="D176" i="16"/>
  <c r="GB176" i="16"/>
  <c r="FH176" i="16"/>
  <c r="EI176" i="16"/>
  <c r="DH176" i="16"/>
  <c r="FI176" i="16"/>
  <c r="EO176" i="16"/>
  <c r="DP176" i="16"/>
  <c r="G176" i="16"/>
  <c r="FX176" i="16"/>
  <c r="DZ176" i="16"/>
  <c r="FR176" i="16"/>
  <c r="DW176" i="16"/>
  <c r="FA176" i="16"/>
  <c r="DF176" i="16"/>
  <c r="CZ176" i="16"/>
  <c r="EQ176" i="16"/>
  <c r="I176" i="16" a="1"/>
  <c r="I176" i="16" s="1"/>
  <c r="AR176" i="16" l="1"/>
  <c r="AB176" i="16"/>
  <c r="AS176" i="16"/>
  <c r="AC176" i="16"/>
  <c r="U176" i="16"/>
  <c r="JX177" i="16"/>
  <c r="JS177" i="16"/>
  <c r="JN177" i="16"/>
  <c r="JI177" i="16"/>
  <c r="JD177" i="16"/>
  <c r="IY177" i="16"/>
  <c r="IT177" i="16"/>
  <c r="IO177" i="16"/>
  <c r="IJ177" i="16"/>
  <c r="IE177" i="16"/>
  <c r="HZ177" i="16"/>
  <c r="HU177" i="16"/>
  <c r="HP177" i="16"/>
  <c r="HK177" i="16"/>
  <c r="HF177" i="16"/>
  <c r="HA177" i="16"/>
  <c r="GV177" i="16"/>
  <c r="GQ177" i="16"/>
  <c r="GL177" i="16"/>
  <c r="Q177" i="16"/>
  <c r="M177" i="16"/>
  <c r="JZ177" i="16"/>
  <c r="JT177" i="16"/>
  <c r="JL177" i="16"/>
  <c r="JF177" i="16"/>
  <c r="IZ177" i="16"/>
  <c r="IR177" i="16"/>
  <c r="IL177" i="16"/>
  <c r="IF177" i="16"/>
  <c r="HX177" i="16"/>
  <c r="HR177" i="16"/>
  <c r="HL177" i="16"/>
  <c r="HD177" i="16"/>
  <c r="GX177" i="16"/>
  <c r="GR177" i="16"/>
  <c r="L177" i="16"/>
  <c r="K178" i="16"/>
  <c r="JY177" i="16"/>
  <c r="JP177" i="16"/>
  <c r="JG177" i="16"/>
  <c r="IW177" i="16"/>
  <c r="IP177" i="16"/>
  <c r="IG177" i="16"/>
  <c r="HW177" i="16"/>
  <c r="HN177" i="16"/>
  <c r="HG177" i="16"/>
  <c r="GW177" i="16"/>
  <c r="GN177" i="16"/>
  <c r="KA177" i="16"/>
  <c r="JQ177" i="16"/>
  <c r="JJ177" i="16"/>
  <c r="JA177" i="16"/>
  <c r="IQ177" i="16"/>
  <c r="IH177" i="16"/>
  <c r="IA177" i="16"/>
  <c r="HQ177" i="16"/>
  <c r="HH177" i="16"/>
  <c r="GY177" i="16"/>
  <c r="GO177" i="16"/>
  <c r="N177" i="16"/>
  <c r="AP177" i="16" s="1"/>
  <c r="JK177" i="16"/>
  <c r="IU177" i="16"/>
  <c r="IB177" i="16"/>
  <c r="HI177" i="16"/>
  <c r="GS177" i="16"/>
  <c r="JV177" i="16"/>
  <c r="JB177" i="16"/>
  <c r="IC177" i="16"/>
  <c r="HC177" i="16"/>
  <c r="JE177" i="16"/>
  <c r="IK177" i="16"/>
  <c r="HM177" i="16"/>
  <c r="GM177" i="16"/>
  <c r="P177" i="16"/>
  <c r="JU177" i="16"/>
  <c r="HV177" i="16"/>
  <c r="JO177" i="16"/>
  <c r="HS177" i="16"/>
  <c r="IV177" i="16"/>
  <c r="HB177" i="16"/>
  <c r="GT177" i="16"/>
  <c r="IM177" i="16"/>
  <c r="Z175" i="16"/>
  <c r="V175" i="16"/>
  <c r="W175" i="16"/>
  <c r="X175" i="16"/>
  <c r="Y175" i="16"/>
  <c r="GE177" i="16"/>
  <c r="FZ177" i="16"/>
  <c r="FU177" i="16"/>
  <c r="FP177" i="16"/>
  <c r="FK177" i="16"/>
  <c r="FF177" i="16"/>
  <c r="FA177" i="16"/>
  <c r="EV177" i="16"/>
  <c r="EQ177" i="16"/>
  <c r="EL177" i="16"/>
  <c r="EG177" i="16"/>
  <c r="EB177" i="16"/>
  <c r="DW177" i="16"/>
  <c r="DR177" i="16"/>
  <c r="DM177" i="16"/>
  <c r="DH177" i="16"/>
  <c r="DC177" i="16"/>
  <c r="CX177" i="16"/>
  <c r="CS177" i="16"/>
  <c r="E177" i="16"/>
  <c r="AH177" i="16" s="1"/>
  <c r="AX177" i="16" s="1"/>
  <c r="GH177" i="16"/>
  <c r="GB177" i="16"/>
  <c r="FV177" i="16"/>
  <c r="FN177" i="16"/>
  <c r="FH177" i="16"/>
  <c r="FB177" i="16"/>
  <c r="ET177" i="16"/>
  <c r="EN177" i="16"/>
  <c r="EH177" i="16"/>
  <c r="DZ177" i="16"/>
  <c r="DT177" i="16"/>
  <c r="DN177" i="16"/>
  <c r="DF177" i="16"/>
  <c r="CZ177" i="16"/>
  <c r="CT177" i="16"/>
  <c r="G177" i="16"/>
  <c r="GC177" i="16"/>
  <c r="FS177" i="16"/>
  <c r="FL177" i="16"/>
  <c r="FC177" i="16"/>
  <c r="ES177" i="16"/>
  <c r="EJ177" i="16"/>
  <c r="EC177" i="16"/>
  <c r="DS177" i="16"/>
  <c r="DJ177" i="16"/>
  <c r="DA177" i="16"/>
  <c r="D177" i="16"/>
  <c r="GF177" i="16"/>
  <c r="FW177" i="16"/>
  <c r="FM177" i="16"/>
  <c r="FD177" i="16"/>
  <c r="EW177" i="16"/>
  <c r="EM177" i="16"/>
  <c r="ED177" i="16"/>
  <c r="DU177" i="16"/>
  <c r="DK177" i="16"/>
  <c r="DD177" i="16"/>
  <c r="CU177" i="16"/>
  <c r="F177" i="16"/>
  <c r="FX177" i="16"/>
  <c r="FG177" i="16"/>
  <c r="EO177" i="16"/>
  <c r="DX177" i="16"/>
  <c r="DE177" i="16"/>
  <c r="H177" i="16"/>
  <c r="GG177" i="16"/>
  <c r="FI177" i="16"/>
  <c r="EI177" i="16"/>
  <c r="DO177" i="16"/>
  <c r="B178" i="16"/>
  <c r="FQ177" i="16"/>
  <c r="ER177" i="16"/>
  <c r="DP177" i="16"/>
  <c r="CV177" i="16"/>
  <c r="GA177" i="16"/>
  <c r="EE177" i="16"/>
  <c r="FR177" i="16"/>
  <c r="DY177" i="16"/>
  <c r="EY177" i="16"/>
  <c r="DI177" i="16"/>
  <c r="C177" i="16"/>
  <c r="EX177" i="16"/>
  <c r="CY177" i="16"/>
  <c r="BF177" i="16"/>
  <c r="BF176" i="16"/>
  <c r="AC177" i="16" l="1"/>
  <c r="AS177" i="16"/>
  <c r="AR177" i="16"/>
  <c r="AB177" i="16"/>
  <c r="K179" i="16"/>
  <c r="KA178" i="16"/>
  <c r="JV178" i="16"/>
  <c r="JQ178" i="16"/>
  <c r="JL178" i="16"/>
  <c r="JG178" i="16"/>
  <c r="JB178" i="16"/>
  <c r="IW178" i="16"/>
  <c r="IR178" i="16"/>
  <c r="IM178" i="16"/>
  <c r="IH178" i="16"/>
  <c r="IC178" i="16"/>
  <c r="HX178" i="16"/>
  <c r="HS178" i="16"/>
  <c r="HN178" i="16"/>
  <c r="HI178" i="16"/>
  <c r="HD178" i="16"/>
  <c r="GY178" i="16"/>
  <c r="GT178" i="16"/>
  <c r="GO178" i="16"/>
  <c r="P178" i="16"/>
  <c r="L178" i="16"/>
  <c r="BF178" i="16" s="1"/>
  <c r="JU178" i="16"/>
  <c r="JO178" i="16"/>
  <c r="JI178" i="16"/>
  <c r="JA178" i="16"/>
  <c r="IU178" i="16"/>
  <c r="IO178" i="16"/>
  <c r="IG178" i="16"/>
  <c r="IA178" i="16"/>
  <c r="HU178" i="16"/>
  <c r="HM178" i="16"/>
  <c r="HG178" i="16"/>
  <c r="HA178" i="16"/>
  <c r="GS178" i="16"/>
  <c r="GM178" i="16"/>
  <c r="N178" i="16"/>
  <c r="AP178" i="16" s="1"/>
  <c r="JX178" i="16"/>
  <c r="JN178" i="16"/>
  <c r="JE178" i="16"/>
  <c r="IV178" i="16"/>
  <c r="IL178" i="16"/>
  <c r="IE178" i="16"/>
  <c r="HV178" i="16"/>
  <c r="HL178" i="16"/>
  <c r="HC178" i="16"/>
  <c r="GV178" i="16"/>
  <c r="GL178" i="16"/>
  <c r="JY178" i="16"/>
  <c r="JP178" i="16"/>
  <c r="JF178" i="16"/>
  <c r="IY178" i="16"/>
  <c r="IP178" i="16"/>
  <c r="IF178" i="16"/>
  <c r="HW178" i="16"/>
  <c r="HP178" i="16"/>
  <c r="HF178" i="16"/>
  <c r="GW178" i="16"/>
  <c r="GN178" i="16"/>
  <c r="M178" i="16"/>
  <c r="JT178" i="16"/>
  <c r="JD178" i="16"/>
  <c r="IK178" i="16"/>
  <c r="HR178" i="16"/>
  <c r="HB178" i="16"/>
  <c r="JZ178" i="16"/>
  <c r="IZ178" i="16"/>
  <c r="IB178" i="16"/>
  <c r="HH178" i="16"/>
  <c r="JJ178" i="16"/>
  <c r="IJ178" i="16"/>
  <c r="HK178" i="16"/>
  <c r="GQ178" i="16"/>
  <c r="Q178" i="16"/>
  <c r="JS178" i="16"/>
  <c r="HZ178" i="16"/>
  <c r="JK178" i="16"/>
  <c r="HQ178" i="16"/>
  <c r="IT178" i="16"/>
  <c r="GX178" i="16"/>
  <c r="GR178" i="16"/>
  <c r="IQ178" i="16"/>
  <c r="Y176" i="16"/>
  <c r="X176" i="16"/>
  <c r="Z176" i="16"/>
  <c r="V176" i="16"/>
  <c r="W176" i="16"/>
  <c r="I179" i="16" a="1"/>
  <c r="I179" i="16" s="1"/>
  <c r="GH178" i="16"/>
  <c r="GC178" i="16"/>
  <c r="FX178" i="16"/>
  <c r="FS178" i="16"/>
  <c r="FN178" i="16"/>
  <c r="FI178" i="16"/>
  <c r="FD178" i="16"/>
  <c r="EY178" i="16"/>
  <c r="ET178" i="16"/>
  <c r="EO178" i="16"/>
  <c r="EJ178" i="16"/>
  <c r="EE178" i="16"/>
  <c r="DZ178" i="16"/>
  <c r="DU178" i="16"/>
  <c r="DP178" i="16"/>
  <c r="DK178" i="16"/>
  <c r="DF178" i="16"/>
  <c r="DA178" i="16"/>
  <c r="CV178" i="16"/>
  <c r="H178" i="16"/>
  <c r="D178" i="16"/>
  <c r="GE178" i="16"/>
  <c r="FW178" i="16"/>
  <c r="FQ178" i="16"/>
  <c r="FK178" i="16"/>
  <c r="FC178" i="16"/>
  <c r="EW178" i="16"/>
  <c r="EQ178" i="16"/>
  <c r="EI178" i="16"/>
  <c r="EC178" i="16"/>
  <c r="DW178" i="16"/>
  <c r="DO178" i="16"/>
  <c r="DI178" i="16"/>
  <c r="DC178" i="16"/>
  <c r="CU178" i="16"/>
  <c r="C178" i="16"/>
  <c r="B179" i="16"/>
  <c r="GA178" i="16"/>
  <c r="FR178" i="16"/>
  <c r="FH178" i="16"/>
  <c r="FA178" i="16"/>
  <c r="ER178" i="16"/>
  <c r="EH178" i="16"/>
  <c r="DY178" i="16"/>
  <c r="DR178" i="16"/>
  <c r="DH178" i="16"/>
  <c r="CY178" i="16"/>
  <c r="E178" i="16"/>
  <c r="AH178" i="16" s="1"/>
  <c r="AX178" i="16" s="1"/>
  <c r="GB178" i="16"/>
  <c r="FU178" i="16"/>
  <c r="FL178" i="16"/>
  <c r="FB178" i="16"/>
  <c r="ES178" i="16"/>
  <c r="EL178" i="16"/>
  <c r="EB178" i="16"/>
  <c r="DS178" i="16"/>
  <c r="DJ178" i="16"/>
  <c r="CZ178" i="16"/>
  <c r="CS178" i="16"/>
  <c r="F178" i="16"/>
  <c r="GG178" i="16"/>
  <c r="FP178" i="16"/>
  <c r="EX178" i="16"/>
  <c r="EG178" i="16"/>
  <c r="DN178" i="16"/>
  <c r="CX178" i="16"/>
  <c r="GF178" i="16"/>
  <c r="FG178" i="16"/>
  <c r="EM178" i="16"/>
  <c r="DM178" i="16"/>
  <c r="FM178" i="16"/>
  <c r="EN178" i="16"/>
  <c r="DT178" i="16"/>
  <c r="CT178" i="16"/>
  <c r="FZ178" i="16"/>
  <c r="ED178" i="16"/>
  <c r="FV178" i="16"/>
  <c r="DX178" i="16"/>
  <c r="FF178" i="16"/>
  <c r="DE178" i="16"/>
  <c r="EV178" i="16"/>
  <c r="DD178" i="16"/>
  <c r="G178" i="16"/>
  <c r="U177" i="16"/>
  <c r="I178" i="16" a="1"/>
  <c r="I178" i="16" s="1"/>
  <c r="U178" i="16" l="1"/>
  <c r="JZ179" i="16"/>
  <c r="JU179" i="16"/>
  <c r="JP179" i="16"/>
  <c r="JK179" i="16"/>
  <c r="JF179" i="16"/>
  <c r="JA179" i="16"/>
  <c r="IV179" i="16"/>
  <c r="IQ179" i="16"/>
  <c r="IL179" i="16"/>
  <c r="IG179" i="16"/>
  <c r="IB179" i="16"/>
  <c r="HW179" i="16"/>
  <c r="HR179" i="16"/>
  <c r="HM179" i="16"/>
  <c r="HH179" i="16"/>
  <c r="HC179" i="16"/>
  <c r="GX179" i="16"/>
  <c r="GS179" i="16"/>
  <c r="GN179" i="16"/>
  <c r="K180" i="16"/>
  <c r="JV179" i="16"/>
  <c r="JO179" i="16"/>
  <c r="JI179" i="16"/>
  <c r="JB179" i="16"/>
  <c r="IU179" i="16"/>
  <c r="IO179" i="16"/>
  <c r="IH179" i="16"/>
  <c r="IA179" i="16"/>
  <c r="HU179" i="16"/>
  <c r="HN179" i="16"/>
  <c r="HG179" i="16"/>
  <c r="HA179" i="16"/>
  <c r="GT179" i="16"/>
  <c r="GM179" i="16"/>
  <c r="JY179" i="16"/>
  <c r="JQ179" i="16"/>
  <c r="JG179" i="16"/>
  <c r="IY179" i="16"/>
  <c r="IP179" i="16"/>
  <c r="IF179" i="16"/>
  <c r="HX179" i="16"/>
  <c r="HP179" i="16"/>
  <c r="HF179" i="16"/>
  <c r="GW179" i="16"/>
  <c r="GO179" i="16"/>
  <c r="KA179" i="16"/>
  <c r="JS179" i="16"/>
  <c r="JJ179" i="16"/>
  <c r="IZ179" i="16"/>
  <c r="IR179" i="16"/>
  <c r="IJ179" i="16"/>
  <c r="HZ179" i="16"/>
  <c r="HQ179" i="16"/>
  <c r="HI179" i="16"/>
  <c r="GY179" i="16"/>
  <c r="GQ179" i="16"/>
  <c r="P179" i="16"/>
  <c r="L179" i="16"/>
  <c r="JX179" i="16"/>
  <c r="JE179" i="16"/>
  <c r="IM179" i="16"/>
  <c r="HV179" i="16"/>
  <c r="HD179" i="16"/>
  <c r="GL179" i="16"/>
  <c r="Q179" i="16"/>
  <c r="JT179" i="16"/>
  <c r="IW179" i="16"/>
  <c r="IC179" i="16"/>
  <c r="HB179" i="16"/>
  <c r="N179" i="16"/>
  <c r="AP179" i="16" s="1"/>
  <c r="JD179" i="16"/>
  <c r="IE179" i="16"/>
  <c r="HK179" i="16"/>
  <c r="JN179" i="16"/>
  <c r="HS179" i="16"/>
  <c r="JL179" i="16"/>
  <c r="HL179" i="16"/>
  <c r="IT179" i="16"/>
  <c r="GV179" i="16"/>
  <c r="M179" i="16"/>
  <c r="GR179" i="16"/>
  <c r="IK179" i="16"/>
  <c r="X177" i="16"/>
  <c r="Z177" i="16"/>
  <c r="V177" i="16"/>
  <c r="W177" i="16"/>
  <c r="Y177" i="16"/>
  <c r="B180" i="16"/>
  <c r="GG179" i="16"/>
  <c r="GB179" i="16"/>
  <c r="FW179" i="16"/>
  <c r="FR179" i="16"/>
  <c r="FM179" i="16"/>
  <c r="FH179" i="16"/>
  <c r="FC179" i="16"/>
  <c r="EX179" i="16"/>
  <c r="ES179" i="16"/>
  <c r="EN179" i="16"/>
  <c r="EI179" i="16"/>
  <c r="ED179" i="16"/>
  <c r="DY179" i="16"/>
  <c r="DT179" i="16"/>
  <c r="DO179" i="16"/>
  <c r="DJ179" i="16"/>
  <c r="DE179" i="16"/>
  <c r="CZ179" i="16"/>
  <c r="CU179" i="16"/>
  <c r="G179" i="16"/>
  <c r="C179" i="16"/>
  <c r="GE179" i="16"/>
  <c r="FX179" i="16"/>
  <c r="FQ179" i="16"/>
  <c r="FK179" i="16"/>
  <c r="FD179" i="16"/>
  <c r="EW179" i="16"/>
  <c r="EQ179" i="16"/>
  <c r="EJ179" i="16"/>
  <c r="EC179" i="16"/>
  <c r="DW179" i="16"/>
  <c r="DP179" i="16"/>
  <c r="DI179" i="16"/>
  <c r="DC179" i="16"/>
  <c r="CV179" i="16"/>
  <c r="E179" i="16"/>
  <c r="AH179" i="16" s="1"/>
  <c r="AX179" i="16" s="1"/>
  <c r="GC179" i="16"/>
  <c r="FU179" i="16"/>
  <c r="FL179" i="16"/>
  <c r="FB179" i="16"/>
  <c r="ET179" i="16"/>
  <c r="EL179" i="16"/>
  <c r="EB179" i="16"/>
  <c r="DS179" i="16"/>
  <c r="DK179" i="16"/>
  <c r="DA179" i="16"/>
  <c r="CS179" i="16"/>
  <c r="GF179" i="16"/>
  <c r="FV179" i="16"/>
  <c r="FN179" i="16"/>
  <c r="FF179" i="16"/>
  <c r="EV179" i="16"/>
  <c r="EM179" i="16"/>
  <c r="EE179" i="16"/>
  <c r="DU179" i="16"/>
  <c r="DM179" i="16"/>
  <c r="DD179" i="16"/>
  <c r="CT179" i="16"/>
  <c r="D179" i="16"/>
  <c r="FS179" i="16"/>
  <c r="FA179" i="16"/>
  <c r="EH179" i="16"/>
  <c r="DR179" i="16"/>
  <c r="CY179" i="16"/>
  <c r="H179" i="16"/>
  <c r="GA179" i="16"/>
  <c r="FG179" i="16"/>
  <c r="EG179" i="16"/>
  <c r="DH179" i="16"/>
  <c r="GH179" i="16"/>
  <c r="FI179" i="16"/>
  <c r="EO179" i="16"/>
  <c r="DN179" i="16"/>
  <c r="FZ179" i="16"/>
  <c r="DZ179" i="16"/>
  <c r="FP179" i="16"/>
  <c r="DX179" i="16"/>
  <c r="EY179" i="16"/>
  <c r="DF179" i="16"/>
  <c r="ER179" i="16"/>
  <c r="CX179" i="16"/>
  <c r="F179" i="16"/>
  <c r="AB178" i="16"/>
  <c r="AC178" i="16"/>
  <c r="AS178" i="16"/>
  <c r="AR178" i="16"/>
  <c r="BF179" i="16"/>
  <c r="JY180" i="16" l="1"/>
  <c r="JT180" i="16"/>
  <c r="JO180" i="16"/>
  <c r="JJ180" i="16"/>
  <c r="JE180" i="16"/>
  <c r="IZ180" i="16"/>
  <c r="IU180" i="16"/>
  <c r="IP180" i="16"/>
  <c r="IK180" i="16"/>
  <c r="IF180" i="16"/>
  <c r="IA180" i="16"/>
  <c r="HV180" i="16"/>
  <c r="HQ180" i="16"/>
  <c r="HL180" i="16"/>
  <c r="HG180" i="16"/>
  <c r="HB180" i="16"/>
  <c r="GW180" i="16"/>
  <c r="GR180" i="16"/>
  <c r="GM180" i="16"/>
  <c r="N180" i="16"/>
  <c r="AP180" i="16" s="1"/>
  <c r="JX180" i="16"/>
  <c r="JQ180" i="16"/>
  <c r="JK180" i="16"/>
  <c r="JD180" i="16"/>
  <c r="IW180" i="16"/>
  <c r="IQ180" i="16"/>
  <c r="IJ180" i="16"/>
  <c r="IC180" i="16"/>
  <c r="HW180" i="16"/>
  <c r="HP180" i="16"/>
  <c r="HI180" i="16"/>
  <c r="HC180" i="16"/>
  <c r="GV180" i="16"/>
  <c r="GO180" i="16"/>
  <c r="P180" i="16"/>
  <c r="JU180" i="16"/>
  <c r="JL180" i="16"/>
  <c r="JB180" i="16"/>
  <c r="IT180" i="16"/>
  <c r="IL180" i="16"/>
  <c r="IB180" i="16"/>
  <c r="HS180" i="16"/>
  <c r="HK180" i="16"/>
  <c r="HA180" i="16"/>
  <c r="GS180" i="16"/>
  <c r="L180" i="16"/>
  <c r="I181" i="16" s="1" a="1"/>
  <c r="I181" i="16" s="1"/>
  <c r="JV180" i="16"/>
  <c r="JN180" i="16"/>
  <c r="JF180" i="16"/>
  <c r="IV180" i="16"/>
  <c r="IM180" i="16"/>
  <c r="IE180" i="16"/>
  <c r="HU180" i="16"/>
  <c r="HM180" i="16"/>
  <c r="HD180" i="16"/>
  <c r="GT180" i="16"/>
  <c r="GL180" i="16"/>
  <c r="M180" i="16"/>
  <c r="K181" i="16"/>
  <c r="JZ180" i="16"/>
  <c r="JG180" i="16"/>
  <c r="IO180" i="16"/>
  <c r="HX180" i="16"/>
  <c r="HF180" i="16"/>
  <c r="GN180" i="16"/>
  <c r="JP180" i="16"/>
  <c r="IR180" i="16"/>
  <c r="HR180" i="16"/>
  <c r="GX180" i="16"/>
  <c r="JS180" i="16"/>
  <c r="IY180" i="16"/>
  <c r="HZ180" i="16"/>
  <c r="GY180" i="16"/>
  <c r="Q180" i="16"/>
  <c r="JA180" i="16"/>
  <c r="HH180" i="16"/>
  <c r="IH180" i="16"/>
  <c r="GQ180" i="16"/>
  <c r="KA180" i="16"/>
  <c r="IG180" i="16"/>
  <c r="JI180" i="16"/>
  <c r="HN180" i="16"/>
  <c r="GF180" i="16"/>
  <c r="GA180" i="16"/>
  <c r="FV180" i="16"/>
  <c r="FQ180" i="16"/>
  <c r="FL180" i="16"/>
  <c r="FG180" i="16"/>
  <c r="FB180" i="16"/>
  <c r="EW180" i="16"/>
  <c r="ER180" i="16"/>
  <c r="EM180" i="16"/>
  <c r="EH180" i="16"/>
  <c r="EC180" i="16"/>
  <c r="DX180" i="16"/>
  <c r="DS180" i="16"/>
  <c r="DN180" i="16"/>
  <c r="DI180" i="16"/>
  <c r="DD180" i="16"/>
  <c r="CY180" i="16"/>
  <c r="CT180" i="16"/>
  <c r="F180" i="16"/>
  <c r="B181" i="16"/>
  <c r="GG180" i="16"/>
  <c r="FZ180" i="16"/>
  <c r="FS180" i="16"/>
  <c r="FM180" i="16"/>
  <c r="FF180" i="16"/>
  <c r="EY180" i="16"/>
  <c r="ES180" i="16"/>
  <c r="EL180" i="16"/>
  <c r="EE180" i="16"/>
  <c r="DY180" i="16"/>
  <c r="DR180" i="16"/>
  <c r="DK180" i="16"/>
  <c r="DE180" i="16"/>
  <c r="CX180" i="16"/>
  <c r="E180" i="16"/>
  <c r="AH180" i="16" s="1"/>
  <c r="AX180" i="16" s="1"/>
  <c r="GH180" i="16"/>
  <c r="FX180" i="16"/>
  <c r="FP180" i="16"/>
  <c r="FH180" i="16"/>
  <c r="EX180" i="16"/>
  <c r="EO180" i="16"/>
  <c r="EG180" i="16"/>
  <c r="DW180" i="16"/>
  <c r="DO180" i="16"/>
  <c r="DF180" i="16"/>
  <c r="CV180" i="16"/>
  <c r="D180" i="16"/>
  <c r="GB180" i="16"/>
  <c r="FR180" i="16"/>
  <c r="FI180" i="16"/>
  <c r="FA180" i="16"/>
  <c r="EQ180" i="16"/>
  <c r="EI180" i="16"/>
  <c r="DZ180" i="16"/>
  <c r="DP180" i="16"/>
  <c r="DH180" i="16"/>
  <c r="CZ180" i="16"/>
  <c r="G180" i="16"/>
  <c r="FU180" i="16"/>
  <c r="FC180" i="16"/>
  <c r="EJ180" i="16"/>
  <c r="DT180" i="16"/>
  <c r="DA180" i="16"/>
  <c r="FW180" i="16"/>
  <c r="EV180" i="16"/>
  <c r="EB180" i="16"/>
  <c r="DC180" i="16"/>
  <c r="GC180" i="16"/>
  <c r="FD180" i="16"/>
  <c r="ED180" i="16"/>
  <c r="DJ180" i="16"/>
  <c r="FK180" i="16"/>
  <c r="DM180" i="16"/>
  <c r="ET180" i="16"/>
  <c r="CU180" i="16"/>
  <c r="GE180" i="16"/>
  <c r="EN180" i="16"/>
  <c r="CS180" i="16"/>
  <c r="H180" i="16"/>
  <c r="DU180" i="16"/>
  <c r="C180" i="16"/>
  <c r="FN180" i="16"/>
  <c r="W178" i="16"/>
  <c r="V178" i="16"/>
  <c r="X178" i="16"/>
  <c r="Y178" i="16"/>
  <c r="Z178" i="16"/>
  <c r="U179" i="16"/>
  <c r="AS179" i="16"/>
  <c r="AC179" i="16"/>
  <c r="AR179" i="16"/>
  <c r="AB179" i="16"/>
  <c r="I180" i="16" a="1"/>
  <c r="I180" i="16" s="1"/>
  <c r="BF180" i="16" l="1"/>
  <c r="Z179" i="16"/>
  <c r="V179" i="16"/>
  <c r="W179" i="16"/>
  <c r="X179" i="16"/>
  <c r="Y179" i="16"/>
  <c r="AR180" i="16"/>
  <c r="AC180" i="16"/>
  <c r="AS180" i="16"/>
  <c r="AB180" i="16"/>
  <c r="U180" i="16"/>
  <c r="GE181" i="16"/>
  <c r="FZ181" i="16"/>
  <c r="FU181" i="16"/>
  <c r="FP181" i="16"/>
  <c r="FK181" i="16"/>
  <c r="FF181" i="16"/>
  <c r="FA181" i="16"/>
  <c r="EV181" i="16"/>
  <c r="EQ181" i="16"/>
  <c r="EL181" i="16"/>
  <c r="EG181" i="16"/>
  <c r="EB181" i="16"/>
  <c r="DW181" i="16"/>
  <c r="DR181" i="16"/>
  <c r="DM181" i="16"/>
  <c r="DH181" i="16"/>
  <c r="DC181" i="16"/>
  <c r="CX181" i="16"/>
  <c r="CS181" i="16"/>
  <c r="E181" i="16"/>
  <c r="AH181" i="16" s="1"/>
  <c r="AX181" i="16" s="1"/>
  <c r="GH181" i="16"/>
  <c r="GB181" i="16"/>
  <c r="FV181" i="16"/>
  <c r="FN181" i="16"/>
  <c r="FH181" i="16"/>
  <c r="FB181" i="16"/>
  <c r="ET181" i="16"/>
  <c r="EN181" i="16"/>
  <c r="EH181" i="16"/>
  <c r="DZ181" i="16"/>
  <c r="DT181" i="16"/>
  <c r="DN181" i="16"/>
  <c r="DF181" i="16"/>
  <c r="CZ181" i="16"/>
  <c r="CT181" i="16"/>
  <c r="G181" i="16"/>
  <c r="GG181" i="16"/>
  <c r="FX181" i="16"/>
  <c r="FQ181" i="16"/>
  <c r="FG181" i="16"/>
  <c r="EX181" i="16"/>
  <c r="EO181" i="16"/>
  <c r="EE181" i="16"/>
  <c r="DX181" i="16"/>
  <c r="DO181" i="16"/>
  <c r="DE181" i="16"/>
  <c r="CV181" i="16"/>
  <c r="H181" i="16"/>
  <c r="B182" i="16"/>
  <c r="GA181" i="16"/>
  <c r="FR181" i="16"/>
  <c r="FI181" i="16"/>
  <c r="EY181" i="16"/>
  <c r="ER181" i="16"/>
  <c r="EI181" i="16"/>
  <c r="DY181" i="16"/>
  <c r="DP181" i="16"/>
  <c r="DI181" i="16"/>
  <c r="CY181" i="16"/>
  <c r="C181" i="16"/>
  <c r="FW181" i="16"/>
  <c r="FD181" i="16"/>
  <c r="EM181" i="16"/>
  <c r="DU181" i="16"/>
  <c r="DD181" i="16"/>
  <c r="FS181" i="16"/>
  <c r="EW181" i="16"/>
  <c r="EC181" i="16"/>
  <c r="DA181" i="16"/>
  <c r="F181" i="16"/>
  <c r="GC181" i="16"/>
  <c r="FC181" i="16"/>
  <c r="ED181" i="16"/>
  <c r="DJ181" i="16"/>
  <c r="ES181" i="16"/>
  <c r="CU181" i="16"/>
  <c r="GF181" i="16"/>
  <c r="EJ181" i="16"/>
  <c r="D181" i="16"/>
  <c r="FM181" i="16"/>
  <c r="DS181" i="16"/>
  <c r="FL181" i="16"/>
  <c r="DK181" i="16"/>
  <c r="JX181" i="16"/>
  <c r="JS181" i="16"/>
  <c r="JN181" i="16"/>
  <c r="JI181" i="16"/>
  <c r="JD181" i="16"/>
  <c r="IY181" i="16"/>
  <c r="IT181" i="16"/>
  <c r="IO181" i="16"/>
  <c r="IJ181" i="16"/>
  <c r="IE181" i="16"/>
  <c r="HZ181" i="16"/>
  <c r="HU181" i="16"/>
  <c r="HP181" i="16"/>
  <c r="HK181" i="16"/>
  <c r="HF181" i="16"/>
  <c r="HA181" i="16"/>
  <c r="GV181" i="16"/>
  <c r="GQ181" i="16"/>
  <c r="GL181" i="16"/>
  <c r="Q181" i="16"/>
  <c r="M181" i="16"/>
  <c r="JZ181" i="16"/>
  <c r="JT181" i="16"/>
  <c r="JL181" i="16"/>
  <c r="JF181" i="16"/>
  <c r="IZ181" i="16"/>
  <c r="IR181" i="16"/>
  <c r="IL181" i="16"/>
  <c r="IF181" i="16"/>
  <c r="HX181" i="16"/>
  <c r="HR181" i="16"/>
  <c r="HL181" i="16"/>
  <c r="HD181" i="16"/>
  <c r="GX181" i="16"/>
  <c r="GR181" i="16"/>
  <c r="L181" i="16"/>
  <c r="JU181" i="16"/>
  <c r="JK181" i="16"/>
  <c r="JB181" i="16"/>
  <c r="IU181" i="16"/>
  <c r="IK181" i="16"/>
  <c r="IB181" i="16"/>
  <c r="HS181" i="16"/>
  <c r="HI181" i="16"/>
  <c r="HB181" i="16"/>
  <c r="GS181" i="16"/>
  <c r="JV181" i="16"/>
  <c r="JO181" i="16"/>
  <c r="JE181" i="16"/>
  <c r="IV181" i="16"/>
  <c r="IM181" i="16"/>
  <c r="IC181" i="16"/>
  <c r="HV181" i="16"/>
  <c r="HM181" i="16"/>
  <c r="HC181" i="16"/>
  <c r="GT181" i="16"/>
  <c r="GM181" i="16"/>
  <c r="P181" i="16"/>
  <c r="KA181" i="16"/>
  <c r="JJ181" i="16"/>
  <c r="IQ181" i="16"/>
  <c r="IA181" i="16"/>
  <c r="HH181" i="16"/>
  <c r="GO181" i="16"/>
  <c r="JP181" i="16"/>
  <c r="IP181" i="16"/>
  <c r="HQ181" i="16"/>
  <c r="GW181" i="16"/>
  <c r="K182" i="16"/>
  <c r="JQ181" i="16"/>
  <c r="IW181" i="16"/>
  <c r="HW181" i="16"/>
  <c r="GY181" i="16"/>
  <c r="N181" i="16"/>
  <c r="AP181" i="16" s="1"/>
  <c r="IH181" i="16"/>
  <c r="GN181" i="16"/>
  <c r="JY181" i="16"/>
  <c r="IG181" i="16"/>
  <c r="JG181" i="16"/>
  <c r="HN181" i="16"/>
  <c r="HG181" i="16"/>
  <c r="JA181" i="16"/>
  <c r="I183" i="16" l="1" a="1"/>
  <c r="I183" i="16" s="1"/>
  <c r="I182" i="16" a="1"/>
  <c r="I182" i="16" s="1"/>
  <c r="U181" i="16"/>
  <c r="Y180" i="16"/>
  <c r="X180" i="16"/>
  <c r="V180" i="16"/>
  <c r="W180" i="16"/>
  <c r="Z180" i="16"/>
  <c r="BF181" i="16"/>
  <c r="AC181" i="16"/>
  <c r="AS181" i="16"/>
  <c r="AR181" i="16"/>
  <c r="AB181" i="16"/>
  <c r="K183" i="16"/>
  <c r="KA182" i="16"/>
  <c r="JV182" i="16"/>
  <c r="JQ182" i="16"/>
  <c r="JL182" i="16"/>
  <c r="JG182" i="16"/>
  <c r="JB182" i="16"/>
  <c r="IW182" i="16"/>
  <c r="IR182" i="16"/>
  <c r="IM182" i="16"/>
  <c r="IH182" i="16"/>
  <c r="IC182" i="16"/>
  <c r="HX182" i="16"/>
  <c r="HS182" i="16"/>
  <c r="HN182" i="16"/>
  <c r="HI182" i="16"/>
  <c r="HD182" i="16"/>
  <c r="GY182" i="16"/>
  <c r="GT182" i="16"/>
  <c r="GO182" i="16"/>
  <c r="P182" i="16"/>
  <c r="L182" i="16"/>
  <c r="BF182" i="16" s="1"/>
  <c r="JU182" i="16"/>
  <c r="JO182" i="16"/>
  <c r="JI182" i="16"/>
  <c r="JA182" i="16"/>
  <c r="IU182" i="16"/>
  <c r="IO182" i="16"/>
  <c r="IG182" i="16"/>
  <c r="IA182" i="16"/>
  <c r="HU182" i="16"/>
  <c r="HM182" i="16"/>
  <c r="HG182" i="16"/>
  <c r="HA182" i="16"/>
  <c r="GS182" i="16"/>
  <c r="GM182" i="16"/>
  <c r="N182" i="16"/>
  <c r="AP182" i="16" s="1"/>
  <c r="JZ182" i="16"/>
  <c r="JS182" i="16"/>
  <c r="JJ182" i="16"/>
  <c r="IZ182" i="16"/>
  <c r="IQ182" i="16"/>
  <c r="IJ182" i="16"/>
  <c r="HZ182" i="16"/>
  <c r="HQ182" i="16"/>
  <c r="HH182" i="16"/>
  <c r="GX182" i="16"/>
  <c r="GQ182" i="16"/>
  <c r="JT182" i="16"/>
  <c r="JK182" i="16"/>
  <c r="JD182" i="16"/>
  <c r="IT182" i="16"/>
  <c r="IK182" i="16"/>
  <c r="IB182" i="16"/>
  <c r="HR182" i="16"/>
  <c r="HK182" i="16"/>
  <c r="HB182" i="16"/>
  <c r="GR182" i="16"/>
  <c r="Q182" i="16"/>
  <c r="JY182" i="16"/>
  <c r="JF182" i="16"/>
  <c r="IP182" i="16"/>
  <c r="HW182" i="16"/>
  <c r="HF182" i="16"/>
  <c r="GN182" i="16"/>
  <c r="M182" i="16"/>
  <c r="JX182" i="16"/>
  <c r="IY182" i="16"/>
  <c r="IE182" i="16"/>
  <c r="HC182" i="16"/>
  <c r="JE182" i="16"/>
  <c r="IF182" i="16"/>
  <c r="HL182" i="16"/>
  <c r="GL182" i="16"/>
  <c r="JP182" i="16"/>
  <c r="HV182" i="16"/>
  <c r="JN182" i="16"/>
  <c r="HP182" i="16"/>
  <c r="IV182" i="16"/>
  <c r="GW182" i="16"/>
  <c r="IL182" i="16"/>
  <c r="GV182" i="16"/>
  <c r="GH182" i="16"/>
  <c r="GC182" i="16"/>
  <c r="FX182" i="16"/>
  <c r="FS182" i="16"/>
  <c r="FN182" i="16"/>
  <c r="FI182" i="16"/>
  <c r="FD182" i="16"/>
  <c r="EY182" i="16"/>
  <c r="ET182" i="16"/>
  <c r="EO182" i="16"/>
  <c r="EJ182" i="16"/>
  <c r="EE182" i="16"/>
  <c r="DZ182" i="16"/>
  <c r="DU182" i="16"/>
  <c r="DP182" i="16"/>
  <c r="DK182" i="16"/>
  <c r="DF182" i="16"/>
  <c r="DA182" i="16"/>
  <c r="CV182" i="16"/>
  <c r="H182" i="16"/>
  <c r="D182" i="16"/>
  <c r="GE182" i="16"/>
  <c r="FW182" i="16"/>
  <c r="FQ182" i="16"/>
  <c r="FK182" i="16"/>
  <c r="FC182" i="16"/>
  <c r="EW182" i="16"/>
  <c r="EQ182" i="16"/>
  <c r="EI182" i="16"/>
  <c r="EC182" i="16"/>
  <c r="DW182" i="16"/>
  <c r="DO182" i="16"/>
  <c r="DI182" i="16"/>
  <c r="DC182" i="16"/>
  <c r="CU182" i="16"/>
  <c r="C182" i="16"/>
  <c r="GF182" i="16"/>
  <c r="FV182" i="16"/>
  <c r="FM182" i="16"/>
  <c r="FF182" i="16"/>
  <c r="EV182" i="16"/>
  <c r="EM182" i="16"/>
  <c r="ED182" i="16"/>
  <c r="DT182" i="16"/>
  <c r="DM182" i="16"/>
  <c r="DD182" i="16"/>
  <c r="CT182" i="16"/>
  <c r="G182" i="16"/>
  <c r="GG182" i="16"/>
  <c r="FZ182" i="16"/>
  <c r="FP182" i="16"/>
  <c r="FG182" i="16"/>
  <c r="EX182" i="16"/>
  <c r="EN182" i="16"/>
  <c r="EG182" i="16"/>
  <c r="DX182" i="16"/>
  <c r="DN182" i="16"/>
  <c r="DE182" i="16"/>
  <c r="CX182" i="16"/>
  <c r="FU182" i="16"/>
  <c r="FB182" i="16"/>
  <c r="EL182" i="16"/>
  <c r="DS182" i="16"/>
  <c r="CZ182" i="16"/>
  <c r="GB182" i="16"/>
  <c r="FH182" i="16"/>
  <c r="EH182" i="16"/>
  <c r="DJ182" i="16"/>
  <c r="F182" i="16"/>
  <c r="B183" i="16"/>
  <c r="FL182" i="16"/>
  <c r="ER182" i="16"/>
  <c r="DR182" i="16"/>
  <c r="CS182" i="16"/>
  <c r="GA182" i="16"/>
  <c r="EB182" i="16"/>
  <c r="E182" i="16"/>
  <c r="AH182" i="16" s="1"/>
  <c r="AX182" i="16" s="1"/>
  <c r="FR182" i="16"/>
  <c r="DY182" i="16"/>
  <c r="FA182" i="16"/>
  <c r="DH182" i="16"/>
  <c r="CY182" i="16"/>
  <c r="ES182" i="16"/>
  <c r="U182" i="16" l="1"/>
  <c r="B184" i="16"/>
  <c r="GG183" i="16"/>
  <c r="GB183" i="16"/>
  <c r="FW183" i="16"/>
  <c r="FR183" i="16"/>
  <c r="FM183" i="16"/>
  <c r="FH183" i="16"/>
  <c r="FC183" i="16"/>
  <c r="EX183" i="16"/>
  <c r="ES183" i="16"/>
  <c r="EN183" i="16"/>
  <c r="EI183" i="16"/>
  <c r="ED183" i="16"/>
  <c r="DY183" i="16"/>
  <c r="DT183" i="16"/>
  <c r="DO183" i="16"/>
  <c r="DJ183" i="16"/>
  <c r="DE183" i="16"/>
  <c r="CZ183" i="16"/>
  <c r="CU183" i="16"/>
  <c r="G183" i="16"/>
  <c r="C183" i="16"/>
  <c r="GE183" i="16"/>
  <c r="FX183" i="16"/>
  <c r="FQ183" i="16"/>
  <c r="FK183" i="16"/>
  <c r="FD183" i="16"/>
  <c r="EW183" i="16"/>
  <c r="EQ183" i="16"/>
  <c r="EJ183" i="16"/>
  <c r="EC183" i="16"/>
  <c r="DW183" i="16"/>
  <c r="DP183" i="16"/>
  <c r="DI183" i="16"/>
  <c r="DC183" i="16"/>
  <c r="CV183" i="16"/>
  <c r="E183" i="16"/>
  <c r="AH183" i="16" s="1"/>
  <c r="AX183" i="16" s="1"/>
  <c r="GH183" i="16"/>
  <c r="FZ183" i="16"/>
  <c r="FP183" i="16"/>
  <c r="FG183" i="16"/>
  <c r="EY183" i="16"/>
  <c r="EO183" i="16"/>
  <c r="EG183" i="16"/>
  <c r="DX183" i="16"/>
  <c r="DN183" i="16"/>
  <c r="DF183" i="16"/>
  <c r="CX183" i="16"/>
  <c r="GF183" i="16"/>
  <c r="FU183" i="16"/>
  <c r="FI183" i="16"/>
  <c r="EV183" i="16"/>
  <c r="EL183" i="16"/>
  <c r="DZ183" i="16"/>
  <c r="DM183" i="16"/>
  <c r="DA183" i="16"/>
  <c r="F183" i="16"/>
  <c r="FV183" i="16"/>
  <c r="FL183" i="16"/>
  <c r="FA183" i="16"/>
  <c r="EM183" i="16"/>
  <c r="EB183" i="16"/>
  <c r="DR183" i="16"/>
  <c r="DD183" i="16"/>
  <c r="CS183" i="16"/>
  <c r="H183" i="16"/>
  <c r="GA183" i="16"/>
  <c r="FB183" i="16"/>
  <c r="EE183" i="16"/>
  <c r="DH183" i="16"/>
  <c r="FS183" i="16"/>
  <c r="ER183" i="16"/>
  <c r="DK183" i="16"/>
  <c r="GC183" i="16"/>
  <c r="ET183" i="16"/>
  <c r="DS183" i="16"/>
  <c r="DU183" i="16"/>
  <c r="FN183" i="16"/>
  <c r="CY183" i="16"/>
  <c r="FF183" i="16"/>
  <c r="CT183" i="16"/>
  <c r="D183" i="16"/>
  <c r="EH183" i="16"/>
  <c r="X181" i="16"/>
  <c r="Z181" i="16"/>
  <c r="Y181" i="16"/>
  <c r="W181" i="16"/>
  <c r="V181" i="16"/>
  <c r="AB182" i="16"/>
  <c r="AC182" i="16"/>
  <c r="AR182" i="16"/>
  <c r="AS182" i="16"/>
  <c r="JZ183" i="16"/>
  <c r="JU183" i="16"/>
  <c r="JP183" i="16"/>
  <c r="JK183" i="16"/>
  <c r="JF183" i="16"/>
  <c r="JA183" i="16"/>
  <c r="IV183" i="16"/>
  <c r="IQ183" i="16"/>
  <c r="IL183" i="16"/>
  <c r="IG183" i="16"/>
  <c r="IB183" i="16"/>
  <c r="HW183" i="16"/>
  <c r="HR183" i="16"/>
  <c r="HM183" i="16"/>
  <c r="HH183" i="16"/>
  <c r="HC183" i="16"/>
  <c r="GX183" i="16"/>
  <c r="GS183" i="16"/>
  <c r="GN183" i="16"/>
  <c r="K184" i="16"/>
  <c r="JV183" i="16"/>
  <c r="JO183" i="16"/>
  <c r="JI183" i="16"/>
  <c r="JB183" i="16"/>
  <c r="IU183" i="16"/>
  <c r="IO183" i="16"/>
  <c r="IH183" i="16"/>
  <c r="IA183" i="16"/>
  <c r="HU183" i="16"/>
  <c r="HN183" i="16"/>
  <c r="HG183" i="16"/>
  <c r="HA183" i="16"/>
  <c r="GT183" i="16"/>
  <c r="GM183" i="16"/>
  <c r="JT183" i="16"/>
  <c r="JL183" i="16"/>
  <c r="JD183" i="16"/>
  <c r="IT183" i="16"/>
  <c r="IK183" i="16"/>
  <c r="IC183" i="16"/>
  <c r="HS183" i="16"/>
  <c r="HK183" i="16"/>
  <c r="HB183" i="16"/>
  <c r="GR183" i="16"/>
  <c r="JY183" i="16"/>
  <c r="JN183" i="16"/>
  <c r="IZ183" i="16"/>
  <c r="IP183" i="16"/>
  <c r="IE183" i="16"/>
  <c r="HQ183" i="16"/>
  <c r="HF183" i="16"/>
  <c r="GV183" i="16"/>
  <c r="Q183" i="16"/>
  <c r="M183" i="16"/>
  <c r="KA183" i="16"/>
  <c r="JQ183" i="16"/>
  <c r="JE183" i="16"/>
  <c r="IR183" i="16"/>
  <c r="IF183" i="16"/>
  <c r="HV183" i="16"/>
  <c r="HI183" i="16"/>
  <c r="GW183" i="16"/>
  <c r="GL183" i="16"/>
  <c r="N183" i="16"/>
  <c r="AP183" i="16" s="1"/>
  <c r="JS183" i="16"/>
  <c r="IW183" i="16"/>
  <c r="HX183" i="16"/>
  <c r="GY183" i="16"/>
  <c r="L183" i="16"/>
  <c r="I184" i="16" s="1" a="1"/>
  <c r="I184" i="16" s="1"/>
  <c r="JJ183" i="16"/>
  <c r="IJ183" i="16"/>
  <c r="HD183" i="16"/>
  <c r="JX183" i="16"/>
  <c r="IM183" i="16"/>
  <c r="HL183" i="16"/>
  <c r="P183" i="16"/>
  <c r="IY183" i="16"/>
  <c r="GO183" i="16"/>
  <c r="HZ183" i="16"/>
  <c r="HP183" i="16"/>
  <c r="JG183" i="16"/>
  <c r="GQ183" i="16"/>
  <c r="U183" i="16" l="1"/>
  <c r="K185" i="16"/>
  <c r="KA184" i="16"/>
  <c r="JV184" i="16"/>
  <c r="JQ184" i="16"/>
  <c r="JL184" i="16"/>
  <c r="JG184" i="16"/>
  <c r="JB184" i="16"/>
  <c r="IW184" i="16"/>
  <c r="IR184" i="16"/>
  <c r="IM184" i="16"/>
  <c r="IH184" i="16"/>
  <c r="IC184" i="16"/>
  <c r="HX184" i="16"/>
  <c r="HS184" i="16"/>
  <c r="HN184" i="16"/>
  <c r="HI184" i="16"/>
  <c r="HD184" i="16"/>
  <c r="GY184" i="16"/>
  <c r="GT184" i="16"/>
  <c r="GO184" i="16"/>
  <c r="JX184" i="16"/>
  <c r="JP184" i="16"/>
  <c r="JJ184" i="16"/>
  <c r="JD184" i="16"/>
  <c r="IV184" i="16"/>
  <c r="IP184" i="16"/>
  <c r="IJ184" i="16"/>
  <c r="IB184" i="16"/>
  <c r="HV184" i="16"/>
  <c r="HP184" i="16"/>
  <c r="HH184" i="16"/>
  <c r="HB184" i="16"/>
  <c r="GV184" i="16"/>
  <c r="GN184" i="16"/>
  <c r="N184" i="16"/>
  <c r="AP184" i="16" s="1"/>
  <c r="JY184" i="16"/>
  <c r="JO184" i="16"/>
  <c r="JF184" i="16"/>
  <c r="IY184" i="16"/>
  <c r="IO184" i="16"/>
  <c r="IF184" i="16"/>
  <c r="HW184" i="16"/>
  <c r="HM184" i="16"/>
  <c r="HF184" i="16"/>
  <c r="GW184" i="16"/>
  <c r="GM184" i="16"/>
  <c r="P184" i="16"/>
  <c r="JU184" i="16"/>
  <c r="JK184" i="16"/>
  <c r="IZ184" i="16"/>
  <c r="IL184" i="16"/>
  <c r="IA184" i="16"/>
  <c r="HQ184" i="16"/>
  <c r="HC184" i="16"/>
  <c r="GR184" i="16"/>
  <c r="JZ184" i="16"/>
  <c r="JN184" i="16"/>
  <c r="JA184" i="16"/>
  <c r="IQ184" i="16"/>
  <c r="IE184" i="16"/>
  <c r="HR184" i="16"/>
  <c r="HG184" i="16"/>
  <c r="GS184" i="16"/>
  <c r="Q184" i="16"/>
  <c r="JT184" i="16"/>
  <c r="IU184" i="16"/>
  <c r="HZ184" i="16"/>
  <c r="HA184" i="16"/>
  <c r="JE184" i="16"/>
  <c r="IG184" i="16"/>
  <c r="HK184" i="16"/>
  <c r="GL184" i="16"/>
  <c r="L184" i="16"/>
  <c r="BF184" i="16" s="1"/>
  <c r="IK184" i="16"/>
  <c r="GQ184" i="16"/>
  <c r="M184" i="16"/>
  <c r="IT184" i="16"/>
  <c r="JI184" i="16"/>
  <c r="GX184" i="16"/>
  <c r="JS184" i="16"/>
  <c r="HU184" i="16"/>
  <c r="HL184" i="16"/>
  <c r="GH184" i="16"/>
  <c r="GC184" i="16"/>
  <c r="FX184" i="16"/>
  <c r="FS184" i="16"/>
  <c r="FN184" i="16"/>
  <c r="FI184" i="16"/>
  <c r="FD184" i="16"/>
  <c r="EY184" i="16"/>
  <c r="ET184" i="16"/>
  <c r="GF184" i="16"/>
  <c r="FZ184" i="16"/>
  <c r="FR184" i="16"/>
  <c r="FL184" i="16"/>
  <c r="FF184" i="16"/>
  <c r="EX184" i="16"/>
  <c r="ER184" i="16"/>
  <c r="EM184" i="16"/>
  <c r="EH184" i="16"/>
  <c r="EC184" i="16"/>
  <c r="DX184" i="16"/>
  <c r="DS184" i="16"/>
  <c r="DN184" i="16"/>
  <c r="DI184" i="16"/>
  <c r="DD184" i="16"/>
  <c r="CY184" i="16"/>
  <c r="CT184" i="16"/>
  <c r="F184" i="16"/>
  <c r="GB184" i="16"/>
  <c r="FU184" i="16"/>
  <c r="FK184" i="16"/>
  <c r="FB184" i="16"/>
  <c r="ES184" i="16"/>
  <c r="EL184" i="16"/>
  <c r="EE184" i="16"/>
  <c r="DY184" i="16"/>
  <c r="DR184" i="16"/>
  <c r="DK184" i="16"/>
  <c r="DE184" i="16"/>
  <c r="CX184" i="16"/>
  <c r="E184" i="16"/>
  <c r="AH184" i="16" s="1"/>
  <c r="AX184" i="16" s="1"/>
  <c r="GE184" i="16"/>
  <c r="FQ184" i="16"/>
  <c r="FG184" i="16"/>
  <c r="EV184" i="16"/>
  <c r="EJ184" i="16"/>
  <c r="EB184" i="16"/>
  <c r="DT184" i="16"/>
  <c r="DJ184" i="16"/>
  <c r="DA184" i="16"/>
  <c r="CS184" i="16"/>
  <c r="H184" i="16"/>
  <c r="GG184" i="16"/>
  <c r="FV184" i="16"/>
  <c r="FH184" i="16"/>
  <c r="EW184" i="16"/>
  <c r="EN184" i="16"/>
  <c r="ED184" i="16"/>
  <c r="DU184" i="16"/>
  <c r="DM184" i="16"/>
  <c r="DC184" i="16"/>
  <c r="CU184" i="16"/>
  <c r="GA184" i="16"/>
  <c r="FC184" i="16"/>
  <c r="EI184" i="16"/>
  <c r="DP184" i="16"/>
  <c r="CZ184" i="16"/>
  <c r="G184" i="16"/>
  <c r="FM184" i="16"/>
  <c r="EO184" i="16"/>
  <c r="DW184" i="16"/>
  <c r="DF184" i="16"/>
  <c r="B185" i="16"/>
  <c r="EQ184" i="16"/>
  <c r="DH184" i="16"/>
  <c r="FW184" i="16"/>
  <c r="DZ184" i="16"/>
  <c r="EG184" i="16"/>
  <c r="FP184" i="16"/>
  <c r="FA184" i="16"/>
  <c r="D184" i="16"/>
  <c r="DO184" i="16"/>
  <c r="C184" i="16"/>
  <c r="CV184" i="16"/>
  <c r="AS183" i="16"/>
  <c r="AC183" i="16"/>
  <c r="AB183" i="16"/>
  <c r="AR183" i="16"/>
  <c r="W182" i="16"/>
  <c r="V182" i="16"/>
  <c r="Y182" i="16"/>
  <c r="Z182" i="16"/>
  <c r="X182" i="16"/>
  <c r="BF183" i="16"/>
  <c r="Z183" i="16" l="1"/>
  <c r="V183" i="16"/>
  <c r="W183" i="16"/>
  <c r="Y183" i="16"/>
  <c r="X183" i="16"/>
  <c r="I185" i="16" a="1"/>
  <c r="I185" i="16" s="1"/>
  <c r="JZ185" i="16"/>
  <c r="JU185" i="16"/>
  <c r="JP185" i="16"/>
  <c r="JK185" i="16"/>
  <c r="JF185" i="16"/>
  <c r="JA185" i="16"/>
  <c r="IV185" i="16"/>
  <c r="IQ185" i="16"/>
  <c r="IL185" i="16"/>
  <c r="IG185" i="16"/>
  <c r="IB185" i="16"/>
  <c r="HW185" i="16"/>
  <c r="HR185" i="16"/>
  <c r="HM185" i="16"/>
  <c r="HH185" i="16"/>
  <c r="HC185" i="16"/>
  <c r="GX185" i="16"/>
  <c r="GS185" i="16"/>
  <c r="GN185" i="16"/>
  <c r="JX185" i="16"/>
  <c r="JQ185" i="16"/>
  <c r="JJ185" i="16"/>
  <c r="JD185" i="16"/>
  <c r="IW185" i="16"/>
  <c r="IP185" i="16"/>
  <c r="IJ185" i="16"/>
  <c r="IC185" i="16"/>
  <c r="HV185" i="16"/>
  <c r="HP185" i="16"/>
  <c r="HI185" i="16"/>
  <c r="HB185" i="16"/>
  <c r="GV185" i="16"/>
  <c r="GO185" i="16"/>
  <c r="P185" i="16"/>
  <c r="L185" i="16"/>
  <c r="KA185" i="16"/>
  <c r="JS185" i="16"/>
  <c r="JI185" i="16"/>
  <c r="IZ185" i="16"/>
  <c r="IR185" i="16"/>
  <c r="IH185" i="16"/>
  <c r="HZ185" i="16"/>
  <c r="HQ185" i="16"/>
  <c r="HG185" i="16"/>
  <c r="GY185" i="16"/>
  <c r="GQ185" i="16"/>
  <c r="Q185" i="16"/>
  <c r="JO185" i="16"/>
  <c r="JE185" i="16"/>
  <c r="IT185" i="16"/>
  <c r="IF185" i="16"/>
  <c r="HU185" i="16"/>
  <c r="HK185" i="16"/>
  <c r="GW185" i="16"/>
  <c r="GL185" i="16"/>
  <c r="N185" i="16"/>
  <c r="AP185" i="16" s="1"/>
  <c r="K186" i="16"/>
  <c r="JT185" i="16"/>
  <c r="JG185" i="16"/>
  <c r="IU185" i="16"/>
  <c r="IK185" i="16"/>
  <c r="HX185" i="16"/>
  <c r="HL185" i="16"/>
  <c r="HA185" i="16"/>
  <c r="GM185" i="16"/>
  <c r="JY185" i="16"/>
  <c r="JB185" i="16"/>
  <c r="IE185" i="16"/>
  <c r="HF185" i="16"/>
  <c r="M185" i="16"/>
  <c r="JL185" i="16"/>
  <c r="IM185" i="16"/>
  <c r="HN185" i="16"/>
  <c r="GR185" i="16"/>
  <c r="JV185" i="16"/>
  <c r="IA185" i="16"/>
  <c r="IO185" i="16"/>
  <c r="GT185" i="16"/>
  <c r="HS185" i="16"/>
  <c r="IY185" i="16"/>
  <c r="JN185" i="16"/>
  <c r="HD185" i="16"/>
  <c r="U184" i="16"/>
  <c r="AR184" i="16"/>
  <c r="AB184" i="16"/>
  <c r="AS184" i="16"/>
  <c r="AC184" i="16"/>
  <c r="B186" i="16"/>
  <c r="GG185" i="16"/>
  <c r="GB185" i="16"/>
  <c r="FW185" i="16"/>
  <c r="FR185" i="16"/>
  <c r="FM185" i="16"/>
  <c r="FH185" i="16"/>
  <c r="FC185" i="16"/>
  <c r="EX185" i="16"/>
  <c r="ES185" i="16"/>
  <c r="EN185" i="16"/>
  <c r="EI185" i="16"/>
  <c r="ED185" i="16"/>
  <c r="DY185" i="16"/>
  <c r="DT185" i="16"/>
  <c r="DO185" i="16"/>
  <c r="DJ185" i="16"/>
  <c r="DE185" i="16"/>
  <c r="CZ185" i="16"/>
  <c r="CU185" i="16"/>
  <c r="G185" i="16"/>
  <c r="C185" i="16"/>
  <c r="GF185" i="16"/>
  <c r="FZ185" i="16"/>
  <c r="FS185" i="16"/>
  <c r="FL185" i="16"/>
  <c r="FF185" i="16"/>
  <c r="EY185" i="16"/>
  <c r="ER185" i="16"/>
  <c r="EL185" i="16"/>
  <c r="EE185" i="16"/>
  <c r="DX185" i="16"/>
  <c r="DR185" i="16"/>
  <c r="DK185" i="16"/>
  <c r="DD185" i="16"/>
  <c r="CX185" i="16"/>
  <c r="F185" i="16"/>
  <c r="GE185" i="16"/>
  <c r="FV185" i="16"/>
  <c r="FN185" i="16"/>
  <c r="FD185" i="16"/>
  <c r="EV185" i="16"/>
  <c r="EM185" i="16"/>
  <c r="EC185" i="16"/>
  <c r="DU185" i="16"/>
  <c r="DM185" i="16"/>
  <c r="DC185" i="16"/>
  <c r="CT185" i="16"/>
  <c r="D185" i="16"/>
  <c r="FX185" i="16"/>
  <c r="FK185" i="16"/>
  <c r="FA185" i="16"/>
  <c r="EO185" i="16"/>
  <c r="EB185" i="16"/>
  <c r="DP185" i="16"/>
  <c r="DF185" i="16"/>
  <c r="CS185" i="16"/>
  <c r="E185" i="16"/>
  <c r="AH185" i="16" s="1"/>
  <c r="AX185" i="16" s="1"/>
  <c r="GA185" i="16"/>
  <c r="FP185" i="16"/>
  <c r="FB185" i="16"/>
  <c r="EQ185" i="16"/>
  <c r="EG185" i="16"/>
  <c r="DS185" i="16"/>
  <c r="DH185" i="16"/>
  <c r="CV185" i="16"/>
  <c r="H185" i="16"/>
  <c r="GH185" i="16"/>
  <c r="FI185" i="16"/>
  <c r="EJ185" i="16"/>
  <c r="DN185" i="16"/>
  <c r="FQ185" i="16"/>
  <c r="ET185" i="16"/>
  <c r="DW185" i="16"/>
  <c r="CY185" i="16"/>
  <c r="GC185" i="16"/>
  <c r="EH185" i="16"/>
  <c r="EW185" i="16"/>
  <c r="DA185" i="16"/>
  <c r="DZ185" i="16"/>
  <c r="FG185" i="16"/>
  <c r="FU185" i="16"/>
  <c r="DI185" i="16"/>
  <c r="BF185" i="16"/>
  <c r="JY186" i="16" l="1"/>
  <c r="JT186" i="16"/>
  <c r="JO186" i="16"/>
  <c r="JJ186" i="16"/>
  <c r="JE186" i="16"/>
  <c r="IZ186" i="16"/>
  <c r="IU186" i="16"/>
  <c r="IP186" i="16"/>
  <c r="IK186" i="16"/>
  <c r="IF186" i="16"/>
  <c r="IA186" i="16"/>
  <c r="HV186" i="16"/>
  <c r="HQ186" i="16"/>
  <c r="HL186" i="16"/>
  <c r="HG186" i="16"/>
  <c r="HB186" i="16"/>
  <c r="GW186" i="16"/>
  <c r="GR186" i="16"/>
  <c r="GM186" i="16"/>
  <c r="N186" i="16"/>
  <c r="AP186" i="16" s="1"/>
  <c r="JZ186" i="16"/>
  <c r="JS186" i="16"/>
  <c r="JL186" i="16"/>
  <c r="JF186" i="16"/>
  <c r="IY186" i="16"/>
  <c r="IR186" i="16"/>
  <c r="IL186" i="16"/>
  <c r="IE186" i="16"/>
  <c r="HX186" i="16"/>
  <c r="HR186" i="16"/>
  <c r="HK186" i="16"/>
  <c r="HD186" i="16"/>
  <c r="GX186" i="16"/>
  <c r="GQ186" i="16"/>
  <c r="Q186" i="16"/>
  <c r="L186" i="16"/>
  <c r="K187" i="16"/>
  <c r="JX186" i="16"/>
  <c r="JP186" i="16"/>
  <c r="JG186" i="16"/>
  <c r="IW186" i="16"/>
  <c r="IO186" i="16"/>
  <c r="IG186" i="16"/>
  <c r="HW186" i="16"/>
  <c r="HN186" i="16"/>
  <c r="HF186" i="16"/>
  <c r="GV186" i="16"/>
  <c r="GN186" i="16"/>
  <c r="M186" i="16"/>
  <c r="JV186" i="16"/>
  <c r="JK186" i="16"/>
  <c r="JA186" i="16"/>
  <c r="IM186" i="16"/>
  <c r="IB186" i="16"/>
  <c r="HP186" i="16"/>
  <c r="HC186" i="16"/>
  <c r="GS186" i="16"/>
  <c r="P186" i="16"/>
  <c r="KA186" i="16"/>
  <c r="JI186" i="16"/>
  <c r="IT186" i="16"/>
  <c r="IC186" i="16"/>
  <c r="HM186" i="16"/>
  <c r="GY186" i="16"/>
  <c r="JN186" i="16"/>
  <c r="IV186" i="16"/>
  <c r="IH186" i="16"/>
  <c r="HS186" i="16"/>
  <c r="HA186" i="16"/>
  <c r="GL186" i="16"/>
  <c r="JU186" i="16"/>
  <c r="IQ186" i="16"/>
  <c r="HI186" i="16"/>
  <c r="JB186" i="16"/>
  <c r="HU186" i="16"/>
  <c r="GO186" i="16"/>
  <c r="JQ186" i="16"/>
  <c r="HH186" i="16"/>
  <c r="HZ186" i="16"/>
  <c r="IJ186" i="16"/>
  <c r="JD186" i="16"/>
  <c r="GT186" i="16"/>
  <c r="U185" i="16"/>
  <c r="GF186" i="16"/>
  <c r="GA186" i="16"/>
  <c r="FV186" i="16"/>
  <c r="FQ186" i="16"/>
  <c r="FL186" i="16"/>
  <c r="FG186" i="16"/>
  <c r="FB186" i="16"/>
  <c r="EW186" i="16"/>
  <c r="ER186" i="16"/>
  <c r="EM186" i="16"/>
  <c r="EH186" i="16"/>
  <c r="EC186" i="16"/>
  <c r="DX186" i="16"/>
  <c r="DS186" i="16"/>
  <c r="DN186" i="16"/>
  <c r="DI186" i="16"/>
  <c r="DD186" i="16"/>
  <c r="CY186" i="16"/>
  <c r="CT186" i="16"/>
  <c r="F186" i="16"/>
  <c r="GH186" i="16"/>
  <c r="GB186" i="16"/>
  <c r="FU186" i="16"/>
  <c r="FN186" i="16"/>
  <c r="FH186" i="16"/>
  <c r="FA186" i="16"/>
  <c r="ET186" i="16"/>
  <c r="EN186" i="16"/>
  <c r="EG186" i="16"/>
  <c r="DZ186" i="16"/>
  <c r="DT186" i="16"/>
  <c r="DM186" i="16"/>
  <c r="DF186" i="16"/>
  <c r="CZ186" i="16"/>
  <c r="CS186" i="16"/>
  <c r="G186" i="16"/>
  <c r="GC186" i="16"/>
  <c r="FS186" i="16"/>
  <c r="FK186" i="16"/>
  <c r="FC186" i="16"/>
  <c r="ES186" i="16"/>
  <c r="EJ186" i="16"/>
  <c r="EB186" i="16"/>
  <c r="DR186" i="16"/>
  <c r="DJ186" i="16"/>
  <c r="DA186" i="16"/>
  <c r="E186" i="16"/>
  <c r="AH186" i="16" s="1"/>
  <c r="AX186" i="16" s="1"/>
  <c r="GE186" i="16"/>
  <c r="FR186" i="16"/>
  <c r="FF186" i="16"/>
  <c r="EV186" i="16"/>
  <c r="EI186" i="16"/>
  <c r="DW186" i="16"/>
  <c r="DK186" i="16"/>
  <c r="CX186" i="16"/>
  <c r="GG186" i="16"/>
  <c r="FP186" i="16"/>
  <c r="EY186" i="16"/>
  <c r="EL186" i="16"/>
  <c r="DU186" i="16"/>
  <c r="DE186" i="16"/>
  <c r="FW186" i="16"/>
  <c r="FD186" i="16"/>
  <c r="EO186" i="16"/>
  <c r="DY186" i="16"/>
  <c r="DH186" i="16"/>
  <c r="CU186" i="16"/>
  <c r="C186" i="16"/>
  <c r="FZ186" i="16"/>
  <c r="EX186" i="16"/>
  <c r="DP186" i="16"/>
  <c r="B187" i="16"/>
  <c r="FI186" i="16"/>
  <c r="ED186" i="16"/>
  <c r="CV186" i="16"/>
  <c r="D186" i="16"/>
  <c r="EQ186" i="16"/>
  <c r="FM186" i="16"/>
  <c r="DC186" i="16"/>
  <c r="H186" i="16"/>
  <c r="DO186" i="16"/>
  <c r="EE186" i="16"/>
  <c r="FX186" i="16"/>
  <c r="Y184" i="16"/>
  <c r="X184" i="16"/>
  <c r="Z184" i="16"/>
  <c r="V184" i="16"/>
  <c r="W184" i="16"/>
  <c r="BF186" i="16"/>
  <c r="I186" i="16" a="1"/>
  <c r="I186" i="16" s="1"/>
  <c r="I187" i="16" a="1"/>
  <c r="I187" i="16" s="1"/>
  <c r="AS185" i="16"/>
  <c r="AB185" i="16"/>
  <c r="AR185" i="16"/>
  <c r="AC185" i="16"/>
  <c r="Z185" i="16" l="1"/>
  <c r="V185" i="16"/>
  <c r="X185" i="16"/>
  <c r="Y185" i="16"/>
  <c r="W185" i="16"/>
  <c r="AR186" i="16"/>
  <c r="AS186" i="16"/>
  <c r="AC186" i="16"/>
  <c r="AB186" i="16"/>
  <c r="GE187" i="16"/>
  <c r="FZ187" i="16"/>
  <c r="FU187" i="16"/>
  <c r="FP187" i="16"/>
  <c r="FK187" i="16"/>
  <c r="FF187" i="16"/>
  <c r="FA187" i="16"/>
  <c r="EV187" i="16"/>
  <c r="EQ187" i="16"/>
  <c r="EL187" i="16"/>
  <c r="EG187" i="16"/>
  <c r="EB187" i="16"/>
  <c r="DW187" i="16"/>
  <c r="DR187" i="16"/>
  <c r="DM187" i="16"/>
  <c r="DH187" i="16"/>
  <c r="DC187" i="16"/>
  <c r="CX187" i="16"/>
  <c r="CS187" i="16"/>
  <c r="E187" i="16"/>
  <c r="AH187" i="16" s="1"/>
  <c r="AX187" i="16" s="1"/>
  <c r="GC187" i="16"/>
  <c r="FW187" i="16"/>
  <c r="FQ187" i="16"/>
  <c r="FI187" i="16"/>
  <c r="FC187" i="16"/>
  <c r="EW187" i="16"/>
  <c r="EO187" i="16"/>
  <c r="EI187" i="16"/>
  <c r="EC187" i="16"/>
  <c r="DU187" i="16"/>
  <c r="DO187" i="16"/>
  <c r="DI187" i="16"/>
  <c r="DA187" i="16"/>
  <c r="CU187" i="16"/>
  <c r="H187" i="16"/>
  <c r="C187" i="16"/>
  <c r="B188" i="16"/>
  <c r="GH187" i="16"/>
  <c r="GA187" i="16"/>
  <c r="FR187" i="16"/>
  <c r="FH187" i="16"/>
  <c r="EY187" i="16"/>
  <c r="ER187" i="16"/>
  <c r="EH187" i="16"/>
  <c r="DY187" i="16"/>
  <c r="DP187" i="16"/>
  <c r="DF187" i="16"/>
  <c r="CY187" i="16"/>
  <c r="D187" i="16"/>
  <c r="GB187" i="16"/>
  <c r="FN187" i="16"/>
  <c r="FD187" i="16"/>
  <c r="ES187" i="16"/>
  <c r="EE187" i="16"/>
  <c r="DT187" i="16"/>
  <c r="DJ187" i="16"/>
  <c r="CV187" i="16"/>
  <c r="F187" i="16"/>
  <c r="GF187" i="16"/>
  <c r="FM187" i="16"/>
  <c r="EX187" i="16"/>
  <c r="EJ187" i="16"/>
  <c r="DS187" i="16"/>
  <c r="DD187" i="16"/>
  <c r="GG187" i="16"/>
  <c r="FS187" i="16"/>
  <c r="FB187" i="16"/>
  <c r="EM187" i="16"/>
  <c r="DX187" i="16"/>
  <c r="DE187" i="16"/>
  <c r="FX187" i="16"/>
  <c r="ET187" i="16"/>
  <c r="DN187" i="16"/>
  <c r="FG187" i="16"/>
  <c r="DZ187" i="16"/>
  <c r="CT187" i="16"/>
  <c r="EN187" i="16"/>
  <c r="FL187" i="16"/>
  <c r="CZ187" i="16"/>
  <c r="G187" i="16"/>
  <c r="ED187" i="16"/>
  <c r="FV187" i="16"/>
  <c r="DK187" i="16"/>
  <c r="U186" i="16"/>
  <c r="JX187" i="16"/>
  <c r="JS187" i="16"/>
  <c r="JN187" i="16"/>
  <c r="JI187" i="16"/>
  <c r="JD187" i="16"/>
  <c r="IY187" i="16"/>
  <c r="IT187" i="16"/>
  <c r="IO187" i="16"/>
  <c r="IJ187" i="16"/>
  <c r="IE187" i="16"/>
  <c r="HZ187" i="16"/>
  <c r="HU187" i="16"/>
  <c r="HP187" i="16"/>
  <c r="HK187" i="16"/>
  <c r="HF187" i="16"/>
  <c r="HA187" i="16"/>
  <c r="GV187" i="16"/>
  <c r="GQ187" i="16"/>
  <c r="GL187" i="16"/>
  <c r="Q187" i="16"/>
  <c r="M187" i="16"/>
  <c r="KA187" i="16"/>
  <c r="JU187" i="16"/>
  <c r="JO187" i="16"/>
  <c r="JG187" i="16"/>
  <c r="JA187" i="16"/>
  <c r="IU187" i="16"/>
  <c r="IM187" i="16"/>
  <c r="IG187" i="16"/>
  <c r="IA187" i="16"/>
  <c r="HS187" i="16"/>
  <c r="HM187" i="16"/>
  <c r="HG187" i="16"/>
  <c r="GY187" i="16"/>
  <c r="GS187" i="16"/>
  <c r="GM187" i="16"/>
  <c r="N187" i="16"/>
  <c r="AP187" i="16" s="1"/>
  <c r="JV187" i="16"/>
  <c r="JL187" i="16"/>
  <c r="JE187" i="16"/>
  <c r="IV187" i="16"/>
  <c r="IL187" i="16"/>
  <c r="IC187" i="16"/>
  <c r="HV187" i="16"/>
  <c r="HL187" i="16"/>
  <c r="HC187" i="16"/>
  <c r="GT187" i="16"/>
  <c r="JT187" i="16"/>
  <c r="JJ187" i="16"/>
  <c r="IW187" i="16"/>
  <c r="IK187" i="16"/>
  <c r="HX187" i="16"/>
  <c r="HN187" i="16"/>
  <c r="HB187" i="16"/>
  <c r="GO187" i="16"/>
  <c r="JY187" i="16"/>
  <c r="JF187" i="16"/>
  <c r="IQ187" i="16"/>
  <c r="IB187" i="16"/>
  <c r="HI187" i="16"/>
  <c r="GW187" i="16"/>
  <c r="K188" i="16"/>
  <c r="JZ187" i="16"/>
  <c r="JK187" i="16"/>
  <c r="IR187" i="16"/>
  <c r="IF187" i="16"/>
  <c r="HQ187" i="16"/>
  <c r="GX187" i="16"/>
  <c r="L187" i="16"/>
  <c r="BF187" i="16" s="1"/>
  <c r="JQ187" i="16"/>
  <c r="IP187" i="16"/>
  <c r="HH187" i="16"/>
  <c r="P187" i="16"/>
  <c r="IZ187" i="16"/>
  <c r="HR187" i="16"/>
  <c r="GN187" i="16"/>
  <c r="JP187" i="16"/>
  <c r="HD187" i="16"/>
  <c r="HW187" i="16"/>
  <c r="JB187" i="16"/>
  <c r="GR187" i="16"/>
  <c r="IH187" i="16"/>
  <c r="I188" i="16" l="1" a="1"/>
  <c r="I188" i="16" s="1"/>
  <c r="AC187" i="16"/>
  <c r="AB187" i="16"/>
  <c r="AS187" i="16"/>
  <c r="AR187" i="16"/>
  <c r="GH188" i="16"/>
  <c r="GC188" i="16"/>
  <c r="FX188" i="16"/>
  <c r="FS188" i="16"/>
  <c r="FN188" i="16"/>
  <c r="FI188" i="16"/>
  <c r="FD188" i="16"/>
  <c r="EY188" i="16"/>
  <c r="ET188" i="16"/>
  <c r="EO188" i="16"/>
  <c r="EJ188" i="16"/>
  <c r="EE188" i="16"/>
  <c r="DZ188" i="16"/>
  <c r="DU188" i="16"/>
  <c r="DP188" i="16"/>
  <c r="DK188" i="16"/>
  <c r="DF188" i="16"/>
  <c r="DA188" i="16"/>
  <c r="CV188" i="16"/>
  <c r="H188" i="16"/>
  <c r="D188" i="16"/>
  <c r="GF188" i="16"/>
  <c r="FZ188" i="16"/>
  <c r="FR188" i="16"/>
  <c r="FL188" i="16"/>
  <c r="FF188" i="16"/>
  <c r="EX188" i="16"/>
  <c r="ER188" i="16"/>
  <c r="EL188" i="16"/>
  <c r="ED188" i="16"/>
  <c r="DX188" i="16"/>
  <c r="DR188" i="16"/>
  <c r="DJ188" i="16"/>
  <c r="DD188" i="16"/>
  <c r="CX188" i="16"/>
  <c r="E188" i="16"/>
  <c r="AH188" i="16" s="1"/>
  <c r="AX188" i="16" s="1"/>
  <c r="GB188" i="16"/>
  <c r="FU188" i="16"/>
  <c r="FK188" i="16"/>
  <c r="FB188" i="16"/>
  <c r="ES188" i="16"/>
  <c r="EI188" i="16"/>
  <c r="EB188" i="16"/>
  <c r="DS188" i="16"/>
  <c r="DI188" i="16"/>
  <c r="CZ188" i="16"/>
  <c r="CS188" i="16"/>
  <c r="B189" i="16"/>
  <c r="GA188" i="16"/>
  <c r="FP188" i="16"/>
  <c r="FC188" i="16"/>
  <c r="EQ188" i="16"/>
  <c r="EG188" i="16"/>
  <c r="DT188" i="16"/>
  <c r="DH188" i="16"/>
  <c r="CU188" i="16"/>
  <c r="C188" i="16"/>
  <c r="GG188" i="16"/>
  <c r="FQ188" i="16"/>
  <c r="FA188" i="16"/>
  <c r="EM188" i="16"/>
  <c r="DW188" i="16"/>
  <c r="DE188" i="16"/>
  <c r="G188" i="16"/>
  <c r="FV188" i="16"/>
  <c r="FG188" i="16"/>
  <c r="EN188" i="16"/>
  <c r="DY188" i="16"/>
  <c r="DM188" i="16"/>
  <c r="CT188" i="16"/>
  <c r="FH188" i="16"/>
  <c r="EC188" i="16"/>
  <c r="CY188" i="16"/>
  <c r="FM188" i="16"/>
  <c r="EH188" i="16"/>
  <c r="DC188" i="16"/>
  <c r="EW188" i="16"/>
  <c r="FW188" i="16"/>
  <c r="DN188" i="16"/>
  <c r="F188" i="16"/>
  <c r="DO188" i="16"/>
  <c r="GE188" i="16"/>
  <c r="EV188" i="16"/>
  <c r="K189" i="16"/>
  <c r="KA188" i="16"/>
  <c r="JV188" i="16"/>
  <c r="JQ188" i="16"/>
  <c r="JL188" i="16"/>
  <c r="JG188" i="16"/>
  <c r="JB188" i="16"/>
  <c r="IW188" i="16"/>
  <c r="IR188" i="16"/>
  <c r="IM188" i="16"/>
  <c r="IH188" i="16"/>
  <c r="IC188" i="16"/>
  <c r="HX188" i="16"/>
  <c r="HS188" i="16"/>
  <c r="HN188" i="16"/>
  <c r="HI188" i="16"/>
  <c r="HD188" i="16"/>
  <c r="GY188" i="16"/>
  <c r="GT188" i="16"/>
  <c r="GO188" i="16"/>
  <c r="P188" i="16"/>
  <c r="L188" i="16"/>
  <c r="I189" i="16" s="1" a="1"/>
  <c r="I189" i="16" s="1"/>
  <c r="JX188" i="16"/>
  <c r="JP188" i="16"/>
  <c r="JJ188" i="16"/>
  <c r="JD188" i="16"/>
  <c r="IV188" i="16"/>
  <c r="IP188" i="16"/>
  <c r="IJ188" i="16"/>
  <c r="IB188" i="16"/>
  <c r="HV188" i="16"/>
  <c r="HP188" i="16"/>
  <c r="HH188" i="16"/>
  <c r="HB188" i="16"/>
  <c r="GV188" i="16"/>
  <c r="GN188" i="16"/>
  <c r="JY188" i="16"/>
  <c r="JO188" i="16"/>
  <c r="JF188" i="16"/>
  <c r="IY188" i="16"/>
  <c r="IO188" i="16"/>
  <c r="IF188" i="16"/>
  <c r="HW188" i="16"/>
  <c r="HM188" i="16"/>
  <c r="HF188" i="16"/>
  <c r="GW188" i="16"/>
  <c r="GM188" i="16"/>
  <c r="JT188" i="16"/>
  <c r="JI188" i="16"/>
  <c r="IU188" i="16"/>
  <c r="IK188" i="16"/>
  <c r="HZ188" i="16"/>
  <c r="HL188" i="16"/>
  <c r="HA188" i="16"/>
  <c r="GQ188" i="16"/>
  <c r="M188" i="16"/>
  <c r="JZ188" i="16"/>
  <c r="JK188" i="16"/>
  <c r="IT188" i="16"/>
  <c r="IE188" i="16"/>
  <c r="HQ188" i="16"/>
  <c r="GX188" i="16"/>
  <c r="Q188" i="16"/>
  <c r="JN188" i="16"/>
  <c r="IZ188" i="16"/>
  <c r="IG188" i="16"/>
  <c r="HR188" i="16"/>
  <c r="HC188" i="16"/>
  <c r="GL188" i="16"/>
  <c r="JA188" i="16"/>
  <c r="HU188" i="16"/>
  <c r="GR188" i="16"/>
  <c r="JE188" i="16"/>
  <c r="IA188" i="16"/>
  <c r="GS188" i="16"/>
  <c r="JU188" i="16"/>
  <c r="HK188" i="16"/>
  <c r="IL188" i="16"/>
  <c r="HG188" i="16"/>
  <c r="IQ188" i="16"/>
  <c r="N188" i="16"/>
  <c r="AP188" i="16" s="1"/>
  <c r="JS188" i="16"/>
  <c r="Y186" i="16"/>
  <c r="Z186" i="16"/>
  <c r="W186" i="16"/>
  <c r="X186" i="16"/>
  <c r="V186" i="16"/>
  <c r="U187" i="16"/>
  <c r="BF188" i="16" l="1"/>
  <c r="X187" i="16"/>
  <c r="V187" i="16"/>
  <c r="Z187" i="16"/>
  <c r="W187" i="16"/>
  <c r="Y187" i="16"/>
  <c r="JZ189" i="16"/>
  <c r="JU189" i="16"/>
  <c r="JP189" i="16"/>
  <c r="JK189" i="16"/>
  <c r="JF189" i="16"/>
  <c r="JA189" i="16"/>
  <c r="IV189" i="16"/>
  <c r="IQ189" i="16"/>
  <c r="IL189" i="16"/>
  <c r="IG189" i="16"/>
  <c r="IB189" i="16"/>
  <c r="HW189" i="16"/>
  <c r="HR189" i="16"/>
  <c r="HM189" i="16"/>
  <c r="HH189" i="16"/>
  <c r="HC189" i="16"/>
  <c r="GX189" i="16"/>
  <c r="GS189" i="16"/>
  <c r="GN189" i="16"/>
  <c r="JX189" i="16"/>
  <c r="JQ189" i="16"/>
  <c r="JJ189" i="16"/>
  <c r="JD189" i="16"/>
  <c r="IW189" i="16"/>
  <c r="IP189" i="16"/>
  <c r="IJ189" i="16"/>
  <c r="IC189" i="16"/>
  <c r="HV189" i="16"/>
  <c r="HP189" i="16"/>
  <c r="HI189" i="16"/>
  <c r="HB189" i="16"/>
  <c r="GV189" i="16"/>
  <c r="GO189" i="16"/>
  <c r="P189" i="16"/>
  <c r="L189" i="16"/>
  <c r="I190" i="16" s="1" a="1"/>
  <c r="I190" i="16" s="1"/>
  <c r="KA189" i="16"/>
  <c r="JS189" i="16"/>
  <c r="JI189" i="16"/>
  <c r="IZ189" i="16"/>
  <c r="IR189" i="16"/>
  <c r="IH189" i="16"/>
  <c r="HZ189" i="16"/>
  <c r="HQ189" i="16"/>
  <c r="HG189" i="16"/>
  <c r="GY189" i="16"/>
  <c r="GQ189" i="16"/>
  <c r="Q189" i="16"/>
  <c r="JV189" i="16"/>
  <c r="JL189" i="16"/>
  <c r="IY189" i="16"/>
  <c r="IM189" i="16"/>
  <c r="IA189" i="16"/>
  <c r="HN189" i="16"/>
  <c r="HD189" i="16"/>
  <c r="GR189" i="16"/>
  <c r="JY189" i="16"/>
  <c r="JN189" i="16"/>
  <c r="JB189" i="16"/>
  <c r="IO189" i="16"/>
  <c r="IE189" i="16"/>
  <c r="HS189" i="16"/>
  <c r="HF189" i="16"/>
  <c r="GT189" i="16"/>
  <c r="M189" i="16"/>
  <c r="K190" i="16"/>
  <c r="JT189" i="16"/>
  <c r="IU189" i="16"/>
  <c r="HX189" i="16"/>
  <c r="HA189" i="16"/>
  <c r="N189" i="16"/>
  <c r="AP189" i="16" s="1"/>
  <c r="JE189" i="16"/>
  <c r="IF189" i="16"/>
  <c r="HK189" i="16"/>
  <c r="GL189" i="16"/>
  <c r="IK189" i="16"/>
  <c r="GM189" i="16"/>
  <c r="IT189" i="16"/>
  <c r="GW189" i="16"/>
  <c r="JO189" i="16"/>
  <c r="HL189" i="16"/>
  <c r="JG189" i="16"/>
  <c r="HU189" i="16"/>
  <c r="B190" i="16"/>
  <c r="GG189" i="16"/>
  <c r="GB189" i="16"/>
  <c r="FW189" i="16"/>
  <c r="FR189" i="16"/>
  <c r="FM189" i="16"/>
  <c r="FH189" i="16"/>
  <c r="FC189" i="16"/>
  <c r="EX189" i="16"/>
  <c r="ES189" i="16"/>
  <c r="EN189" i="16"/>
  <c r="EI189" i="16"/>
  <c r="ED189" i="16"/>
  <c r="DY189" i="16"/>
  <c r="DT189" i="16"/>
  <c r="DO189" i="16"/>
  <c r="DJ189" i="16"/>
  <c r="DE189" i="16"/>
  <c r="CZ189" i="16"/>
  <c r="CU189" i="16"/>
  <c r="G189" i="16"/>
  <c r="C189" i="16"/>
  <c r="GF189" i="16"/>
  <c r="FZ189" i="16"/>
  <c r="FS189" i="16"/>
  <c r="FL189" i="16"/>
  <c r="FF189" i="16"/>
  <c r="EY189" i="16"/>
  <c r="ER189" i="16"/>
  <c r="EL189" i="16"/>
  <c r="EE189" i="16"/>
  <c r="DX189" i="16"/>
  <c r="DR189" i="16"/>
  <c r="DK189" i="16"/>
  <c r="DD189" i="16"/>
  <c r="CX189" i="16"/>
  <c r="F189" i="16"/>
  <c r="GE189" i="16"/>
  <c r="FV189" i="16"/>
  <c r="FN189" i="16"/>
  <c r="FD189" i="16"/>
  <c r="EV189" i="16"/>
  <c r="EM189" i="16"/>
  <c r="EC189" i="16"/>
  <c r="DU189" i="16"/>
  <c r="DM189" i="16"/>
  <c r="DC189" i="16"/>
  <c r="CT189" i="16"/>
  <c r="D189" i="16"/>
  <c r="GC189" i="16"/>
  <c r="FQ189" i="16"/>
  <c r="FG189" i="16"/>
  <c r="ET189" i="16"/>
  <c r="EH189" i="16"/>
  <c r="DW189" i="16"/>
  <c r="DI189" i="16"/>
  <c r="CY189" i="16"/>
  <c r="GH189" i="16"/>
  <c r="FU189" i="16"/>
  <c r="FI189" i="16"/>
  <c r="EW189" i="16"/>
  <c r="EJ189" i="16"/>
  <c r="DZ189" i="16"/>
  <c r="DN189" i="16"/>
  <c r="DA189" i="16"/>
  <c r="GA189" i="16"/>
  <c r="FB189" i="16"/>
  <c r="EG189" i="16"/>
  <c r="DH189" i="16"/>
  <c r="FK189" i="16"/>
  <c r="EO189" i="16"/>
  <c r="DP189" i="16"/>
  <c r="CS189" i="16"/>
  <c r="EQ189" i="16"/>
  <c r="CV189" i="16"/>
  <c r="E189" i="16"/>
  <c r="AH189" i="16" s="1"/>
  <c r="AX189" i="16" s="1"/>
  <c r="FA189" i="16"/>
  <c r="DF189" i="16"/>
  <c r="H189" i="16"/>
  <c r="FX189" i="16"/>
  <c r="DS189" i="16"/>
  <c r="EB189" i="16"/>
  <c r="FP189" i="16"/>
  <c r="BF189" i="16"/>
  <c r="U188" i="16"/>
  <c r="AB188" i="16"/>
  <c r="AR188" i="16"/>
  <c r="AS188" i="16"/>
  <c r="AC188" i="16"/>
  <c r="AS189" i="16" l="1"/>
  <c r="AB189" i="16"/>
  <c r="AR189" i="16"/>
  <c r="AC189" i="16"/>
  <c r="GF190" i="16"/>
  <c r="GA190" i="16"/>
  <c r="FV190" i="16"/>
  <c r="FQ190" i="16"/>
  <c r="FL190" i="16"/>
  <c r="FG190" i="16"/>
  <c r="FB190" i="16"/>
  <c r="EW190" i="16"/>
  <c r="ER190" i="16"/>
  <c r="EM190" i="16"/>
  <c r="EH190" i="16"/>
  <c r="EC190" i="16"/>
  <c r="DX190" i="16"/>
  <c r="DS190" i="16"/>
  <c r="DN190" i="16"/>
  <c r="DI190" i="16"/>
  <c r="DD190" i="16"/>
  <c r="CY190" i="16"/>
  <c r="CT190" i="16"/>
  <c r="F190" i="16"/>
  <c r="GH190" i="16"/>
  <c r="GB190" i="16"/>
  <c r="FU190" i="16"/>
  <c r="FN190" i="16"/>
  <c r="FH190" i="16"/>
  <c r="FA190" i="16"/>
  <c r="ET190" i="16"/>
  <c r="EN190" i="16"/>
  <c r="EG190" i="16"/>
  <c r="DZ190" i="16"/>
  <c r="DT190" i="16"/>
  <c r="DM190" i="16"/>
  <c r="DF190" i="16"/>
  <c r="CZ190" i="16"/>
  <c r="CS190" i="16"/>
  <c r="G190" i="16"/>
  <c r="GC190" i="16"/>
  <c r="FS190" i="16"/>
  <c r="FK190" i="16"/>
  <c r="FC190" i="16"/>
  <c r="ES190" i="16"/>
  <c r="EJ190" i="16"/>
  <c r="EB190" i="16"/>
  <c r="DR190" i="16"/>
  <c r="DJ190" i="16"/>
  <c r="DA190" i="16"/>
  <c r="E190" i="16"/>
  <c r="AH190" i="16" s="1"/>
  <c r="AX190" i="16" s="1"/>
  <c r="B191" i="16"/>
  <c r="FZ190" i="16"/>
  <c r="FP190" i="16"/>
  <c r="FD190" i="16"/>
  <c r="EQ190" i="16"/>
  <c r="EE190" i="16"/>
  <c r="DU190" i="16"/>
  <c r="DH190" i="16"/>
  <c r="CV190" i="16"/>
  <c r="D190" i="16"/>
  <c r="GE190" i="16"/>
  <c r="FR190" i="16"/>
  <c r="FF190" i="16"/>
  <c r="EV190" i="16"/>
  <c r="EI190" i="16"/>
  <c r="DW190" i="16"/>
  <c r="DK190" i="16"/>
  <c r="CX190" i="16"/>
  <c r="H190" i="16"/>
  <c r="FM190" i="16"/>
  <c r="EO190" i="16"/>
  <c r="DP190" i="16"/>
  <c r="CU190" i="16"/>
  <c r="FW190" i="16"/>
  <c r="EX190" i="16"/>
  <c r="DY190" i="16"/>
  <c r="DC190" i="16"/>
  <c r="GG190" i="16"/>
  <c r="EL190" i="16"/>
  <c r="C190" i="16"/>
  <c r="EY190" i="16"/>
  <c r="DE190" i="16"/>
  <c r="FX190" i="16"/>
  <c r="DO190" i="16"/>
  <c r="FI190" i="16"/>
  <c r="ED190" i="16"/>
  <c r="JY190" i="16"/>
  <c r="JT190" i="16"/>
  <c r="JO190" i="16"/>
  <c r="JJ190" i="16"/>
  <c r="JE190" i="16"/>
  <c r="IZ190" i="16"/>
  <c r="IU190" i="16"/>
  <c r="IP190" i="16"/>
  <c r="IK190" i="16"/>
  <c r="IF190" i="16"/>
  <c r="IA190" i="16"/>
  <c r="HV190" i="16"/>
  <c r="HQ190" i="16"/>
  <c r="HL190" i="16"/>
  <c r="HG190" i="16"/>
  <c r="HB190" i="16"/>
  <c r="GW190" i="16"/>
  <c r="GR190" i="16"/>
  <c r="GM190" i="16"/>
  <c r="N190" i="16"/>
  <c r="AP190" i="16" s="1"/>
  <c r="JZ190" i="16"/>
  <c r="JS190" i="16"/>
  <c r="JL190" i="16"/>
  <c r="JF190" i="16"/>
  <c r="IY190" i="16"/>
  <c r="IR190" i="16"/>
  <c r="IL190" i="16"/>
  <c r="IE190" i="16"/>
  <c r="HX190" i="16"/>
  <c r="HR190" i="16"/>
  <c r="HK190" i="16"/>
  <c r="HD190" i="16"/>
  <c r="GX190" i="16"/>
  <c r="GQ190" i="16"/>
  <c r="Q190" i="16"/>
  <c r="L190" i="16"/>
  <c r="BF190" i="16" s="1"/>
  <c r="K191" i="16"/>
  <c r="JX190" i="16"/>
  <c r="JP190" i="16"/>
  <c r="JG190" i="16"/>
  <c r="IW190" i="16"/>
  <c r="IO190" i="16"/>
  <c r="IG190" i="16"/>
  <c r="HW190" i="16"/>
  <c r="HN190" i="16"/>
  <c r="HF190" i="16"/>
  <c r="GV190" i="16"/>
  <c r="GN190" i="16"/>
  <c r="M190" i="16"/>
  <c r="JU190" i="16"/>
  <c r="JI190" i="16"/>
  <c r="IV190" i="16"/>
  <c r="IJ190" i="16"/>
  <c r="HZ190" i="16"/>
  <c r="HM190" i="16"/>
  <c r="HA190" i="16"/>
  <c r="GO190" i="16"/>
  <c r="JV190" i="16"/>
  <c r="JK190" i="16"/>
  <c r="JA190" i="16"/>
  <c r="IM190" i="16"/>
  <c r="IB190" i="16"/>
  <c r="HP190" i="16"/>
  <c r="HC190" i="16"/>
  <c r="GS190" i="16"/>
  <c r="P190" i="16"/>
  <c r="JD190" i="16"/>
  <c r="IH190" i="16"/>
  <c r="HI190" i="16"/>
  <c r="GL190" i="16"/>
  <c r="JN190" i="16"/>
  <c r="IQ190" i="16"/>
  <c r="HS190" i="16"/>
  <c r="GT190" i="16"/>
  <c r="KA190" i="16"/>
  <c r="IC190" i="16"/>
  <c r="IT190" i="16"/>
  <c r="GY190" i="16"/>
  <c r="JQ190" i="16"/>
  <c r="HH190" i="16"/>
  <c r="HU190" i="16"/>
  <c r="JB190" i="16"/>
  <c r="W188" i="16"/>
  <c r="X188" i="16"/>
  <c r="Y188" i="16"/>
  <c r="V188" i="16"/>
  <c r="Z188" i="16"/>
  <c r="U189" i="16"/>
  <c r="GE191" i="16" l="1"/>
  <c r="FZ191" i="16"/>
  <c r="FU191" i="16"/>
  <c r="FP191" i="16"/>
  <c r="FK191" i="16"/>
  <c r="FF191" i="16"/>
  <c r="FA191" i="16"/>
  <c r="EV191" i="16"/>
  <c r="EQ191" i="16"/>
  <c r="EL191" i="16"/>
  <c r="EG191" i="16"/>
  <c r="EB191" i="16"/>
  <c r="DW191" i="16"/>
  <c r="DR191" i="16"/>
  <c r="DM191" i="16"/>
  <c r="DH191" i="16"/>
  <c r="DC191" i="16"/>
  <c r="CX191" i="16"/>
  <c r="CS191" i="16"/>
  <c r="E191" i="16"/>
  <c r="AH191" i="16" s="1"/>
  <c r="AX191" i="16" s="1"/>
  <c r="GC191" i="16"/>
  <c r="FW191" i="16"/>
  <c r="FQ191" i="16"/>
  <c r="FI191" i="16"/>
  <c r="FC191" i="16"/>
  <c r="EW191" i="16"/>
  <c r="EO191" i="16"/>
  <c r="EI191" i="16"/>
  <c r="EC191" i="16"/>
  <c r="DU191" i="16"/>
  <c r="DO191" i="16"/>
  <c r="DI191" i="16"/>
  <c r="DA191" i="16"/>
  <c r="CU191" i="16"/>
  <c r="H191" i="16"/>
  <c r="C191" i="16"/>
  <c r="B192" i="16"/>
  <c r="GH191" i="16"/>
  <c r="GA191" i="16"/>
  <c r="FR191" i="16"/>
  <c r="FH191" i="16"/>
  <c r="EY191" i="16"/>
  <c r="ER191" i="16"/>
  <c r="EH191" i="16"/>
  <c r="DY191" i="16"/>
  <c r="DP191" i="16"/>
  <c r="DF191" i="16"/>
  <c r="CY191" i="16"/>
  <c r="D191" i="16"/>
  <c r="FX191" i="16"/>
  <c r="FM191" i="16"/>
  <c r="FB191" i="16"/>
  <c r="EN191" i="16"/>
  <c r="ED191" i="16"/>
  <c r="DS191" i="16"/>
  <c r="DE191" i="16"/>
  <c r="CT191" i="16"/>
  <c r="GB191" i="16"/>
  <c r="FN191" i="16"/>
  <c r="FD191" i="16"/>
  <c r="ES191" i="16"/>
  <c r="EE191" i="16"/>
  <c r="DT191" i="16"/>
  <c r="DJ191" i="16"/>
  <c r="CV191" i="16"/>
  <c r="F191" i="16"/>
  <c r="FV191" i="16"/>
  <c r="EX191" i="16"/>
  <c r="DZ191" i="16"/>
  <c r="DD191" i="16"/>
  <c r="GF191" i="16"/>
  <c r="FG191" i="16"/>
  <c r="EJ191" i="16"/>
  <c r="DK191" i="16"/>
  <c r="G191" i="16"/>
  <c r="ET191" i="16"/>
  <c r="CZ191" i="16"/>
  <c r="FL191" i="16"/>
  <c r="DN191" i="16"/>
  <c r="EM191" i="16"/>
  <c r="FS191" i="16"/>
  <c r="DX191" i="16"/>
  <c r="GG191" i="16"/>
  <c r="Z189" i="16"/>
  <c r="V189" i="16"/>
  <c r="X189" i="16"/>
  <c r="W189" i="16"/>
  <c r="Y189" i="16"/>
  <c r="JX191" i="16"/>
  <c r="JS191" i="16"/>
  <c r="JN191" i="16"/>
  <c r="JI191" i="16"/>
  <c r="JD191" i="16"/>
  <c r="IY191" i="16"/>
  <c r="IT191" i="16"/>
  <c r="IO191" i="16"/>
  <c r="IJ191" i="16"/>
  <c r="IE191" i="16"/>
  <c r="HZ191" i="16"/>
  <c r="HU191" i="16"/>
  <c r="HP191" i="16"/>
  <c r="HK191" i="16"/>
  <c r="HF191" i="16"/>
  <c r="HA191" i="16"/>
  <c r="GV191" i="16"/>
  <c r="GQ191" i="16"/>
  <c r="GL191" i="16"/>
  <c r="Q191" i="16"/>
  <c r="M191" i="16"/>
  <c r="KA191" i="16"/>
  <c r="JU191" i="16"/>
  <c r="JO191" i="16"/>
  <c r="JG191" i="16"/>
  <c r="JA191" i="16"/>
  <c r="IU191" i="16"/>
  <c r="IM191" i="16"/>
  <c r="IG191" i="16"/>
  <c r="IA191" i="16"/>
  <c r="HS191" i="16"/>
  <c r="HM191" i="16"/>
  <c r="HG191" i="16"/>
  <c r="GY191" i="16"/>
  <c r="GS191" i="16"/>
  <c r="GM191" i="16"/>
  <c r="N191" i="16"/>
  <c r="AP191" i="16" s="1"/>
  <c r="JV191" i="16"/>
  <c r="JL191" i="16"/>
  <c r="JE191" i="16"/>
  <c r="IV191" i="16"/>
  <c r="IL191" i="16"/>
  <c r="IC191" i="16"/>
  <c r="HV191" i="16"/>
  <c r="HL191" i="16"/>
  <c r="HC191" i="16"/>
  <c r="GT191" i="16"/>
  <c r="JT191" i="16"/>
  <c r="JJ191" i="16"/>
  <c r="JY191" i="16"/>
  <c r="JF191" i="16"/>
  <c r="IR191" i="16"/>
  <c r="IH191" i="16"/>
  <c r="HW191" i="16"/>
  <c r="HI191" i="16"/>
  <c r="GX191" i="16"/>
  <c r="GN191" i="16"/>
  <c r="L191" i="16"/>
  <c r="BF191" i="16" s="1"/>
  <c r="K192" i="16"/>
  <c r="JZ191" i="16"/>
  <c r="JK191" i="16"/>
  <c r="IW191" i="16"/>
  <c r="IK191" i="16"/>
  <c r="HX191" i="16"/>
  <c r="HN191" i="16"/>
  <c r="HB191" i="16"/>
  <c r="GO191" i="16"/>
  <c r="JQ191" i="16"/>
  <c r="IQ191" i="16"/>
  <c r="HR191" i="16"/>
  <c r="GW191" i="16"/>
  <c r="P191" i="16"/>
  <c r="IZ191" i="16"/>
  <c r="IB191" i="16"/>
  <c r="HD191" i="16"/>
  <c r="IP191" i="16"/>
  <c r="GR191" i="16"/>
  <c r="JB191" i="16"/>
  <c r="HH191" i="16"/>
  <c r="IF191" i="16"/>
  <c r="JP191" i="16"/>
  <c r="HQ191" i="16"/>
  <c r="I191" i="16" a="1"/>
  <c r="I191" i="16" s="1"/>
  <c r="I192" i="16" a="1"/>
  <c r="I192" i="16" s="1"/>
  <c r="U190" i="16"/>
  <c r="AR190" i="16"/>
  <c r="AS190" i="16"/>
  <c r="AB190" i="16"/>
  <c r="AC190" i="16"/>
  <c r="JX192" i="16" l="1"/>
  <c r="JS192" i="16"/>
  <c r="JN192" i="16"/>
  <c r="JI192" i="16"/>
  <c r="JD192" i="16"/>
  <c r="IY192" i="16"/>
  <c r="JY192" i="16"/>
  <c r="JQ192" i="16"/>
  <c r="JK192" i="16"/>
  <c r="JE192" i="16"/>
  <c r="IW192" i="16"/>
  <c r="IR192" i="16"/>
  <c r="IM192" i="16"/>
  <c r="IH192" i="16"/>
  <c r="IC192" i="16"/>
  <c r="HX192" i="16"/>
  <c r="HS192" i="16"/>
  <c r="HN192" i="16"/>
  <c r="HI192" i="16"/>
  <c r="HD192" i="16"/>
  <c r="GY192" i="16"/>
  <c r="GT192" i="16"/>
  <c r="GO192" i="16"/>
  <c r="P192" i="16"/>
  <c r="L192" i="16"/>
  <c r="JV192" i="16"/>
  <c r="JO192" i="16"/>
  <c r="JF192" i="16"/>
  <c r="IV192" i="16"/>
  <c r="IP192" i="16"/>
  <c r="IJ192" i="16"/>
  <c r="IB192" i="16"/>
  <c r="HV192" i="16"/>
  <c r="HP192" i="16"/>
  <c r="HH192" i="16"/>
  <c r="HB192" i="16"/>
  <c r="GV192" i="16"/>
  <c r="GN192" i="16"/>
  <c r="JU192" i="16"/>
  <c r="JJ192" i="16"/>
  <c r="IZ192" i="16"/>
  <c r="IO192" i="16"/>
  <c r="IF192" i="16"/>
  <c r="HW192" i="16"/>
  <c r="HM192" i="16"/>
  <c r="HF192" i="16"/>
  <c r="GW192" i="16"/>
  <c r="GM192" i="16"/>
  <c r="K193" i="16"/>
  <c r="KA192" i="16"/>
  <c r="JL192" i="16"/>
  <c r="IU192" i="16"/>
  <c r="IK192" i="16"/>
  <c r="HZ192" i="16"/>
  <c r="HL192" i="16"/>
  <c r="HA192" i="16"/>
  <c r="GQ192" i="16"/>
  <c r="M192" i="16"/>
  <c r="JP192" i="16"/>
  <c r="IT192" i="16"/>
  <c r="IE192" i="16"/>
  <c r="HQ192" i="16"/>
  <c r="GX192" i="16"/>
  <c r="Q192" i="16"/>
  <c r="JT192" i="16"/>
  <c r="JA192" i="16"/>
  <c r="IG192" i="16"/>
  <c r="HR192" i="16"/>
  <c r="HC192" i="16"/>
  <c r="GL192" i="16"/>
  <c r="JB192" i="16"/>
  <c r="HU192" i="16"/>
  <c r="GR192" i="16"/>
  <c r="JG192" i="16"/>
  <c r="IA192" i="16"/>
  <c r="GS192" i="16"/>
  <c r="IQ192" i="16"/>
  <c r="N192" i="16"/>
  <c r="AP192" i="16" s="1"/>
  <c r="JZ192" i="16"/>
  <c r="HG192" i="16"/>
  <c r="HK192" i="16"/>
  <c r="IL192" i="16"/>
  <c r="Y190" i="16"/>
  <c r="Z190" i="16"/>
  <c r="W190" i="16"/>
  <c r="X190" i="16"/>
  <c r="V190" i="16"/>
  <c r="AC191" i="16"/>
  <c r="AB191" i="16"/>
  <c r="AS191" i="16"/>
  <c r="AR191" i="16"/>
  <c r="B193" i="16"/>
  <c r="GH192" i="16"/>
  <c r="GC192" i="16"/>
  <c r="FX192" i="16"/>
  <c r="FS192" i="16"/>
  <c r="FN192" i="16"/>
  <c r="FI192" i="16"/>
  <c r="FD192" i="16"/>
  <c r="EY192" i="16"/>
  <c r="ET192" i="16"/>
  <c r="EO192" i="16"/>
  <c r="EJ192" i="16"/>
  <c r="EE192" i="16"/>
  <c r="DZ192" i="16"/>
  <c r="DU192" i="16"/>
  <c r="DP192" i="16"/>
  <c r="DK192" i="16"/>
  <c r="DF192" i="16"/>
  <c r="DA192" i="16"/>
  <c r="CV192" i="16"/>
  <c r="H192" i="16"/>
  <c r="D192" i="16"/>
  <c r="GF192" i="16"/>
  <c r="FZ192" i="16"/>
  <c r="FR192" i="16"/>
  <c r="FL192" i="16"/>
  <c r="FF192" i="16"/>
  <c r="EX192" i="16"/>
  <c r="ER192" i="16"/>
  <c r="EL192" i="16"/>
  <c r="ED192" i="16"/>
  <c r="DX192" i="16"/>
  <c r="DR192" i="16"/>
  <c r="DJ192" i="16"/>
  <c r="DD192" i="16"/>
  <c r="CX192" i="16"/>
  <c r="E192" i="16"/>
  <c r="AH192" i="16" s="1"/>
  <c r="AX192" i="16" s="1"/>
  <c r="GB192" i="16"/>
  <c r="FU192" i="16"/>
  <c r="FK192" i="16"/>
  <c r="FB192" i="16"/>
  <c r="ES192" i="16"/>
  <c r="EI192" i="16"/>
  <c r="EB192" i="16"/>
  <c r="DS192" i="16"/>
  <c r="DI192" i="16"/>
  <c r="CZ192" i="16"/>
  <c r="CS192" i="16"/>
  <c r="GA192" i="16"/>
  <c r="FP192" i="16"/>
  <c r="FC192" i="16"/>
  <c r="EQ192" i="16"/>
  <c r="EG192" i="16"/>
  <c r="DT192" i="16"/>
  <c r="DH192" i="16"/>
  <c r="CU192" i="16"/>
  <c r="C192" i="16"/>
  <c r="GG192" i="16"/>
  <c r="FQ192" i="16"/>
  <c r="FA192" i="16"/>
  <c r="EM192" i="16"/>
  <c r="DW192" i="16"/>
  <c r="DE192" i="16"/>
  <c r="G192" i="16"/>
  <c r="FV192" i="16"/>
  <c r="FG192" i="16"/>
  <c r="EN192" i="16"/>
  <c r="DY192" i="16"/>
  <c r="DM192" i="16"/>
  <c r="CT192" i="16"/>
  <c r="FH192" i="16"/>
  <c r="EC192" i="16"/>
  <c r="CY192" i="16"/>
  <c r="FM192" i="16"/>
  <c r="EH192" i="16"/>
  <c r="DC192" i="16"/>
  <c r="GE192" i="16"/>
  <c r="DO192" i="16"/>
  <c r="EV192" i="16"/>
  <c r="EW192" i="16"/>
  <c r="FW192" i="16"/>
  <c r="DN192" i="16"/>
  <c r="F192" i="16"/>
  <c r="BF192" i="16"/>
  <c r="U191" i="16"/>
  <c r="X191" i="16" l="1"/>
  <c r="V191" i="16"/>
  <c r="Y191" i="16"/>
  <c r="Z191" i="16"/>
  <c r="W191" i="16"/>
  <c r="U192" i="16"/>
  <c r="GH193" i="16"/>
  <c r="GC193" i="16"/>
  <c r="FX193" i="16"/>
  <c r="FS193" i="16"/>
  <c r="FN193" i="16"/>
  <c r="FI193" i="16"/>
  <c r="FD193" i="16"/>
  <c r="EY193" i="16"/>
  <c r="ET193" i="16"/>
  <c r="EO193" i="16"/>
  <c r="EJ193" i="16"/>
  <c r="EE193" i="16"/>
  <c r="DZ193" i="16"/>
  <c r="DU193" i="16"/>
  <c r="DP193" i="16"/>
  <c r="DK193" i="16"/>
  <c r="DF193" i="16"/>
  <c r="DA193" i="16"/>
  <c r="CV193" i="16"/>
  <c r="H193" i="16"/>
  <c r="D193" i="16"/>
  <c r="GB193" i="16"/>
  <c r="FV193" i="16"/>
  <c r="FP193" i="16"/>
  <c r="FH193" i="16"/>
  <c r="FB193" i="16"/>
  <c r="EV193" i="16"/>
  <c r="EN193" i="16"/>
  <c r="EH193" i="16"/>
  <c r="EB193" i="16"/>
  <c r="DT193" i="16"/>
  <c r="DN193" i="16"/>
  <c r="DH193" i="16"/>
  <c r="CZ193" i="16"/>
  <c r="CT193" i="16"/>
  <c r="G193" i="16"/>
  <c r="B194" i="16"/>
  <c r="GA193" i="16"/>
  <c r="FR193" i="16"/>
  <c r="FK193" i="16"/>
  <c r="FA193" i="16"/>
  <c r="ER193" i="16"/>
  <c r="EI193" i="16"/>
  <c r="DY193" i="16"/>
  <c r="DR193" i="16"/>
  <c r="DI193" i="16"/>
  <c r="CY193" i="16"/>
  <c r="C193" i="16"/>
  <c r="GF193" i="16"/>
  <c r="FU193" i="16"/>
  <c r="FG193" i="16"/>
  <c r="EW193" i="16"/>
  <c r="EL193" i="16"/>
  <c r="DX193" i="16"/>
  <c r="DM193" i="16"/>
  <c r="DC193" i="16"/>
  <c r="E193" i="16"/>
  <c r="AH193" i="16" s="1"/>
  <c r="AX193" i="16" s="1"/>
  <c r="FW193" i="16"/>
  <c r="FF193" i="16"/>
  <c r="EQ193" i="16"/>
  <c r="EC193" i="16"/>
  <c r="DJ193" i="16"/>
  <c r="CU193" i="16"/>
  <c r="FZ193" i="16"/>
  <c r="FL193" i="16"/>
  <c r="ES193" i="16"/>
  <c r="ED193" i="16"/>
  <c r="DO193" i="16"/>
  <c r="CX193" i="16"/>
  <c r="GE193" i="16"/>
  <c r="EX193" i="16"/>
  <c r="DS193" i="16"/>
  <c r="F193" i="16"/>
  <c r="GG193" i="16"/>
  <c r="FC193" i="16"/>
  <c r="DW193" i="16"/>
  <c r="CS193" i="16"/>
  <c r="EG193" i="16"/>
  <c r="EM193" i="16"/>
  <c r="DD193" i="16"/>
  <c r="DE193" i="16"/>
  <c r="FM193" i="16"/>
  <c r="FQ193" i="16"/>
  <c r="AB192" i="16"/>
  <c r="AR192" i="16"/>
  <c r="AC192" i="16"/>
  <c r="AS192" i="16"/>
  <c r="K194" i="16"/>
  <c r="KA193" i="16"/>
  <c r="JV193" i="16"/>
  <c r="JQ193" i="16"/>
  <c r="JL193" i="16"/>
  <c r="JG193" i="16"/>
  <c r="JB193" i="16"/>
  <c r="IW193" i="16"/>
  <c r="IR193" i="16"/>
  <c r="IM193" i="16"/>
  <c r="IH193" i="16"/>
  <c r="IC193" i="16"/>
  <c r="HX193" i="16"/>
  <c r="HS193" i="16"/>
  <c r="HN193" i="16"/>
  <c r="HI193" i="16"/>
  <c r="HD193" i="16"/>
  <c r="GY193" i="16"/>
  <c r="GT193" i="16"/>
  <c r="GO193" i="16"/>
  <c r="P193" i="16"/>
  <c r="L193" i="16"/>
  <c r="BF193" i="16" s="1"/>
  <c r="JZ193" i="16"/>
  <c r="JT193" i="16"/>
  <c r="JN193" i="16"/>
  <c r="JF193" i="16"/>
  <c r="IZ193" i="16"/>
  <c r="IT193" i="16"/>
  <c r="IL193" i="16"/>
  <c r="IF193" i="16"/>
  <c r="HZ193" i="16"/>
  <c r="HR193" i="16"/>
  <c r="HL193" i="16"/>
  <c r="HF193" i="16"/>
  <c r="GX193" i="16"/>
  <c r="GR193" i="16"/>
  <c r="GL193" i="16"/>
  <c r="M193" i="16"/>
  <c r="JX193" i="16"/>
  <c r="JO193" i="16"/>
  <c r="JE193" i="16"/>
  <c r="IV193" i="16"/>
  <c r="IO193" i="16"/>
  <c r="IE193" i="16"/>
  <c r="HV193" i="16"/>
  <c r="HM193" i="16"/>
  <c r="HC193" i="16"/>
  <c r="GV193" i="16"/>
  <c r="GM193" i="16"/>
  <c r="Q193" i="16"/>
  <c r="JY193" i="16"/>
  <c r="JK193" i="16"/>
  <c r="JA193" i="16"/>
  <c r="IP193" i="16"/>
  <c r="IB193" i="16"/>
  <c r="HQ193" i="16"/>
  <c r="HG193" i="16"/>
  <c r="GS193" i="16"/>
  <c r="N193" i="16"/>
  <c r="AP193" i="16" s="1"/>
  <c r="JP193" i="16"/>
  <c r="IY193" i="16"/>
  <c r="IJ193" i="16"/>
  <c r="HU193" i="16"/>
  <c r="HB193" i="16"/>
  <c r="GN193" i="16"/>
  <c r="JS193" i="16"/>
  <c r="JD193" i="16"/>
  <c r="IK193" i="16"/>
  <c r="HW193" i="16"/>
  <c r="HH193" i="16"/>
  <c r="GQ193" i="16"/>
  <c r="JU193" i="16"/>
  <c r="IQ193" i="16"/>
  <c r="HK193" i="16"/>
  <c r="IU193" i="16"/>
  <c r="HP193" i="16"/>
  <c r="JI193" i="16"/>
  <c r="GW193" i="16"/>
  <c r="JJ193" i="16"/>
  <c r="HA193" i="16"/>
  <c r="IA193" i="16"/>
  <c r="IG193" i="16"/>
  <c r="I194" i="16" a="1"/>
  <c r="I194" i="16" s="1"/>
  <c r="I193" i="16" a="1"/>
  <c r="I193" i="16" s="1"/>
  <c r="W192" i="16" l="1"/>
  <c r="X192" i="16"/>
  <c r="Y192" i="16"/>
  <c r="V192" i="16"/>
  <c r="Z192" i="16"/>
  <c r="JZ194" i="16"/>
  <c r="JU194" i="16"/>
  <c r="JP194" i="16"/>
  <c r="JK194" i="16"/>
  <c r="JF194" i="16"/>
  <c r="JA194" i="16"/>
  <c r="IV194" i="16"/>
  <c r="IQ194" i="16"/>
  <c r="IL194" i="16"/>
  <c r="IG194" i="16"/>
  <c r="IB194" i="16"/>
  <c r="HW194" i="16"/>
  <c r="HR194" i="16"/>
  <c r="HM194" i="16"/>
  <c r="HH194" i="16"/>
  <c r="HC194" i="16"/>
  <c r="GX194" i="16"/>
  <c r="GS194" i="16"/>
  <c r="GN194" i="16"/>
  <c r="KA194" i="16"/>
  <c r="JT194" i="16"/>
  <c r="JN194" i="16"/>
  <c r="JG194" i="16"/>
  <c r="IZ194" i="16"/>
  <c r="IT194" i="16"/>
  <c r="IM194" i="16"/>
  <c r="IF194" i="16"/>
  <c r="HZ194" i="16"/>
  <c r="HS194" i="16"/>
  <c r="HL194" i="16"/>
  <c r="HF194" i="16"/>
  <c r="GY194" i="16"/>
  <c r="GR194" i="16"/>
  <c r="GL194" i="16"/>
  <c r="N194" i="16"/>
  <c r="AP194" i="16" s="1"/>
  <c r="JV194" i="16"/>
  <c r="JL194" i="16"/>
  <c r="JD194" i="16"/>
  <c r="IU194" i="16"/>
  <c r="IK194" i="16"/>
  <c r="IC194" i="16"/>
  <c r="HU194" i="16"/>
  <c r="HK194" i="16"/>
  <c r="HB194" i="16"/>
  <c r="GT194" i="16"/>
  <c r="P194" i="16"/>
  <c r="JY194" i="16"/>
  <c r="JO194" i="16"/>
  <c r="JB194" i="16"/>
  <c r="IP194" i="16"/>
  <c r="IE194" i="16"/>
  <c r="HQ194" i="16"/>
  <c r="HG194" i="16"/>
  <c r="GV194" i="16"/>
  <c r="JQ194" i="16"/>
  <c r="IY194" i="16"/>
  <c r="IJ194" i="16"/>
  <c r="HV194" i="16"/>
  <c r="HD194" i="16"/>
  <c r="GO194" i="16"/>
  <c r="JJ194" i="16"/>
  <c r="IW194" i="16"/>
  <c r="IH194" i="16"/>
  <c r="HP194" i="16"/>
  <c r="HA194" i="16"/>
  <c r="GM194" i="16"/>
  <c r="L194" i="16"/>
  <c r="JE194" i="16"/>
  <c r="HX194" i="16"/>
  <c r="GQ194" i="16"/>
  <c r="Q194" i="16"/>
  <c r="K195" i="16"/>
  <c r="JI194" i="16"/>
  <c r="IA194" i="16"/>
  <c r="GW194" i="16"/>
  <c r="JS194" i="16"/>
  <c r="HI194" i="16"/>
  <c r="JX194" i="16"/>
  <c r="HN194" i="16"/>
  <c r="IO194" i="16"/>
  <c r="IR194" i="16"/>
  <c r="M194" i="16"/>
  <c r="B195" i="16"/>
  <c r="GG194" i="16"/>
  <c r="GB194" i="16"/>
  <c r="FW194" i="16"/>
  <c r="FR194" i="16"/>
  <c r="FM194" i="16"/>
  <c r="FH194" i="16"/>
  <c r="FC194" i="16"/>
  <c r="EX194" i="16"/>
  <c r="ES194" i="16"/>
  <c r="EN194" i="16"/>
  <c r="EI194" i="16"/>
  <c r="ED194" i="16"/>
  <c r="DY194" i="16"/>
  <c r="DT194" i="16"/>
  <c r="DO194" i="16"/>
  <c r="DJ194" i="16"/>
  <c r="DE194" i="16"/>
  <c r="CZ194" i="16"/>
  <c r="CU194" i="16"/>
  <c r="G194" i="16"/>
  <c r="C194" i="16"/>
  <c r="GC194" i="16"/>
  <c r="FV194" i="16"/>
  <c r="FP194" i="16"/>
  <c r="FI194" i="16"/>
  <c r="FB194" i="16"/>
  <c r="EV194" i="16"/>
  <c r="EO194" i="16"/>
  <c r="EH194" i="16"/>
  <c r="EB194" i="16"/>
  <c r="DU194" i="16"/>
  <c r="DN194" i="16"/>
  <c r="DH194" i="16"/>
  <c r="DA194" i="16"/>
  <c r="CT194" i="16"/>
  <c r="D194" i="16"/>
  <c r="GH194" i="16"/>
  <c r="FZ194" i="16"/>
  <c r="FQ194" i="16"/>
  <c r="FG194" i="16"/>
  <c r="EY194" i="16"/>
  <c r="EQ194" i="16"/>
  <c r="EG194" i="16"/>
  <c r="DX194" i="16"/>
  <c r="DP194" i="16"/>
  <c r="DF194" i="16"/>
  <c r="CX194" i="16"/>
  <c r="GF194" i="16"/>
  <c r="FU194" i="16"/>
  <c r="FK194" i="16"/>
  <c r="EW194" i="16"/>
  <c r="EL194" i="16"/>
  <c r="DZ194" i="16"/>
  <c r="DM194" i="16"/>
  <c r="DC194" i="16"/>
  <c r="F194" i="16"/>
  <c r="FX194" i="16"/>
  <c r="FF194" i="16"/>
  <c r="ER194" i="16"/>
  <c r="EC194" i="16"/>
  <c r="DK194" i="16"/>
  <c r="FS194" i="16"/>
  <c r="FD194" i="16"/>
  <c r="EM194" i="16"/>
  <c r="DW194" i="16"/>
  <c r="DI194" i="16"/>
  <c r="CS194" i="16"/>
  <c r="FL194" i="16"/>
  <c r="EE194" i="16"/>
  <c r="CY194" i="16"/>
  <c r="E194" i="16"/>
  <c r="AH194" i="16" s="1"/>
  <c r="AX194" i="16" s="1"/>
  <c r="FN194" i="16"/>
  <c r="EJ194" i="16"/>
  <c r="DD194" i="16"/>
  <c r="H194" i="16"/>
  <c r="ET194" i="16"/>
  <c r="FA194" i="16"/>
  <c r="CV194" i="16"/>
  <c r="DR194" i="16"/>
  <c r="DS194" i="16"/>
  <c r="GA194" i="16"/>
  <c r="GE194" i="16"/>
  <c r="AB193" i="16"/>
  <c r="AS193" i="16"/>
  <c r="AR193" i="16"/>
  <c r="AC193" i="16"/>
  <c r="U193" i="16"/>
  <c r="U194" i="16" l="1"/>
  <c r="JY195" i="16"/>
  <c r="JT195" i="16"/>
  <c r="JO195" i="16"/>
  <c r="JJ195" i="16"/>
  <c r="JE195" i="16"/>
  <c r="IZ195" i="16"/>
  <c r="IU195" i="16"/>
  <c r="IP195" i="16"/>
  <c r="IK195" i="16"/>
  <c r="IF195" i="16"/>
  <c r="IA195" i="16"/>
  <c r="HV195" i="16"/>
  <c r="HQ195" i="16"/>
  <c r="HL195" i="16"/>
  <c r="HG195" i="16"/>
  <c r="HB195" i="16"/>
  <c r="GW195" i="16"/>
  <c r="GR195" i="16"/>
  <c r="GM195" i="16"/>
  <c r="N195" i="16"/>
  <c r="AP195" i="16" s="1"/>
  <c r="K196" i="16"/>
  <c r="JV195" i="16"/>
  <c r="JP195" i="16"/>
  <c r="JI195" i="16"/>
  <c r="JB195" i="16"/>
  <c r="IV195" i="16"/>
  <c r="IO195" i="16"/>
  <c r="IH195" i="16"/>
  <c r="IB195" i="16"/>
  <c r="HU195" i="16"/>
  <c r="HN195" i="16"/>
  <c r="HH195" i="16"/>
  <c r="HA195" i="16"/>
  <c r="GT195" i="16"/>
  <c r="GN195" i="16"/>
  <c r="JZ195" i="16"/>
  <c r="JQ195" i="16"/>
  <c r="JG195" i="16"/>
  <c r="IY195" i="16"/>
  <c r="IQ195" i="16"/>
  <c r="IG195" i="16"/>
  <c r="HX195" i="16"/>
  <c r="HP195" i="16"/>
  <c r="HF195" i="16"/>
  <c r="GX195" i="16"/>
  <c r="GO195" i="16"/>
  <c r="KA195" i="16"/>
  <c r="JN195" i="16"/>
  <c r="JD195" i="16"/>
  <c r="IR195" i="16"/>
  <c r="IE195" i="16"/>
  <c r="HS195" i="16"/>
  <c r="HI195" i="16"/>
  <c r="GV195" i="16"/>
  <c r="JX195" i="16"/>
  <c r="JK195" i="16"/>
  <c r="IT195" i="16"/>
  <c r="IC195" i="16"/>
  <c r="HM195" i="16"/>
  <c r="GY195" i="16"/>
  <c r="M195" i="16"/>
  <c r="JU195" i="16"/>
  <c r="JF195" i="16"/>
  <c r="IM195" i="16"/>
  <c r="HZ195" i="16"/>
  <c r="HK195" i="16"/>
  <c r="GS195" i="16"/>
  <c r="Q195" i="16"/>
  <c r="L195" i="16"/>
  <c r="IW195" i="16"/>
  <c r="HR195" i="16"/>
  <c r="GL195" i="16"/>
  <c r="JA195" i="16"/>
  <c r="HW195" i="16"/>
  <c r="GQ195" i="16"/>
  <c r="JL195" i="16"/>
  <c r="HC195" i="16"/>
  <c r="JS195" i="16"/>
  <c r="HD195" i="16"/>
  <c r="IJ195" i="16"/>
  <c r="P195" i="16"/>
  <c r="IL195" i="16"/>
  <c r="W193" i="16"/>
  <c r="Z193" i="16"/>
  <c r="Y193" i="16"/>
  <c r="X193" i="16"/>
  <c r="V193" i="16"/>
  <c r="AS194" i="16"/>
  <c r="AR194" i="16"/>
  <c r="AB194" i="16"/>
  <c r="AC194" i="16"/>
  <c r="GF195" i="16"/>
  <c r="GA195" i="16"/>
  <c r="FV195" i="16"/>
  <c r="FQ195" i="16"/>
  <c r="FL195" i="16"/>
  <c r="FG195" i="16"/>
  <c r="FB195" i="16"/>
  <c r="EW195" i="16"/>
  <c r="ER195" i="16"/>
  <c r="EM195" i="16"/>
  <c r="EH195" i="16"/>
  <c r="EC195" i="16"/>
  <c r="DX195" i="16"/>
  <c r="DS195" i="16"/>
  <c r="DN195" i="16"/>
  <c r="DI195" i="16"/>
  <c r="DD195" i="16"/>
  <c r="CY195" i="16"/>
  <c r="CT195" i="16"/>
  <c r="F195" i="16"/>
  <c r="GE195" i="16"/>
  <c r="FX195" i="16"/>
  <c r="FR195" i="16"/>
  <c r="FK195" i="16"/>
  <c r="FD195" i="16"/>
  <c r="EX195" i="16"/>
  <c r="EQ195" i="16"/>
  <c r="EJ195" i="16"/>
  <c r="ED195" i="16"/>
  <c r="DW195" i="16"/>
  <c r="DP195" i="16"/>
  <c r="DJ195" i="16"/>
  <c r="DC195" i="16"/>
  <c r="CV195" i="16"/>
  <c r="D195" i="16"/>
  <c r="GC195" i="16"/>
  <c r="FU195" i="16"/>
  <c r="FM195" i="16"/>
  <c r="FC195" i="16"/>
  <c r="ET195" i="16"/>
  <c r="EL195" i="16"/>
  <c r="EB195" i="16"/>
  <c r="DT195" i="16"/>
  <c r="DK195" i="16"/>
  <c r="DA195" i="16"/>
  <c r="CS195" i="16"/>
  <c r="H195" i="16"/>
  <c r="GH195" i="16"/>
  <c r="FW195" i="16"/>
  <c r="FI195" i="16"/>
  <c r="EY195" i="16"/>
  <c r="EN195" i="16"/>
  <c r="DZ195" i="16"/>
  <c r="DO195" i="16"/>
  <c r="DE195" i="16"/>
  <c r="G195" i="16"/>
  <c r="GG195" i="16"/>
  <c r="FP195" i="16"/>
  <c r="FA195" i="16"/>
  <c r="EI195" i="16"/>
  <c r="DU195" i="16"/>
  <c r="DF195" i="16"/>
  <c r="C195" i="16"/>
  <c r="GB195" i="16"/>
  <c r="FN195" i="16"/>
  <c r="EV195" i="16"/>
  <c r="EG195" i="16"/>
  <c r="DR195" i="16"/>
  <c r="CZ195" i="16"/>
  <c r="B196" i="16"/>
  <c r="FF195" i="16"/>
  <c r="DY195" i="16"/>
  <c r="CU195" i="16"/>
  <c r="E195" i="16"/>
  <c r="AH195" i="16" s="1"/>
  <c r="AX195" i="16" s="1"/>
  <c r="FH195" i="16"/>
  <c r="EE195" i="16"/>
  <c r="CX195" i="16"/>
  <c r="EO195" i="16"/>
  <c r="ES195" i="16"/>
  <c r="FZ195" i="16"/>
  <c r="DH195" i="16"/>
  <c r="DM195" i="16"/>
  <c r="FS195" i="16"/>
  <c r="BF195" i="16"/>
  <c r="I195" i="16" a="1"/>
  <c r="I195" i="16" s="1"/>
  <c r="I196" i="16" a="1"/>
  <c r="I196" i="16" s="1"/>
  <c r="BF194" i="16"/>
  <c r="U195" i="16" l="1"/>
  <c r="AR195" i="16"/>
  <c r="AC195" i="16"/>
  <c r="AS195" i="16"/>
  <c r="AB195" i="16"/>
  <c r="GE196" i="16"/>
  <c r="FZ196" i="16"/>
  <c r="FU196" i="16"/>
  <c r="FP196" i="16"/>
  <c r="FK196" i="16"/>
  <c r="FF196" i="16"/>
  <c r="FA196" i="16"/>
  <c r="EV196" i="16"/>
  <c r="EQ196" i="16"/>
  <c r="EL196" i="16"/>
  <c r="EG196" i="16"/>
  <c r="EB196" i="16"/>
  <c r="DW196" i="16"/>
  <c r="DR196" i="16"/>
  <c r="DM196" i="16"/>
  <c r="DH196" i="16"/>
  <c r="DC196" i="16"/>
  <c r="CX196" i="16"/>
  <c r="CS196" i="16"/>
  <c r="E196" i="16"/>
  <c r="AH196" i="16" s="1"/>
  <c r="AX196" i="16" s="1"/>
  <c r="B197" i="16"/>
  <c r="GG196" i="16"/>
  <c r="GA196" i="16"/>
  <c r="FS196" i="16"/>
  <c r="FM196" i="16"/>
  <c r="FG196" i="16"/>
  <c r="EY196" i="16"/>
  <c r="ES196" i="16"/>
  <c r="EM196" i="16"/>
  <c r="EE196" i="16"/>
  <c r="DY196" i="16"/>
  <c r="DS196" i="16"/>
  <c r="DK196" i="16"/>
  <c r="DE196" i="16"/>
  <c r="CY196" i="16"/>
  <c r="F196" i="16"/>
  <c r="GB196" i="16"/>
  <c r="FR196" i="16"/>
  <c r="FI196" i="16"/>
  <c r="FB196" i="16"/>
  <c r="ER196" i="16"/>
  <c r="EI196" i="16"/>
  <c r="DZ196" i="16"/>
  <c r="DP196" i="16"/>
  <c r="DI196" i="16"/>
  <c r="CZ196" i="16"/>
  <c r="D196" i="16"/>
  <c r="GF196" i="16"/>
  <c r="FV196" i="16"/>
  <c r="FH196" i="16"/>
  <c r="EW196" i="16"/>
  <c r="EJ196" i="16"/>
  <c r="DX196" i="16"/>
  <c r="DN196" i="16"/>
  <c r="DA196" i="16"/>
  <c r="H196" i="16"/>
  <c r="GC196" i="16"/>
  <c r="FN196" i="16"/>
  <c r="EX196" i="16"/>
  <c r="EH196" i="16"/>
  <c r="DT196" i="16"/>
  <c r="DD196" i="16"/>
  <c r="FX196" i="16"/>
  <c r="FL196" i="16"/>
  <c r="ET196" i="16"/>
  <c r="ED196" i="16"/>
  <c r="DO196" i="16"/>
  <c r="CV196" i="16"/>
  <c r="G196" i="16"/>
  <c r="GH196" i="16"/>
  <c r="FC196" i="16"/>
  <c r="DU196" i="16"/>
  <c r="CT196" i="16"/>
  <c r="FD196" i="16"/>
  <c r="EC196" i="16"/>
  <c r="CU196" i="16"/>
  <c r="C196" i="16"/>
  <c r="EN196" i="16"/>
  <c r="EO196" i="16"/>
  <c r="FQ196" i="16"/>
  <c r="FW196" i="16"/>
  <c r="DJ196" i="16"/>
  <c r="DF196" i="16"/>
  <c r="JX196" i="16"/>
  <c r="JS196" i="16"/>
  <c r="JN196" i="16"/>
  <c r="JI196" i="16"/>
  <c r="JD196" i="16"/>
  <c r="IY196" i="16"/>
  <c r="IT196" i="16"/>
  <c r="IO196" i="16"/>
  <c r="IJ196" i="16"/>
  <c r="IE196" i="16"/>
  <c r="HZ196" i="16"/>
  <c r="HU196" i="16"/>
  <c r="HP196" i="16"/>
  <c r="HK196" i="16"/>
  <c r="HF196" i="16"/>
  <c r="HA196" i="16"/>
  <c r="GV196" i="16"/>
  <c r="GQ196" i="16"/>
  <c r="GL196" i="16"/>
  <c r="Q196" i="16"/>
  <c r="M196" i="16"/>
  <c r="JY196" i="16"/>
  <c r="JQ196" i="16"/>
  <c r="JK196" i="16"/>
  <c r="JE196" i="16"/>
  <c r="IW196" i="16"/>
  <c r="IQ196" i="16"/>
  <c r="IK196" i="16"/>
  <c r="IC196" i="16"/>
  <c r="HW196" i="16"/>
  <c r="HQ196" i="16"/>
  <c r="HI196" i="16"/>
  <c r="HC196" i="16"/>
  <c r="GW196" i="16"/>
  <c r="GO196" i="16"/>
  <c r="P196" i="16"/>
  <c r="JV196" i="16"/>
  <c r="JO196" i="16"/>
  <c r="JF196" i="16"/>
  <c r="IV196" i="16"/>
  <c r="IM196" i="16"/>
  <c r="IF196" i="16"/>
  <c r="HV196" i="16"/>
  <c r="HM196" i="16"/>
  <c r="HD196" i="16"/>
  <c r="GT196" i="16"/>
  <c r="GM196" i="16"/>
  <c r="L196" i="16"/>
  <c r="BF196" i="16" s="1"/>
  <c r="JZ196" i="16"/>
  <c r="JL196" i="16"/>
  <c r="JA196" i="16"/>
  <c r="IP196" i="16"/>
  <c r="IB196" i="16"/>
  <c r="HR196" i="16"/>
  <c r="HG196" i="16"/>
  <c r="GS196" i="16"/>
  <c r="JU196" i="16"/>
  <c r="JG196" i="16"/>
  <c r="IR196" i="16"/>
  <c r="IA196" i="16"/>
  <c r="HL196" i="16"/>
  <c r="GX196" i="16"/>
  <c r="JT196" i="16"/>
  <c r="JB196" i="16"/>
  <c r="IL196" i="16"/>
  <c r="HX196" i="16"/>
  <c r="HH196" i="16"/>
  <c r="GR196" i="16"/>
  <c r="KA196" i="16"/>
  <c r="IU196" i="16"/>
  <c r="HN196" i="16"/>
  <c r="IZ196" i="16"/>
  <c r="HS196" i="16"/>
  <c r="GN196" i="16"/>
  <c r="JJ196" i="16"/>
  <c r="GY196" i="16"/>
  <c r="JP196" i="16"/>
  <c r="HB196" i="16"/>
  <c r="K197" i="16"/>
  <c r="N196" i="16"/>
  <c r="AP196" i="16" s="1"/>
  <c r="IG196" i="16"/>
  <c r="IH196" i="16"/>
  <c r="Z194" i="16"/>
  <c r="V194" i="16"/>
  <c r="Y194" i="16"/>
  <c r="W194" i="16"/>
  <c r="X194" i="16"/>
  <c r="U196" i="16" l="1"/>
  <c r="GF197" i="16"/>
  <c r="GA197" i="16"/>
  <c r="FV197" i="16"/>
  <c r="FQ197" i="16"/>
  <c r="FL197" i="16"/>
  <c r="FG197" i="16"/>
  <c r="FB197" i="16"/>
  <c r="EW197" i="16"/>
  <c r="ER197" i="16"/>
  <c r="EM197" i="16"/>
  <c r="EH197" i="16"/>
  <c r="EC197" i="16"/>
  <c r="DX197" i="16"/>
  <c r="DS197" i="16"/>
  <c r="DN197" i="16"/>
  <c r="DI197" i="16"/>
  <c r="DD197" i="16"/>
  <c r="CY197" i="16"/>
  <c r="CT197" i="16"/>
  <c r="GH197" i="16"/>
  <c r="GB197" i="16"/>
  <c r="FU197" i="16"/>
  <c r="FN197" i="16"/>
  <c r="FH197" i="16"/>
  <c r="FA197" i="16"/>
  <c r="ET197" i="16"/>
  <c r="EN197" i="16"/>
  <c r="EG197" i="16"/>
  <c r="DZ197" i="16"/>
  <c r="DT197" i="16"/>
  <c r="DM197" i="16"/>
  <c r="DF197" i="16"/>
  <c r="CZ197" i="16"/>
  <c r="CS197" i="16"/>
  <c r="H197" i="16"/>
  <c r="D197" i="16"/>
  <c r="GG197" i="16"/>
  <c r="FX197" i="16"/>
  <c r="FP197" i="16"/>
  <c r="FF197" i="16"/>
  <c r="EX197" i="16"/>
  <c r="EO197" i="16"/>
  <c r="EE197" i="16"/>
  <c r="DW197" i="16"/>
  <c r="DO197" i="16"/>
  <c r="DE197" i="16"/>
  <c r="CV197" i="16"/>
  <c r="G197" i="16"/>
  <c r="FW197" i="16"/>
  <c r="FK197" i="16"/>
  <c r="EY197" i="16"/>
  <c r="EL197" i="16"/>
  <c r="EB197" i="16"/>
  <c r="DP197" i="16"/>
  <c r="DC197" i="16"/>
  <c r="C197" i="16"/>
  <c r="B198" i="16"/>
  <c r="FS197" i="16"/>
  <c r="FD197" i="16"/>
  <c r="EQ197" i="16"/>
  <c r="DY197" i="16"/>
  <c r="DJ197" i="16"/>
  <c r="CU197" i="16"/>
  <c r="F197" i="16"/>
  <c r="FZ197" i="16"/>
  <c r="FC197" i="16"/>
  <c r="EI197" i="16"/>
  <c r="DK197" i="16"/>
  <c r="FR197" i="16"/>
  <c r="EV197" i="16"/>
  <c r="ED197" i="16"/>
  <c r="DH197" i="16"/>
  <c r="E197" i="16"/>
  <c r="AH197" i="16" s="1"/>
  <c r="AX197" i="16" s="1"/>
  <c r="FI197" i="16"/>
  <c r="DR197" i="16"/>
  <c r="FM197" i="16"/>
  <c r="DU197" i="16"/>
  <c r="GE197" i="16"/>
  <c r="DA197" i="16"/>
  <c r="EJ197" i="16"/>
  <c r="ES197" i="16"/>
  <c r="GC197" i="16"/>
  <c r="CX197" i="16"/>
  <c r="I197" i="16" a="1"/>
  <c r="I197" i="16" s="1"/>
  <c r="AC196" i="16"/>
  <c r="AR196" i="16"/>
  <c r="AS196" i="16"/>
  <c r="AB196" i="16"/>
  <c r="JY197" i="16"/>
  <c r="JT197" i="16"/>
  <c r="JO197" i="16"/>
  <c r="JJ197" i="16"/>
  <c r="JE197" i="16"/>
  <c r="IZ197" i="16"/>
  <c r="IU197" i="16"/>
  <c r="IP197" i="16"/>
  <c r="IK197" i="16"/>
  <c r="IF197" i="16"/>
  <c r="IA197" i="16"/>
  <c r="HV197" i="16"/>
  <c r="HQ197" i="16"/>
  <c r="HL197" i="16"/>
  <c r="HG197" i="16"/>
  <c r="HB197" i="16"/>
  <c r="GW197" i="16"/>
  <c r="GR197" i="16"/>
  <c r="GM197" i="16"/>
  <c r="JZ197" i="16"/>
  <c r="JS197" i="16"/>
  <c r="JL197" i="16"/>
  <c r="JF197" i="16"/>
  <c r="IY197" i="16"/>
  <c r="IR197" i="16"/>
  <c r="IL197" i="16"/>
  <c r="IE197" i="16"/>
  <c r="HX197" i="16"/>
  <c r="HR197" i="16"/>
  <c r="HK197" i="16"/>
  <c r="HD197" i="16"/>
  <c r="GX197" i="16"/>
  <c r="GQ197" i="16"/>
  <c r="P197" i="16"/>
  <c r="L197" i="16"/>
  <c r="JU197" i="16"/>
  <c r="JK197" i="16"/>
  <c r="JB197" i="16"/>
  <c r="IT197" i="16"/>
  <c r="IJ197" i="16"/>
  <c r="IB197" i="16"/>
  <c r="HS197" i="16"/>
  <c r="HI197" i="16"/>
  <c r="HA197" i="16"/>
  <c r="GS197" i="16"/>
  <c r="M197" i="16"/>
  <c r="KA197" i="16"/>
  <c r="JP197" i="16"/>
  <c r="JD197" i="16"/>
  <c r="IQ197" i="16"/>
  <c r="IG197" i="16"/>
  <c r="HU197" i="16"/>
  <c r="HH197" i="16"/>
  <c r="GV197" i="16"/>
  <c r="GL197" i="16"/>
  <c r="Q197" i="16"/>
  <c r="JN197" i="16"/>
  <c r="IW197" i="16"/>
  <c r="IH197" i="16"/>
  <c r="HP197" i="16"/>
  <c r="HC197" i="16"/>
  <c r="GN197" i="16"/>
  <c r="JX197" i="16"/>
  <c r="JG197" i="16"/>
  <c r="IM197" i="16"/>
  <c r="HN197" i="16"/>
  <c r="GT197" i="16"/>
  <c r="K198" i="16"/>
  <c r="JV197" i="16"/>
  <c r="JA197" i="16"/>
  <c r="IC197" i="16"/>
  <c r="HM197" i="16"/>
  <c r="GO197" i="16"/>
  <c r="IO197" i="16"/>
  <c r="GY197" i="16"/>
  <c r="IV197" i="16"/>
  <c r="HF197" i="16"/>
  <c r="JQ197" i="16"/>
  <c r="HW197" i="16"/>
  <c r="N197" i="16"/>
  <c r="AP197" i="16" s="1"/>
  <c r="HZ197" i="16"/>
  <c r="JI197" i="16"/>
  <c r="Y195" i="16"/>
  <c r="W195" i="16"/>
  <c r="X195" i="16"/>
  <c r="Z195" i="16"/>
  <c r="V195" i="16"/>
  <c r="I198" i="16" l="1" a="1"/>
  <c r="I198" i="16" s="1"/>
  <c r="GE198" i="16"/>
  <c r="FZ198" i="16"/>
  <c r="FU198" i="16"/>
  <c r="FP198" i="16"/>
  <c r="FK198" i="16"/>
  <c r="FF198" i="16"/>
  <c r="FA198" i="16"/>
  <c r="EV198" i="16"/>
  <c r="EQ198" i="16"/>
  <c r="EL198" i="16"/>
  <c r="EG198" i="16"/>
  <c r="EB198" i="16"/>
  <c r="DW198" i="16"/>
  <c r="DR198" i="16"/>
  <c r="DM198" i="16"/>
  <c r="DH198" i="16"/>
  <c r="DC198" i="16"/>
  <c r="CX198" i="16"/>
  <c r="CS198" i="16"/>
  <c r="E198" i="16"/>
  <c r="AH198" i="16" s="1"/>
  <c r="AX198" i="16" s="1"/>
  <c r="GC198" i="16"/>
  <c r="FW198" i="16"/>
  <c r="FQ198" i="16"/>
  <c r="FI198" i="16"/>
  <c r="FC198" i="16"/>
  <c r="EW198" i="16"/>
  <c r="EO198" i="16"/>
  <c r="EI198" i="16"/>
  <c r="EC198" i="16"/>
  <c r="DU198" i="16"/>
  <c r="DO198" i="16"/>
  <c r="DI198" i="16"/>
  <c r="DA198" i="16"/>
  <c r="CU198" i="16"/>
  <c r="H198" i="16"/>
  <c r="C198" i="16"/>
  <c r="GF198" i="16"/>
  <c r="FV198" i="16"/>
  <c r="FM198" i="16"/>
  <c r="FD198" i="16"/>
  <c r="ET198" i="16"/>
  <c r="EM198" i="16"/>
  <c r="ED198" i="16"/>
  <c r="DT198" i="16"/>
  <c r="DK198" i="16"/>
  <c r="DD198" i="16"/>
  <c r="CT198" i="16"/>
  <c r="G198" i="16"/>
  <c r="GB198" i="16"/>
  <c r="FR198" i="16"/>
  <c r="FG198" i="16"/>
  <c r="ES198" i="16"/>
  <c r="EH198" i="16"/>
  <c r="DX198" i="16"/>
  <c r="DJ198" i="16"/>
  <c r="CY198" i="16"/>
  <c r="GG198" i="16"/>
  <c r="FN198" i="16"/>
  <c r="EY198" i="16"/>
  <c r="EJ198" i="16"/>
  <c r="DS198" i="16"/>
  <c r="DE198" i="16"/>
  <c r="FS198" i="16"/>
  <c r="EX198" i="16"/>
  <c r="DZ198" i="16"/>
  <c r="DF198" i="16"/>
  <c r="GH198" i="16"/>
  <c r="FL198" i="16"/>
  <c r="ER198" i="16"/>
  <c r="DY198" i="16"/>
  <c r="CZ198" i="16"/>
  <c r="FX198" i="16"/>
  <c r="EE198" i="16"/>
  <c r="D198" i="16"/>
  <c r="GA198" i="16"/>
  <c r="EN198" i="16"/>
  <c r="CV198" i="16"/>
  <c r="F198" i="16"/>
  <c r="FH198" i="16"/>
  <c r="DN198" i="16"/>
  <c r="DP198" i="16"/>
  <c r="FB198" i="16"/>
  <c r="B199" i="16"/>
  <c r="U197" i="16"/>
  <c r="AB197" i="16"/>
  <c r="AS197" i="16"/>
  <c r="AR197" i="16"/>
  <c r="AC197" i="16"/>
  <c r="X196" i="16"/>
  <c r="Y196" i="16"/>
  <c r="V196" i="16"/>
  <c r="Z196" i="16"/>
  <c r="W196" i="16"/>
  <c r="JX198" i="16"/>
  <c r="JS198" i="16"/>
  <c r="JN198" i="16"/>
  <c r="JI198" i="16"/>
  <c r="JD198" i="16"/>
  <c r="IY198" i="16"/>
  <c r="IT198" i="16"/>
  <c r="IO198" i="16"/>
  <c r="IJ198" i="16"/>
  <c r="IE198" i="16"/>
  <c r="HZ198" i="16"/>
  <c r="HU198" i="16"/>
  <c r="HP198" i="16"/>
  <c r="HK198" i="16"/>
  <c r="HF198" i="16"/>
  <c r="HA198" i="16"/>
  <c r="GV198" i="16"/>
  <c r="GQ198" i="16"/>
  <c r="GL198" i="16"/>
  <c r="Q198" i="16"/>
  <c r="M198" i="16"/>
  <c r="KA198" i="16"/>
  <c r="JU198" i="16"/>
  <c r="JO198" i="16"/>
  <c r="JG198" i="16"/>
  <c r="JA198" i="16"/>
  <c r="IU198" i="16"/>
  <c r="IM198" i="16"/>
  <c r="IG198" i="16"/>
  <c r="IA198" i="16"/>
  <c r="HS198" i="16"/>
  <c r="HM198" i="16"/>
  <c r="HG198" i="16"/>
  <c r="GY198" i="16"/>
  <c r="GS198" i="16"/>
  <c r="GM198" i="16"/>
  <c r="N198" i="16"/>
  <c r="AP198" i="16" s="1"/>
  <c r="JZ198" i="16"/>
  <c r="JQ198" i="16"/>
  <c r="JJ198" i="16"/>
  <c r="IZ198" i="16"/>
  <c r="IQ198" i="16"/>
  <c r="IH198" i="16"/>
  <c r="HX198" i="16"/>
  <c r="HQ198" i="16"/>
  <c r="HH198" i="16"/>
  <c r="GX198" i="16"/>
  <c r="GO198" i="16"/>
  <c r="JV198" i="16"/>
  <c r="JK198" i="16"/>
  <c r="IW198" i="16"/>
  <c r="IL198" i="16"/>
  <c r="IB198" i="16"/>
  <c r="HN198" i="16"/>
  <c r="HC198" i="16"/>
  <c r="GR198" i="16"/>
  <c r="P198" i="16"/>
  <c r="JY198" i="16"/>
  <c r="JF198" i="16"/>
  <c r="IR198" i="16"/>
  <c r="IC198" i="16"/>
  <c r="HL198" i="16"/>
  <c r="GW198" i="16"/>
  <c r="L198" i="16"/>
  <c r="K199" i="16"/>
  <c r="JT198" i="16"/>
  <c r="JB198" i="16"/>
  <c r="IF198" i="16"/>
  <c r="HI198" i="16"/>
  <c r="GN198" i="16"/>
  <c r="JP198" i="16"/>
  <c r="IV198" i="16"/>
  <c r="HW198" i="16"/>
  <c r="HD198" i="16"/>
  <c r="JE198" i="16"/>
  <c r="HR198" i="16"/>
  <c r="JL198" i="16"/>
  <c r="HV198" i="16"/>
  <c r="IP198" i="16"/>
  <c r="GT198" i="16"/>
  <c r="HB198" i="16"/>
  <c r="IK198" i="16"/>
  <c r="BF197" i="16"/>
  <c r="JX199" i="16" l="1"/>
  <c r="JS199" i="16"/>
  <c r="JN199" i="16"/>
  <c r="JI199" i="16"/>
  <c r="JD199" i="16"/>
  <c r="IY199" i="16"/>
  <c r="IT199" i="16"/>
  <c r="IO199" i="16"/>
  <c r="IJ199" i="16"/>
  <c r="IE199" i="16"/>
  <c r="HZ199" i="16"/>
  <c r="HU199" i="16"/>
  <c r="HP199" i="16"/>
  <c r="HK199" i="16"/>
  <c r="HF199" i="16"/>
  <c r="HA199" i="16"/>
  <c r="GV199" i="16"/>
  <c r="GQ199" i="16"/>
  <c r="GL199" i="16"/>
  <c r="JY199" i="16"/>
  <c r="JQ199" i="16"/>
  <c r="JK199" i="16"/>
  <c r="JE199" i="16"/>
  <c r="IW199" i="16"/>
  <c r="IQ199" i="16"/>
  <c r="IK199" i="16"/>
  <c r="IC199" i="16"/>
  <c r="HW199" i="16"/>
  <c r="HQ199" i="16"/>
  <c r="HI199" i="16"/>
  <c r="HC199" i="16"/>
  <c r="GW199" i="16"/>
  <c r="GO199" i="16"/>
  <c r="P199" i="16"/>
  <c r="L199" i="16"/>
  <c r="I200" i="16" s="1" a="1"/>
  <c r="I200" i="16" s="1"/>
  <c r="K200" i="16"/>
  <c r="JZ199" i="16"/>
  <c r="JP199" i="16"/>
  <c r="JG199" i="16"/>
  <c r="IZ199" i="16"/>
  <c r="IP199" i="16"/>
  <c r="IG199" i="16"/>
  <c r="HX199" i="16"/>
  <c r="HN199" i="16"/>
  <c r="HG199" i="16"/>
  <c r="GX199" i="16"/>
  <c r="GN199" i="16"/>
  <c r="KA199" i="16"/>
  <c r="JO199" i="16"/>
  <c r="JB199" i="16"/>
  <c r="IR199" i="16"/>
  <c r="IF199" i="16"/>
  <c r="HS199" i="16"/>
  <c r="HH199" i="16"/>
  <c r="GT199" i="16"/>
  <c r="M199" i="16"/>
  <c r="JV199" i="16"/>
  <c r="JJ199" i="16"/>
  <c r="IU199" i="16"/>
  <c r="IB199" i="16"/>
  <c r="HM199" i="16"/>
  <c r="GY199" i="16"/>
  <c r="N199" i="16"/>
  <c r="AP199" i="16" s="1"/>
  <c r="JU199" i="16"/>
  <c r="JA199" i="16"/>
  <c r="IH199" i="16"/>
  <c r="HL199" i="16"/>
  <c r="GR199" i="16"/>
  <c r="IV199" i="16"/>
  <c r="HV199" i="16"/>
  <c r="GS199" i="16"/>
  <c r="JT199" i="16"/>
  <c r="IM199" i="16"/>
  <c r="HR199" i="16"/>
  <c r="GM199" i="16"/>
  <c r="JF199" i="16"/>
  <c r="HB199" i="16"/>
  <c r="JL199" i="16"/>
  <c r="HD199" i="16"/>
  <c r="Q199" i="16"/>
  <c r="IA199" i="16"/>
  <c r="IL199" i="16"/>
  <c r="BF199" i="16"/>
  <c r="BF198" i="16"/>
  <c r="W197" i="16"/>
  <c r="Z197" i="16"/>
  <c r="V197" i="16"/>
  <c r="X197" i="16"/>
  <c r="Y197" i="16"/>
  <c r="U198" i="16"/>
  <c r="GE199" i="16"/>
  <c r="FZ199" i="16"/>
  <c r="FU199" i="16"/>
  <c r="FP199" i="16"/>
  <c r="FK199" i="16"/>
  <c r="FF199" i="16"/>
  <c r="FA199" i="16"/>
  <c r="EV199" i="16"/>
  <c r="EQ199" i="16"/>
  <c r="EL199" i="16"/>
  <c r="EG199" i="16"/>
  <c r="EB199" i="16"/>
  <c r="DW199" i="16"/>
  <c r="DR199" i="16"/>
  <c r="DM199" i="16"/>
  <c r="B200" i="16"/>
  <c r="GG199" i="16"/>
  <c r="GA199" i="16"/>
  <c r="FS199" i="16"/>
  <c r="FM199" i="16"/>
  <c r="FG199" i="16"/>
  <c r="EY199" i="16"/>
  <c r="ES199" i="16"/>
  <c r="EM199" i="16"/>
  <c r="EE199" i="16"/>
  <c r="DY199" i="16"/>
  <c r="DS199" i="16"/>
  <c r="DK199" i="16"/>
  <c r="DF199" i="16"/>
  <c r="DA199" i="16"/>
  <c r="CV199" i="16"/>
  <c r="H199" i="16"/>
  <c r="D199" i="16"/>
  <c r="GC199" i="16"/>
  <c r="FV199" i="16"/>
  <c r="FL199" i="16"/>
  <c r="FC199" i="16"/>
  <c r="ET199" i="16"/>
  <c r="EJ199" i="16"/>
  <c r="EC199" i="16"/>
  <c r="DT199" i="16"/>
  <c r="DJ199" i="16"/>
  <c r="DD199" i="16"/>
  <c r="CX199" i="16"/>
  <c r="E199" i="16"/>
  <c r="AH199" i="16" s="1"/>
  <c r="AX199" i="16" s="1"/>
  <c r="GH199" i="16"/>
  <c r="FW199" i="16"/>
  <c r="FI199" i="16"/>
  <c r="EX199" i="16"/>
  <c r="EN199" i="16"/>
  <c r="DZ199" i="16"/>
  <c r="DO199" i="16"/>
  <c r="DE199" i="16"/>
  <c r="CU199" i="16"/>
  <c r="F199" i="16"/>
  <c r="GF199" i="16"/>
  <c r="FQ199" i="16"/>
  <c r="FB199" i="16"/>
  <c r="EI199" i="16"/>
  <c r="DU199" i="16"/>
  <c r="DH199" i="16"/>
  <c r="CT199" i="16"/>
  <c r="C199" i="16"/>
  <c r="FR199" i="16"/>
  <c r="EW199" i="16"/>
  <c r="ED199" i="16"/>
  <c r="DI199" i="16"/>
  <c r="CS199" i="16"/>
  <c r="FN199" i="16"/>
  <c r="EO199" i="16"/>
  <c r="DN199" i="16"/>
  <c r="FH199" i="16"/>
  <c r="EH199" i="16"/>
  <c r="DC199" i="16"/>
  <c r="G199" i="16"/>
  <c r="ER199" i="16"/>
  <c r="CY199" i="16"/>
  <c r="FD199" i="16"/>
  <c r="CZ199" i="16"/>
  <c r="GB199" i="16"/>
  <c r="DP199" i="16"/>
  <c r="DX199" i="16"/>
  <c r="FX199" i="16"/>
  <c r="I199" i="16" a="1"/>
  <c r="I199" i="16" s="1"/>
  <c r="AC198" i="16"/>
  <c r="AB198" i="16"/>
  <c r="AS198" i="16"/>
  <c r="AR198" i="16"/>
  <c r="U199" i="16" l="1"/>
  <c r="X198" i="16"/>
  <c r="V198" i="16"/>
  <c r="Y198" i="16"/>
  <c r="Z198" i="16"/>
  <c r="W198" i="16"/>
  <c r="AB199" i="16"/>
  <c r="AR199" i="16"/>
  <c r="AC199" i="16"/>
  <c r="AS199" i="16"/>
  <c r="GH200" i="16"/>
  <c r="GC200" i="16"/>
  <c r="FX200" i="16"/>
  <c r="FS200" i="16"/>
  <c r="FN200" i="16"/>
  <c r="FI200" i="16"/>
  <c r="FD200" i="16"/>
  <c r="EY200" i="16"/>
  <c r="ET200" i="16"/>
  <c r="EO200" i="16"/>
  <c r="EJ200" i="16"/>
  <c r="EE200" i="16"/>
  <c r="DZ200" i="16"/>
  <c r="DU200" i="16"/>
  <c r="DP200" i="16"/>
  <c r="DK200" i="16"/>
  <c r="DF200" i="16"/>
  <c r="DA200" i="16"/>
  <c r="CV200" i="16"/>
  <c r="H200" i="16"/>
  <c r="D200" i="16"/>
  <c r="GB200" i="16"/>
  <c r="FV200" i="16"/>
  <c r="FP200" i="16"/>
  <c r="FH200" i="16"/>
  <c r="FB200" i="16"/>
  <c r="EV200" i="16"/>
  <c r="EN200" i="16"/>
  <c r="EH200" i="16"/>
  <c r="EB200" i="16"/>
  <c r="DT200" i="16"/>
  <c r="DN200" i="16"/>
  <c r="DH200" i="16"/>
  <c r="CZ200" i="16"/>
  <c r="CT200" i="16"/>
  <c r="G200" i="16"/>
  <c r="GE200" i="16"/>
  <c r="FU200" i="16"/>
  <c r="FL200" i="16"/>
  <c r="FC200" i="16"/>
  <c r="ES200" i="16"/>
  <c r="EL200" i="16"/>
  <c r="EC200" i="16"/>
  <c r="DS200" i="16"/>
  <c r="DJ200" i="16"/>
  <c r="DC200" i="16"/>
  <c r="CS200" i="16"/>
  <c r="E200" i="16"/>
  <c r="AH200" i="16" s="1"/>
  <c r="AX200" i="16" s="1"/>
  <c r="GF200" i="16"/>
  <c r="FR200" i="16"/>
  <c r="FG200" i="16"/>
  <c r="EW200" i="16"/>
  <c r="EI200" i="16"/>
  <c r="DX200" i="16"/>
  <c r="DM200" i="16"/>
  <c r="CY200" i="16"/>
  <c r="GA200" i="16"/>
  <c r="FM200" i="16"/>
  <c r="EX200" i="16"/>
  <c r="EG200" i="16"/>
  <c r="DR200" i="16"/>
  <c r="DD200" i="16"/>
  <c r="FQ200" i="16"/>
  <c r="ER200" i="16"/>
  <c r="DY200" i="16"/>
  <c r="DE200" i="16"/>
  <c r="FK200" i="16"/>
  <c r="EM200" i="16"/>
  <c r="DI200" i="16"/>
  <c r="GG200" i="16"/>
  <c r="FF200" i="16"/>
  <c r="ED200" i="16"/>
  <c r="CX200" i="16"/>
  <c r="FA200" i="16"/>
  <c r="CU200" i="16"/>
  <c r="FW200" i="16"/>
  <c r="DO200" i="16"/>
  <c r="EQ200" i="16"/>
  <c r="F200" i="16"/>
  <c r="FZ200" i="16"/>
  <c r="C200" i="16"/>
  <c r="DW200" i="16"/>
  <c r="KA200" i="16"/>
  <c r="JV200" i="16"/>
  <c r="JQ200" i="16"/>
  <c r="JL200" i="16"/>
  <c r="JG200" i="16"/>
  <c r="JB200" i="16"/>
  <c r="IW200" i="16"/>
  <c r="IR200" i="16"/>
  <c r="IM200" i="16"/>
  <c r="IH200" i="16"/>
  <c r="IC200" i="16"/>
  <c r="HX200" i="16"/>
  <c r="HS200" i="16"/>
  <c r="HN200" i="16"/>
  <c r="HI200" i="16"/>
  <c r="HD200" i="16"/>
  <c r="GY200" i="16"/>
  <c r="GT200" i="16"/>
  <c r="GO200" i="16"/>
  <c r="GQ80" i="16" s="1"/>
  <c r="P200" i="16"/>
  <c r="L200" i="16"/>
  <c r="BF200" i="16" s="1"/>
  <c r="JZ200" i="16"/>
  <c r="JT200" i="16"/>
  <c r="JN200" i="16"/>
  <c r="JF200" i="16"/>
  <c r="IZ200" i="16"/>
  <c r="IT200" i="16"/>
  <c r="IL200" i="16"/>
  <c r="IF200" i="16"/>
  <c r="HZ200" i="16"/>
  <c r="HR200" i="16"/>
  <c r="HL200" i="16"/>
  <c r="HF200" i="16"/>
  <c r="GX200" i="16"/>
  <c r="GR200" i="16"/>
  <c r="GL200" i="16"/>
  <c r="M200" i="16"/>
  <c r="JY200" i="16"/>
  <c r="JP200" i="16"/>
  <c r="JI200" i="16"/>
  <c r="IY200" i="16"/>
  <c r="IP200" i="16"/>
  <c r="IG200" i="16"/>
  <c r="HW200" i="16"/>
  <c r="HP200" i="16"/>
  <c r="HG200" i="16"/>
  <c r="GW200" i="16"/>
  <c r="GN200" i="16"/>
  <c r="JX200" i="16"/>
  <c r="JK200" i="16"/>
  <c r="JA200" i="16"/>
  <c r="IO200" i="16"/>
  <c r="IB200" i="16"/>
  <c r="HQ200" i="16"/>
  <c r="HC200" i="16"/>
  <c r="GS200" i="16"/>
  <c r="Q200" i="16"/>
  <c r="JU200" i="16"/>
  <c r="JE200" i="16"/>
  <c r="IQ200" i="16"/>
  <c r="IA200" i="16"/>
  <c r="HK200" i="16"/>
  <c r="GV200" i="16"/>
  <c r="JS200" i="16"/>
  <c r="IV200" i="16"/>
  <c r="IE200" i="16"/>
  <c r="HH200" i="16"/>
  <c r="GM200" i="16"/>
  <c r="N200" i="16"/>
  <c r="AP200" i="16" s="1"/>
  <c r="IU200" i="16"/>
  <c r="HU200" i="16"/>
  <c r="GQ200" i="16"/>
  <c r="JO200" i="16"/>
  <c r="IK200" i="16"/>
  <c r="HM200" i="16"/>
  <c r="JJ200" i="16"/>
  <c r="HB200" i="16"/>
  <c r="HV200" i="16"/>
  <c r="JD200" i="16"/>
  <c r="IJ200" i="16"/>
  <c r="HA200" i="16"/>
  <c r="U200" i="16" l="1"/>
  <c r="AB200" i="16"/>
  <c r="AS200" i="16"/>
  <c r="AR200" i="16"/>
  <c r="AC200" i="16"/>
  <c r="GT80" i="16"/>
  <c r="GQ82" i="16"/>
  <c r="GQ81" i="16"/>
  <c r="GQ83" i="16"/>
  <c r="GQ84" i="16"/>
  <c r="GQ85" i="16"/>
  <c r="GQ86" i="16"/>
  <c r="GQ87" i="16"/>
  <c r="GQ88" i="16"/>
  <c r="GQ89" i="16"/>
  <c r="GQ90" i="16"/>
  <c r="GQ91" i="16"/>
  <c r="GQ92" i="16"/>
  <c r="W199" i="16"/>
  <c r="X199" i="16"/>
  <c r="Y199" i="16"/>
  <c r="V199" i="16"/>
  <c r="Z199" i="16"/>
  <c r="W200" i="16" l="1"/>
  <c r="Z200" i="16"/>
  <c r="V200" i="16"/>
  <c r="Y200" i="16"/>
  <c r="X200" i="16"/>
  <c r="GS81" i="16"/>
  <c r="GR81" i="16" s="1"/>
  <c r="GW81" i="16" l="1"/>
  <c r="GT81" i="16"/>
  <c r="GS82" i="16" l="1"/>
  <c r="GR82" i="16" s="1"/>
  <c r="GT82" i="16" s="1"/>
  <c r="GY81" i="16"/>
  <c r="GV81" i="16"/>
  <c r="GV82" i="16" s="1"/>
  <c r="GS83" i="16" l="1"/>
  <c r="GR83" i="16" s="1"/>
  <c r="GT83" i="16" s="1"/>
  <c r="GV83" i="16"/>
  <c r="GX82" i="16"/>
  <c r="GW82" i="16" s="1"/>
  <c r="GY82" i="16" s="1"/>
  <c r="GX83" i="16" l="1"/>
  <c r="GW83" i="16" s="1"/>
  <c r="GY83" i="16" s="1"/>
  <c r="GS84" i="16"/>
  <c r="GR84" i="16" s="1"/>
  <c r="GT84" i="16" s="1"/>
  <c r="GV84" i="16"/>
  <c r="GX84" i="16" l="1"/>
  <c r="GW84" i="16" s="1"/>
  <c r="GY84" i="16" s="1"/>
  <c r="GS85" i="16"/>
  <c r="GR85" i="16" s="1"/>
  <c r="GT85" i="16" s="1"/>
  <c r="GV85" i="16"/>
  <c r="GX85" i="16" l="1"/>
  <c r="GW85" i="16" s="1"/>
  <c r="GY85" i="16" s="1"/>
  <c r="GS86" i="16"/>
  <c r="GR86" i="16" s="1"/>
  <c r="GT86" i="16" s="1"/>
  <c r="GV86" i="16"/>
  <c r="GX86" i="16" l="1"/>
  <c r="GW86" i="16" s="1"/>
  <c r="GY86" i="16" s="1"/>
  <c r="GS87" i="16"/>
  <c r="GR87" i="16" s="1"/>
  <c r="GT87" i="16" s="1"/>
  <c r="GV87" i="16"/>
  <c r="GS88" i="16" l="1"/>
  <c r="GR88" i="16" s="1"/>
  <c r="GT88" i="16" s="1"/>
  <c r="GX87" i="16"/>
  <c r="GW87" i="16" s="1"/>
  <c r="GY87" i="16" s="1"/>
  <c r="GV88" i="16"/>
  <c r="GS89" i="16" l="1"/>
  <c r="GR89" i="16" s="1"/>
  <c r="GT89" i="16" s="1"/>
  <c r="GX88" i="16"/>
  <c r="GW88" i="16" s="1"/>
  <c r="GY88" i="16" s="1"/>
  <c r="GV89" i="16"/>
  <c r="GX89" i="16" l="1"/>
  <c r="GW89" i="16" s="1"/>
  <c r="GY89" i="16" s="1"/>
  <c r="GS90" i="16"/>
  <c r="GR90" i="16" s="1"/>
  <c r="GT90" i="16" s="1"/>
  <c r="GV90" i="16"/>
  <c r="GS91" i="16" l="1"/>
  <c r="GR91" i="16" s="1"/>
  <c r="GT91" i="16" s="1"/>
  <c r="GX90" i="16"/>
  <c r="GW90" i="16" s="1"/>
  <c r="GY90" i="16" s="1"/>
  <c r="GV91" i="16"/>
  <c r="GS92" i="16" l="1"/>
  <c r="GR92" i="16" s="1"/>
  <c r="GT92" i="16" s="1"/>
  <c r="GX91" i="16"/>
  <c r="GW91" i="16" s="1"/>
  <c r="GY91" i="16" s="1"/>
  <c r="GV92" i="16"/>
  <c r="GX92" i="16" l="1"/>
  <c r="GW92" i="16" s="1"/>
  <c r="GY92" i="16" s="1"/>
  <c r="HA80" i="16" s="1"/>
  <c r="HD80" i="16" l="1"/>
  <c r="HA82" i="16"/>
  <c r="HA81" i="16"/>
  <c r="HA83" i="16"/>
  <c r="HA84" i="16"/>
  <c r="HA85" i="16"/>
  <c r="HA86" i="16"/>
  <c r="HA87" i="16"/>
  <c r="HA88" i="16"/>
  <c r="HA89" i="16"/>
  <c r="HA90" i="16"/>
  <c r="HA91" i="16"/>
  <c r="HA92" i="16"/>
  <c r="HC81" i="16" l="1"/>
  <c r="HB81" i="16" s="1"/>
  <c r="HG81" i="16" l="1"/>
  <c r="HD81" i="16"/>
  <c r="HC82" i="16" l="1"/>
  <c r="HB82" i="16" s="1"/>
  <c r="HD82" i="16" s="1"/>
  <c r="HF81" i="16"/>
  <c r="HF82" i="16" s="1"/>
  <c r="HI81" i="16"/>
  <c r="HF83" i="16" l="1"/>
  <c r="HC83" i="16"/>
  <c r="HB83" i="16" s="1"/>
  <c r="HD83" i="16" s="1"/>
  <c r="HH82" i="16"/>
  <c r="HG82" i="16" s="1"/>
  <c r="HI82" i="16" s="1"/>
  <c r="HH83" i="16" l="1"/>
  <c r="HG83" i="16" s="1"/>
  <c r="HI83" i="16" s="1"/>
  <c r="HC84" i="16"/>
  <c r="HB84" i="16" s="1"/>
  <c r="HD84" i="16" s="1"/>
  <c r="HF84" i="16"/>
  <c r="HC85" i="16" l="1"/>
  <c r="HB85" i="16" s="1"/>
  <c r="HD85" i="16" s="1"/>
  <c r="HH84" i="16"/>
  <c r="HG84" i="16" s="1"/>
  <c r="HI84" i="16" s="1"/>
  <c r="HF85" i="16"/>
  <c r="HH85" i="16" l="1"/>
  <c r="HG85" i="16" s="1"/>
  <c r="HI85" i="16" s="1"/>
  <c r="HC86" i="16"/>
  <c r="HB86" i="16" s="1"/>
  <c r="HD86" i="16" s="1"/>
  <c r="HF86" i="16"/>
  <c r="HH86" i="16" l="1"/>
  <c r="HG86" i="16" s="1"/>
  <c r="HI86" i="16" s="1"/>
  <c r="HC87" i="16"/>
  <c r="HB87" i="16" s="1"/>
  <c r="HD87" i="16" s="1"/>
  <c r="HF87" i="16"/>
  <c r="HC88" i="16" l="1"/>
  <c r="HB88" i="16" s="1"/>
  <c r="HD88" i="16" s="1"/>
  <c r="HH87" i="16"/>
  <c r="HG87" i="16" s="1"/>
  <c r="HI87" i="16" s="1"/>
  <c r="HF88" i="16"/>
  <c r="HH88" i="16" l="1"/>
  <c r="HG88" i="16" s="1"/>
  <c r="HI88" i="16" s="1"/>
  <c r="HC89" i="16"/>
  <c r="HB89" i="16" s="1"/>
  <c r="HD89" i="16" s="1"/>
  <c r="HF89" i="16"/>
  <c r="HC90" i="16" l="1"/>
  <c r="HB90" i="16" s="1"/>
  <c r="HD90" i="16" s="1"/>
  <c r="HH89" i="16"/>
  <c r="HG89" i="16" s="1"/>
  <c r="HI89" i="16" s="1"/>
  <c r="HF90" i="16"/>
  <c r="HH90" i="16" l="1"/>
  <c r="HG90" i="16" s="1"/>
  <c r="HI90" i="16" s="1"/>
  <c r="HC91" i="16"/>
  <c r="HB91" i="16" s="1"/>
  <c r="HD91" i="16" s="1"/>
  <c r="HF91" i="16"/>
  <c r="HC92" i="16" l="1"/>
  <c r="HB92" i="16" s="1"/>
  <c r="HD92" i="16" s="1"/>
  <c r="HH91" i="16"/>
  <c r="HG91" i="16" s="1"/>
  <c r="HI91" i="16" s="1"/>
  <c r="HF92" i="16"/>
  <c r="HH92" i="16" l="1"/>
  <c r="HG92" i="16" s="1"/>
  <c r="HI92" i="16" s="1"/>
  <c r="HK80" i="16" s="1"/>
  <c r="HN80" i="16" l="1"/>
  <c r="HK82" i="16"/>
  <c r="HK81" i="16"/>
  <c r="HK83" i="16"/>
  <c r="HK84" i="16"/>
  <c r="HK85" i="16"/>
  <c r="HK86" i="16"/>
  <c r="HK87" i="16"/>
  <c r="HK88" i="16"/>
  <c r="HK89" i="16"/>
  <c r="HK90" i="16"/>
  <c r="HK91" i="16"/>
  <c r="HK92" i="16"/>
  <c r="HM81" i="16" l="1"/>
  <c r="HL81" i="16" s="1"/>
  <c r="HQ81" i="16" l="1"/>
  <c r="HN81" i="16"/>
  <c r="HM82" i="16" l="1"/>
  <c r="HL82" i="16" s="1"/>
  <c r="HN82" i="16" s="1"/>
  <c r="HS81" i="16"/>
  <c r="HP81" i="16"/>
  <c r="HP82" i="16" s="1"/>
  <c r="HM83" i="16" l="1"/>
  <c r="HL83" i="16" s="1"/>
  <c r="HN83" i="16" s="1"/>
  <c r="HR82" i="16"/>
  <c r="HQ82" i="16" s="1"/>
  <c r="HS82" i="16" s="1"/>
  <c r="HP83" i="16"/>
  <c r="HR83" i="16" l="1"/>
  <c r="HQ83" i="16" s="1"/>
  <c r="HS83" i="16" s="1"/>
  <c r="HM84" i="16"/>
  <c r="HL84" i="16" s="1"/>
  <c r="HN84" i="16" s="1"/>
  <c r="HP84" i="16"/>
  <c r="HR84" i="16" l="1"/>
  <c r="HQ84" i="16" s="1"/>
  <c r="HS84" i="16" s="1"/>
  <c r="HM85" i="16"/>
  <c r="HL85" i="16" s="1"/>
  <c r="HN85" i="16" s="1"/>
  <c r="HP85" i="16"/>
  <c r="HR85" i="16" l="1"/>
  <c r="HQ85" i="16" s="1"/>
  <c r="HS85" i="16" s="1"/>
  <c r="HP86" i="16"/>
  <c r="HM86" i="16"/>
  <c r="HL86" i="16" s="1"/>
  <c r="HN86" i="16" s="1"/>
  <c r="HR86" i="16" l="1"/>
  <c r="HQ86" i="16" s="1"/>
  <c r="HS86" i="16" s="1"/>
  <c r="HM87" i="16"/>
  <c r="HL87" i="16" s="1"/>
  <c r="HN87" i="16" s="1"/>
  <c r="HP87" i="16"/>
  <c r="HM88" i="16" l="1"/>
  <c r="HL88" i="16" s="1"/>
  <c r="HN88" i="16" s="1"/>
  <c r="HR87" i="16"/>
  <c r="HQ87" i="16" s="1"/>
  <c r="HS87" i="16" s="1"/>
  <c r="HP88" i="16"/>
  <c r="HR88" i="16" l="1"/>
  <c r="HQ88" i="16" s="1"/>
  <c r="HS88" i="16" s="1"/>
  <c r="HM89" i="16"/>
  <c r="HL89" i="16" s="1"/>
  <c r="HN89" i="16" s="1"/>
  <c r="HP89" i="16"/>
  <c r="HR89" i="16" l="1"/>
  <c r="HQ89" i="16" s="1"/>
  <c r="HS89" i="16" s="1"/>
  <c r="HM90" i="16"/>
  <c r="HL90" i="16" s="1"/>
  <c r="HN90" i="16" s="1"/>
  <c r="HP90" i="16"/>
  <c r="HM91" i="16" l="1"/>
  <c r="HL91" i="16" s="1"/>
  <c r="HN91" i="16" s="1"/>
  <c r="HR90" i="16"/>
  <c r="HQ90" i="16" s="1"/>
  <c r="HS90" i="16" s="1"/>
  <c r="HP91" i="16"/>
  <c r="HR91" i="16" l="1"/>
  <c r="HQ91" i="16" s="1"/>
  <c r="HS91" i="16" s="1"/>
  <c r="HM92" i="16"/>
  <c r="HL92" i="16" s="1"/>
  <c r="HN92" i="16" s="1"/>
  <c r="HP92" i="16"/>
  <c r="HR92" i="16" l="1"/>
  <c r="HQ92" i="16" s="1"/>
  <c r="HS92" i="16" s="1"/>
  <c r="HU80" i="16" s="1"/>
  <c r="HX80" i="16" l="1"/>
  <c r="HU82" i="16"/>
  <c r="HU81" i="16"/>
  <c r="HU83" i="16"/>
  <c r="HU84" i="16"/>
  <c r="HU85" i="16"/>
  <c r="HU86" i="16"/>
  <c r="HU87" i="16"/>
  <c r="HU88" i="16"/>
  <c r="HU89" i="16"/>
  <c r="HU90" i="16"/>
  <c r="HU91" i="16"/>
  <c r="HU92" i="16"/>
  <c r="HW81" i="16" l="1"/>
  <c r="HV81" i="16" s="1"/>
  <c r="IA81" i="16" s="1"/>
  <c r="HZ81" i="16" l="1"/>
  <c r="HZ82" i="16" s="1"/>
  <c r="IC81" i="16"/>
  <c r="HX81" i="16"/>
  <c r="HW82" i="16" l="1"/>
  <c r="HV82" i="16" s="1"/>
  <c r="HX82" i="16" s="1"/>
  <c r="IB82" i="16"/>
  <c r="IA82" i="16" s="1"/>
  <c r="IC82" i="16" s="1"/>
  <c r="HZ83" i="16"/>
  <c r="IB83" i="16" l="1"/>
  <c r="IA83" i="16" s="1"/>
  <c r="IC83" i="16" s="1"/>
  <c r="HW83" i="16"/>
  <c r="HV83" i="16" s="1"/>
  <c r="HX83" i="16" s="1"/>
  <c r="HZ84" i="16"/>
  <c r="IB84" i="16" l="1"/>
  <c r="IA84" i="16" s="1"/>
  <c r="IC84" i="16" s="1"/>
  <c r="HW84" i="16"/>
  <c r="HV84" i="16" s="1"/>
  <c r="HX84" i="16" s="1"/>
  <c r="HZ85" i="16"/>
  <c r="HW85" i="16" l="1"/>
  <c r="HV85" i="16" s="1"/>
  <c r="HX85" i="16" s="1"/>
  <c r="IB85" i="16"/>
  <c r="IA85" i="16" s="1"/>
  <c r="IC85" i="16" s="1"/>
  <c r="HZ86" i="16"/>
  <c r="HW86" i="16" l="1"/>
  <c r="HV86" i="16" s="1"/>
  <c r="HX86" i="16" s="1"/>
  <c r="IB86" i="16"/>
  <c r="IA86" i="16" s="1"/>
  <c r="IC86" i="16" s="1"/>
  <c r="HZ87" i="16"/>
  <c r="IB87" i="16" l="1"/>
  <c r="IA87" i="16" s="1"/>
  <c r="IC87" i="16" s="1"/>
  <c r="HW87" i="16"/>
  <c r="HV87" i="16" s="1"/>
  <c r="HX87" i="16" s="1"/>
  <c r="HZ88" i="16"/>
  <c r="IB88" i="16" l="1"/>
  <c r="IA88" i="16" s="1"/>
  <c r="IC88" i="16" s="1"/>
  <c r="HZ89" i="16"/>
  <c r="HW88" i="16"/>
  <c r="HV88" i="16" s="1"/>
  <c r="HX88" i="16" s="1"/>
  <c r="IB89" i="16" l="1"/>
  <c r="IA89" i="16" s="1"/>
  <c r="IC89" i="16" s="1"/>
  <c r="HZ90" i="16"/>
  <c r="HW89" i="16"/>
  <c r="HV89" i="16" s="1"/>
  <c r="HX89" i="16" s="1"/>
  <c r="IB90" i="16" l="1"/>
  <c r="IA90" i="16" s="1"/>
  <c r="IC90" i="16" s="1"/>
  <c r="HZ91" i="16"/>
  <c r="HW90" i="16"/>
  <c r="HV90" i="16" s="1"/>
  <c r="HX90" i="16" s="1"/>
  <c r="IB91" i="16" l="1"/>
  <c r="IA91" i="16" s="1"/>
  <c r="IC91" i="16" s="1"/>
  <c r="HZ92" i="16"/>
  <c r="HW91" i="16"/>
  <c r="HV91" i="16" s="1"/>
  <c r="HX91" i="16" s="1"/>
  <c r="IB92" i="16" l="1"/>
  <c r="IA92" i="16" s="1"/>
  <c r="IC92" i="16" s="1"/>
  <c r="IE80" i="16" s="1"/>
  <c r="HW92" i="16"/>
  <c r="HV92" i="16" s="1"/>
  <c r="HX92" i="16" s="1"/>
  <c r="IH80" i="16" l="1"/>
  <c r="IE82" i="16"/>
  <c r="IE81" i="16"/>
  <c r="IE83" i="16"/>
  <c r="IE84" i="16"/>
  <c r="IE85" i="16"/>
  <c r="IE86" i="16"/>
  <c r="IE87" i="16"/>
  <c r="IE88" i="16"/>
  <c r="IE89" i="16"/>
  <c r="IE90" i="16"/>
  <c r="IE91" i="16"/>
  <c r="IE92" i="16"/>
  <c r="IG81" i="16" l="1"/>
  <c r="IF81" i="16" s="1"/>
  <c r="IK81" i="16" l="1"/>
  <c r="IH81" i="16"/>
  <c r="IG82" i="16" l="1"/>
  <c r="IF82" i="16" s="1"/>
  <c r="IH82" i="16" s="1"/>
  <c r="IM81" i="16"/>
  <c r="IJ81" i="16"/>
  <c r="IJ82" i="16" s="1"/>
  <c r="IG83" i="16" l="1"/>
  <c r="IF83" i="16" s="1"/>
  <c r="IH83" i="16" s="1"/>
  <c r="IL82" i="16"/>
  <c r="IK82" i="16" s="1"/>
  <c r="IM82" i="16" s="1"/>
  <c r="IJ83" i="16"/>
  <c r="IL83" i="16" l="1"/>
  <c r="IK83" i="16" s="1"/>
  <c r="IM83" i="16" s="1"/>
  <c r="IG84" i="16"/>
  <c r="IF84" i="16" s="1"/>
  <c r="IH84" i="16" s="1"/>
  <c r="IJ84" i="16"/>
  <c r="IG85" i="16" l="1"/>
  <c r="IF85" i="16" s="1"/>
  <c r="IH85" i="16" s="1"/>
  <c r="IL84" i="16"/>
  <c r="IK84" i="16" s="1"/>
  <c r="IM84" i="16" s="1"/>
  <c r="IJ85" i="16"/>
  <c r="IL85" i="16" l="1"/>
  <c r="IK85" i="16" s="1"/>
  <c r="IM85" i="16" s="1"/>
  <c r="IG86" i="16"/>
  <c r="IF86" i="16" s="1"/>
  <c r="IH86" i="16" s="1"/>
  <c r="IJ86" i="16"/>
  <c r="IL86" i="16" l="1"/>
  <c r="IK86" i="16" s="1"/>
  <c r="IM86" i="16" s="1"/>
  <c r="IG87" i="16"/>
  <c r="IF87" i="16" s="1"/>
  <c r="IH87" i="16" s="1"/>
  <c r="IJ87" i="16"/>
  <c r="IL87" i="16" l="1"/>
  <c r="IK87" i="16" s="1"/>
  <c r="IM87" i="16" s="1"/>
  <c r="IG88" i="16"/>
  <c r="IF88" i="16" s="1"/>
  <c r="IH88" i="16" s="1"/>
  <c r="IJ88" i="16"/>
  <c r="IG89" i="16" l="1"/>
  <c r="IF89" i="16" s="1"/>
  <c r="IH89" i="16" s="1"/>
  <c r="IL88" i="16"/>
  <c r="IK88" i="16" s="1"/>
  <c r="IM88" i="16" s="1"/>
  <c r="IJ89" i="16"/>
  <c r="IL89" i="16" l="1"/>
  <c r="IK89" i="16" s="1"/>
  <c r="IM89" i="16" s="1"/>
  <c r="IG90" i="16"/>
  <c r="IF90" i="16" s="1"/>
  <c r="IH90" i="16" s="1"/>
  <c r="IJ90" i="16"/>
  <c r="IG91" i="16" l="1"/>
  <c r="IF91" i="16" s="1"/>
  <c r="IH91" i="16" s="1"/>
  <c r="IL90" i="16"/>
  <c r="IK90" i="16" s="1"/>
  <c r="IM90" i="16" s="1"/>
  <c r="IJ91" i="16"/>
  <c r="IL91" i="16" l="1"/>
  <c r="IK91" i="16" s="1"/>
  <c r="IM91" i="16" s="1"/>
  <c r="IG92" i="16"/>
  <c r="IF92" i="16" s="1"/>
  <c r="IH92" i="16" s="1"/>
  <c r="IJ92" i="16"/>
  <c r="IL92" i="16" l="1"/>
  <c r="IK92" i="16" s="1"/>
  <c r="IM92" i="16" s="1"/>
  <c r="IO80" i="16" s="1"/>
  <c r="IR80" i="16" l="1"/>
  <c r="IO82" i="16"/>
  <c r="IO83" i="16"/>
  <c r="IO81" i="16"/>
  <c r="IO84" i="16"/>
  <c r="IO85" i="16"/>
  <c r="IO86" i="16"/>
  <c r="IO87" i="16"/>
  <c r="IO88" i="16"/>
  <c r="IO89" i="16"/>
  <c r="IO90" i="16"/>
  <c r="IO91" i="16"/>
  <c r="IO92" i="16"/>
  <c r="IQ81" i="16" l="1"/>
  <c r="IP81" i="16" s="1"/>
  <c r="IU81" i="16" l="1"/>
  <c r="IR81" i="16"/>
  <c r="IQ82" i="16" l="1"/>
  <c r="IP82" i="16" s="1"/>
  <c r="IR82" i="16" s="1"/>
  <c r="IT81" i="16"/>
  <c r="IT82" i="16" s="1"/>
  <c r="IW81" i="16"/>
  <c r="IQ83" i="16" l="1"/>
  <c r="IP83" i="16" s="1"/>
  <c r="IR83" i="16" s="1"/>
  <c r="IV82" i="16"/>
  <c r="IU82" i="16" s="1"/>
  <c r="IW82" i="16" s="1"/>
  <c r="IT83" i="16"/>
  <c r="IV83" i="16" l="1"/>
  <c r="IU83" i="16" s="1"/>
  <c r="IW83" i="16" s="1"/>
  <c r="IQ84" i="16"/>
  <c r="IP84" i="16" s="1"/>
  <c r="IR84" i="16" s="1"/>
  <c r="IT84" i="16"/>
  <c r="IQ85" i="16" l="1"/>
  <c r="IP85" i="16" s="1"/>
  <c r="IR85" i="16" s="1"/>
  <c r="IV84" i="16"/>
  <c r="IU84" i="16" s="1"/>
  <c r="IW84" i="16" s="1"/>
  <c r="IT85" i="16"/>
  <c r="IV85" i="16" l="1"/>
  <c r="IU85" i="16" s="1"/>
  <c r="IW85" i="16" s="1"/>
  <c r="IQ86" i="16"/>
  <c r="IP86" i="16" s="1"/>
  <c r="IR86" i="16" s="1"/>
  <c r="IT86" i="16"/>
  <c r="IQ87" i="16" l="1"/>
  <c r="IP87" i="16" s="1"/>
  <c r="IR87" i="16" s="1"/>
  <c r="IV86" i="16"/>
  <c r="IU86" i="16" s="1"/>
  <c r="IW86" i="16" s="1"/>
  <c r="IT87" i="16"/>
  <c r="IV87" i="16" l="1"/>
  <c r="IU87" i="16" s="1"/>
  <c r="IW87" i="16" s="1"/>
  <c r="IQ88" i="16"/>
  <c r="IP88" i="16" s="1"/>
  <c r="IR88" i="16" s="1"/>
  <c r="IT88" i="16"/>
  <c r="IQ89" i="16" l="1"/>
  <c r="IP89" i="16" s="1"/>
  <c r="IR89" i="16" s="1"/>
  <c r="IV88" i="16"/>
  <c r="IU88" i="16" s="1"/>
  <c r="IW88" i="16" s="1"/>
  <c r="IT89" i="16"/>
  <c r="IV89" i="16" l="1"/>
  <c r="IU89" i="16" s="1"/>
  <c r="IW89" i="16" s="1"/>
  <c r="IQ90" i="16"/>
  <c r="IP90" i="16" s="1"/>
  <c r="IR90" i="16" s="1"/>
  <c r="IT90" i="16"/>
  <c r="IQ91" i="16" l="1"/>
  <c r="IP91" i="16" s="1"/>
  <c r="IR91" i="16" s="1"/>
  <c r="IV90" i="16"/>
  <c r="IU90" i="16" s="1"/>
  <c r="IW90" i="16" s="1"/>
  <c r="IT91" i="16"/>
  <c r="IQ92" i="16" l="1"/>
  <c r="IP92" i="16" s="1"/>
  <c r="IR92" i="16" s="1"/>
  <c r="IV91" i="16"/>
  <c r="IU91" i="16" s="1"/>
  <c r="IW91" i="16" s="1"/>
  <c r="IT92" i="16"/>
  <c r="IV92" i="16" l="1"/>
  <c r="IU92" i="16" s="1"/>
  <c r="IW92" i="16" s="1"/>
  <c r="IY80" i="16" s="1"/>
  <c r="JB80" i="16" l="1"/>
  <c r="IY81" i="16"/>
  <c r="IY82" i="16"/>
  <c r="IY83" i="16"/>
  <c r="IY84" i="16"/>
  <c r="IY85" i="16"/>
  <c r="IY86" i="16"/>
  <c r="IY87" i="16"/>
  <c r="IY88" i="16"/>
  <c r="IY89" i="16"/>
  <c r="IY90" i="16"/>
  <c r="IY91" i="16"/>
  <c r="IY92" i="16"/>
  <c r="JA81" i="16" l="1"/>
  <c r="IZ81" i="16" s="1"/>
  <c r="JE81" i="16" l="1"/>
  <c r="JG81" i="16" s="1"/>
  <c r="JB81" i="16"/>
  <c r="JA82" i="16" s="1"/>
  <c r="IZ82" i="16" s="1"/>
  <c r="JB82" i="16" s="1"/>
  <c r="JD81" i="16" l="1"/>
  <c r="JD82" i="16" s="1"/>
  <c r="JD83" i="16" s="1"/>
  <c r="JA83" i="16"/>
  <c r="IZ83" i="16" s="1"/>
  <c r="JB83" i="16" s="1"/>
  <c r="JF82" i="16"/>
  <c r="JE82" i="16" l="1"/>
  <c r="JG82" i="16" s="1"/>
  <c r="JF83" i="16" s="1"/>
  <c r="JE83" i="16" s="1"/>
  <c r="JG83" i="16" s="1"/>
  <c r="JA84" i="16"/>
  <c r="IZ84" i="16" s="1"/>
  <c r="JB84" i="16" s="1"/>
  <c r="JD84" i="16"/>
  <c r="JF84" i="16" l="1"/>
  <c r="JE84" i="16" s="1"/>
  <c r="JG84" i="16" s="1"/>
  <c r="JD85" i="16"/>
  <c r="JA85" i="16"/>
  <c r="IZ85" i="16" s="1"/>
  <c r="JB85" i="16" s="1"/>
  <c r="JF85" i="16" l="1"/>
  <c r="JE85" i="16" s="1"/>
  <c r="JG85" i="16" s="1"/>
  <c r="JA86" i="16"/>
  <c r="IZ86" i="16" s="1"/>
  <c r="JB86" i="16" s="1"/>
  <c r="JD86" i="16"/>
  <c r="JF86" i="16" l="1"/>
  <c r="JE86" i="16" s="1"/>
  <c r="JG86" i="16" s="1"/>
  <c r="JA87" i="16"/>
  <c r="IZ87" i="16" s="1"/>
  <c r="JB87" i="16" s="1"/>
  <c r="JD87" i="16"/>
  <c r="JA88" i="16" l="1"/>
  <c r="IZ88" i="16" s="1"/>
  <c r="JB88" i="16" s="1"/>
  <c r="JF87" i="16"/>
  <c r="JE87" i="16" s="1"/>
  <c r="JG87" i="16" s="1"/>
  <c r="JD88" i="16"/>
  <c r="JF88" i="16" l="1"/>
  <c r="JE88" i="16" s="1"/>
  <c r="JG88" i="16" s="1"/>
  <c r="JA89" i="16"/>
  <c r="IZ89" i="16" s="1"/>
  <c r="JB89" i="16" s="1"/>
  <c r="JD89" i="16"/>
  <c r="JA90" i="16" l="1"/>
  <c r="IZ90" i="16" s="1"/>
  <c r="JB90" i="16" s="1"/>
  <c r="JF89" i="16"/>
  <c r="JE89" i="16" s="1"/>
  <c r="JG89" i="16" s="1"/>
  <c r="JD90" i="16"/>
  <c r="JF90" i="16" l="1"/>
  <c r="JE90" i="16" s="1"/>
  <c r="JG90" i="16" s="1"/>
  <c r="JA91" i="16"/>
  <c r="IZ91" i="16" s="1"/>
  <c r="JB91" i="16" s="1"/>
  <c r="JD91" i="16"/>
  <c r="JA92" i="16" l="1"/>
  <c r="IZ92" i="16" s="1"/>
  <c r="JB92" i="16" s="1"/>
  <c r="JF91" i="16"/>
  <c r="JE91" i="16" s="1"/>
  <c r="JG91" i="16" s="1"/>
  <c r="JD92" i="16"/>
  <c r="JF92" i="16" l="1"/>
  <c r="JE92" i="16" s="1"/>
  <c r="JG92" i="16" s="1"/>
  <c r="JI80" i="16" s="1"/>
  <c r="JL80" i="16" l="1"/>
  <c r="JI82" i="16"/>
  <c r="JI83" i="16"/>
  <c r="JI81" i="16"/>
  <c r="JI84" i="16"/>
  <c r="JI85" i="16"/>
  <c r="JI86" i="16"/>
  <c r="JI87" i="16"/>
  <c r="JI88" i="16"/>
  <c r="JI89" i="16"/>
  <c r="JI90" i="16"/>
  <c r="JI91" i="16"/>
  <c r="JI92" i="16"/>
  <c r="JK81" i="16" l="1"/>
  <c r="JJ81" i="16" s="1"/>
  <c r="JO81" i="16" l="1"/>
  <c r="JL81" i="16"/>
  <c r="JK82" i="16" l="1"/>
  <c r="JJ82" i="16" s="1"/>
  <c r="JL82" i="16" s="1"/>
  <c r="JN81" i="16"/>
  <c r="JN82" i="16" s="1"/>
  <c r="JQ81" i="16"/>
  <c r="JK83" i="16" l="1"/>
  <c r="JJ83" i="16" s="1"/>
  <c r="JL83" i="16" s="1"/>
  <c r="JP82" i="16"/>
  <c r="JO82" i="16" s="1"/>
  <c r="JQ82" i="16" s="1"/>
  <c r="JN83" i="16"/>
  <c r="JP83" i="16" l="1"/>
  <c r="JO83" i="16" s="1"/>
  <c r="JQ83" i="16" s="1"/>
  <c r="JK84" i="16"/>
  <c r="JJ84" i="16" s="1"/>
  <c r="JL84" i="16" s="1"/>
  <c r="JN84" i="16"/>
  <c r="JK85" i="16" l="1"/>
  <c r="JJ85" i="16" s="1"/>
  <c r="JL85" i="16" s="1"/>
  <c r="JP84" i="16"/>
  <c r="JO84" i="16" s="1"/>
  <c r="JQ84" i="16" s="1"/>
  <c r="JN85" i="16"/>
  <c r="JP85" i="16" l="1"/>
  <c r="JO85" i="16" s="1"/>
  <c r="JQ85" i="16" s="1"/>
  <c r="JK86" i="16"/>
  <c r="JJ86" i="16" s="1"/>
  <c r="JL86" i="16" s="1"/>
  <c r="JN86" i="16"/>
  <c r="JK87" i="16" l="1"/>
  <c r="JJ87" i="16" s="1"/>
  <c r="JL87" i="16" s="1"/>
  <c r="JP86" i="16"/>
  <c r="JO86" i="16" s="1"/>
  <c r="JQ86" i="16" s="1"/>
  <c r="JN87" i="16"/>
  <c r="JP87" i="16" l="1"/>
  <c r="JO87" i="16" s="1"/>
  <c r="JQ87" i="16" s="1"/>
  <c r="JK88" i="16"/>
  <c r="JJ88" i="16" s="1"/>
  <c r="JL88" i="16" s="1"/>
  <c r="JN88" i="16"/>
  <c r="JP88" i="16" l="1"/>
  <c r="JO88" i="16" s="1"/>
  <c r="JQ88" i="16" s="1"/>
  <c r="JN89" i="16"/>
  <c r="JK89" i="16"/>
  <c r="JJ89" i="16" s="1"/>
  <c r="JL89" i="16" s="1"/>
  <c r="JP89" i="16" l="1"/>
  <c r="JO89" i="16" s="1"/>
  <c r="JQ89" i="16" s="1"/>
  <c r="JK90" i="16"/>
  <c r="JJ90" i="16" s="1"/>
  <c r="JL90" i="16" s="1"/>
  <c r="JN90" i="16"/>
  <c r="JK91" i="16" l="1"/>
  <c r="JJ91" i="16" s="1"/>
  <c r="JL91" i="16" s="1"/>
  <c r="JP90" i="16"/>
  <c r="JO90" i="16" s="1"/>
  <c r="JQ90" i="16" s="1"/>
  <c r="JN91" i="16"/>
  <c r="JP91" i="16" l="1"/>
  <c r="JO91" i="16" s="1"/>
  <c r="JQ91" i="16" s="1"/>
  <c r="JK92" i="16"/>
  <c r="JJ92" i="16" s="1"/>
  <c r="JL92" i="16" s="1"/>
  <c r="JN92" i="16"/>
  <c r="JP92" i="16" l="1"/>
  <c r="JO92" i="16" s="1"/>
  <c r="JQ92" i="16" s="1"/>
  <c r="JS80" i="16" s="1"/>
  <c r="JV80" i="16" l="1"/>
  <c r="JS82" i="16"/>
  <c r="JS81" i="16"/>
  <c r="JS83" i="16"/>
  <c r="JS84" i="16"/>
  <c r="JS85" i="16"/>
  <c r="JS86" i="16"/>
  <c r="JS87" i="16"/>
  <c r="JS88" i="16"/>
  <c r="JS89" i="16"/>
  <c r="JS90" i="16"/>
  <c r="JS91" i="16"/>
  <c r="JS92" i="16"/>
  <c r="JU81" i="16" l="1"/>
  <c r="JT81" i="16" s="1"/>
  <c r="JY81" i="16" l="1"/>
  <c r="JV81" i="16"/>
  <c r="JU82" i="16" l="1"/>
  <c r="JT82" i="16" s="1"/>
  <c r="JV82" i="16" s="1"/>
  <c r="KA81" i="16"/>
  <c r="JX81" i="16"/>
  <c r="M81" i="16" l="1"/>
  <c r="JX82" i="16"/>
  <c r="Q81" i="16"/>
  <c r="JZ82" i="16"/>
  <c r="P82" i="16" s="1"/>
  <c r="JU83" i="16"/>
  <c r="JT83" i="16" s="1"/>
  <c r="JV83" i="16" s="1"/>
  <c r="JU84" i="16" l="1"/>
  <c r="JT84" i="16" s="1"/>
  <c r="JV84" i="16" s="1"/>
  <c r="JY82" i="16"/>
  <c r="KA82" i="16" s="1"/>
  <c r="JX83" i="16"/>
  <c r="BF82" i="16"/>
  <c r="N82" i="16"/>
  <c r="AP82" i="16" s="1"/>
  <c r="JU85" i="16" l="1"/>
  <c r="JT85" i="16" s="1"/>
  <c r="JV85" i="16" s="1"/>
  <c r="M82" i="16"/>
  <c r="Q82" i="16"/>
  <c r="JZ83" i="16"/>
  <c r="P83" i="16" s="1"/>
  <c r="JX84" i="16"/>
  <c r="JU86" i="16" l="1"/>
  <c r="JT86" i="16" s="1"/>
  <c r="JV86" i="16" s="1"/>
  <c r="JX85" i="16"/>
  <c r="JY83" i="16"/>
  <c r="KA83" i="16" s="1"/>
  <c r="BF83" i="16"/>
  <c r="N83" i="16"/>
  <c r="JU87" i="16" l="1"/>
  <c r="JT87" i="16" s="1"/>
  <c r="JV87" i="16" s="1"/>
  <c r="Q83" i="16"/>
  <c r="JZ84" i="16"/>
  <c r="JX86" i="16"/>
  <c r="AP83" i="16"/>
  <c r="M83" i="16"/>
  <c r="JU88" i="16" l="1"/>
  <c r="JT88" i="16" s="1"/>
  <c r="JV88" i="16" s="1"/>
  <c r="P84" i="16"/>
  <c r="JY84" i="16"/>
  <c r="KA84" i="16" s="1"/>
  <c r="BF84" i="16"/>
  <c r="N84" i="16"/>
  <c r="JX87" i="16"/>
  <c r="JU89" i="16" l="1"/>
  <c r="JT89" i="16" s="1"/>
  <c r="JV89" i="16" s="1"/>
  <c r="AP84" i="16"/>
  <c r="M84" i="16"/>
  <c r="JX88" i="16"/>
  <c r="Q84" i="16"/>
  <c r="JZ85" i="16"/>
  <c r="JU90" i="16" l="1"/>
  <c r="JT90" i="16" s="1"/>
  <c r="JV90" i="16" s="1"/>
  <c r="BF85" i="16"/>
  <c r="N85" i="16"/>
  <c r="JX89" i="16"/>
  <c r="P85" i="16"/>
  <c r="JY85" i="16"/>
  <c r="KA85" i="16" s="1"/>
  <c r="JU91" i="16" l="1"/>
  <c r="JT91" i="16" s="1"/>
  <c r="JV91" i="16" s="1"/>
  <c r="Q85" i="16"/>
  <c r="JZ86" i="16"/>
  <c r="AP85" i="16"/>
  <c r="M85" i="16"/>
  <c r="JX90" i="16"/>
  <c r="JU92" i="16" l="1"/>
  <c r="JT92" i="16" s="1"/>
  <c r="JV92" i="16" s="1"/>
  <c r="P86" i="16"/>
  <c r="JY86" i="16"/>
  <c r="KA86" i="16" s="1"/>
  <c r="BF86" i="16"/>
  <c r="N86" i="16"/>
  <c r="JX91" i="16"/>
  <c r="AP86" i="16" l="1"/>
  <c r="M86" i="16"/>
  <c r="Q86" i="16"/>
  <c r="JZ87" i="16"/>
  <c r="P87" i="16" l="1"/>
  <c r="JY87" i="16"/>
  <c r="KA87" i="16" s="1"/>
  <c r="BF87" i="16"/>
  <c r="N87" i="16"/>
  <c r="Q87" i="16" l="1"/>
  <c r="JZ88" i="16"/>
  <c r="AP87" i="16"/>
  <c r="M87" i="16"/>
  <c r="BF88" i="16" l="1"/>
  <c r="N88" i="16"/>
  <c r="P88" i="16"/>
  <c r="JY88" i="16"/>
  <c r="KA88" i="16" s="1"/>
  <c r="AP88" i="16" l="1"/>
  <c r="M88" i="16"/>
  <c r="Q88" i="16"/>
  <c r="JZ89" i="16"/>
  <c r="BF89" i="16" l="1"/>
  <c r="N89" i="16"/>
  <c r="P89" i="16"/>
  <c r="JY89" i="16"/>
  <c r="KA89" i="16" s="1"/>
  <c r="Q89" i="16" l="1"/>
  <c r="JZ90" i="16"/>
  <c r="AP89" i="16"/>
  <c r="M89" i="16"/>
  <c r="BF90" i="16" l="1"/>
  <c r="N90" i="16"/>
  <c r="P90" i="16"/>
  <c r="JY90" i="16"/>
  <c r="KA90" i="16" s="1"/>
  <c r="Q90" i="16" l="1"/>
  <c r="JZ91" i="16"/>
  <c r="AP90" i="16"/>
  <c r="M90" i="16"/>
  <c r="P91" i="16" l="1"/>
  <c r="JY91" i="16"/>
  <c r="KA91" i="16" s="1"/>
  <c r="BF91" i="16"/>
  <c r="N91" i="16"/>
  <c r="AP91" i="16" l="1"/>
  <c r="M91" i="16"/>
  <c r="Q91" i="16"/>
  <c r="JY92" i="16"/>
  <c r="KA92" i="16" s="1"/>
  <c r="Q92" i="16" s="1"/>
  <c r="BF93" i="16" s="1"/>
  <c r="JZ92" i="16"/>
  <c r="P92" i="16" s="1"/>
  <c r="JX92" i="16" l="1"/>
  <c r="BF92" i="16"/>
  <c r="N92" i="16"/>
  <c r="AP92" i="16" s="1"/>
  <c r="M92" i="16" l="1"/>
  <c r="B14" i="15" l="1"/>
  <c r="A14" i="15"/>
  <c r="O86" i="7" l="1"/>
  <c r="K35" i="7"/>
  <c r="K34" i="7"/>
  <c r="K33" i="7"/>
  <c r="K32" i="7"/>
  <c r="K31" i="7"/>
  <c r="B35" i="7" l="1"/>
  <c r="F103" i="7"/>
  <c r="M148" i="7"/>
  <c r="M138" i="7"/>
  <c r="B155" i="7" s="1"/>
  <c r="E34" i="7" l="1"/>
  <c r="F104" i="7"/>
  <c r="F105" i="7"/>
  <c r="F106" i="7"/>
  <c r="F110" i="7"/>
  <c r="F111" i="7"/>
  <c r="F112" i="7"/>
  <c r="F113" i="7"/>
  <c r="F114" i="7"/>
  <c r="F115" i="7"/>
  <c r="F116" i="7"/>
  <c r="F117" i="7"/>
  <c r="F118" i="7"/>
  <c r="F109" i="7"/>
  <c r="K25" i="12"/>
  <c r="K29" i="12" s="1"/>
  <c r="H25" i="12"/>
  <c r="H35" i="12" s="1"/>
  <c r="K39" i="12"/>
  <c r="H28" i="12" l="1"/>
  <c r="H32" i="12"/>
  <c r="K34" i="12"/>
  <c r="K30" i="12"/>
  <c r="K26" i="12"/>
  <c r="K32" i="12"/>
  <c r="K28" i="12"/>
  <c r="H29" i="12"/>
  <c r="H33" i="12"/>
  <c r="H37" i="12"/>
  <c r="K35" i="12"/>
  <c r="K31" i="12"/>
  <c r="K27" i="12"/>
  <c r="H26" i="12"/>
  <c r="H30" i="12"/>
  <c r="H34" i="12"/>
  <c r="H27" i="12"/>
  <c r="H31" i="12"/>
  <c r="K37" i="12"/>
  <c r="K33" i="12"/>
  <c r="E25" i="12"/>
  <c r="O152" i="7"/>
  <c r="M144" i="7"/>
  <c r="M143" i="7"/>
  <c r="H155" i="7" s="1"/>
  <c r="O151" i="7"/>
  <c r="N152" i="7"/>
  <c r="N151" i="7"/>
  <c r="E152" i="7"/>
  <c r="M141" i="7"/>
  <c r="M140" i="7"/>
  <c r="N148" i="7"/>
  <c r="O148" i="7"/>
  <c r="H152" i="7"/>
  <c r="O149" i="7" s="1"/>
  <c r="O156" i="7" s="1"/>
  <c r="E155" i="7" l="1"/>
  <c r="E156" i="7" s="1"/>
  <c r="N150" i="7" s="1"/>
  <c r="N153" i="7" s="1"/>
  <c r="N154" i="7" s="1"/>
  <c r="H156" i="7"/>
  <c r="O150" i="7" s="1"/>
  <c r="O153" i="7" s="1"/>
  <c r="O154" i="7" s="1"/>
  <c r="E36" i="12"/>
  <c r="E35" i="12"/>
  <c r="E33" i="12"/>
  <c r="E27" i="12"/>
  <c r="E30" i="12"/>
  <c r="E26" i="12"/>
  <c r="E29" i="12"/>
  <c r="E34" i="12"/>
  <c r="E28" i="12"/>
  <c r="E37" i="12"/>
  <c r="E31" i="12"/>
  <c r="E32" i="12"/>
  <c r="O155" i="7"/>
  <c r="N149" i="7"/>
  <c r="N156" i="7" s="1"/>
  <c r="M152" i="7"/>
  <c r="M151" i="7"/>
  <c r="M9" i="7"/>
  <c r="B152" i="7"/>
  <c r="N155" i="7" l="1"/>
  <c r="N157" i="7" s="1"/>
  <c r="E157" i="7" s="1"/>
  <c r="E158" i="7" s="1"/>
  <c r="M149" i="7"/>
  <c r="D11" i="12"/>
  <c r="M156" i="7" l="1"/>
  <c r="M155" i="7" s="1"/>
  <c r="M157" i="7" s="1"/>
  <c r="B156" i="7"/>
  <c r="M150" i="7" s="1"/>
  <c r="M153" i="7" s="1"/>
  <c r="M154" i="7" s="1"/>
  <c r="B157" i="7" s="1"/>
  <c r="B158" i="7" s="1"/>
  <c r="T103" i="7" l="1"/>
  <c r="S103" i="7" s="1"/>
  <c r="T104" i="7"/>
  <c r="T105" i="7"/>
  <c r="T108" i="7"/>
  <c r="R108" i="7" s="1"/>
  <c r="T109" i="7"/>
  <c r="T110" i="7"/>
  <c r="R110" i="7" s="1"/>
  <c r="T111" i="7"/>
  <c r="T112" i="7"/>
  <c r="T113" i="7"/>
  <c r="S113" i="7" s="1"/>
  <c r="T114" i="7"/>
  <c r="R114" i="7" s="1"/>
  <c r="T115" i="7"/>
  <c r="R115" i="7" s="1"/>
  <c r="T116" i="7"/>
  <c r="T117" i="7"/>
  <c r="T102" i="7"/>
  <c r="S102" i="7" l="1"/>
  <c r="R102" i="7"/>
  <c r="S117" i="7"/>
  <c r="S116" i="7"/>
  <c r="S112" i="7"/>
  <c r="S111" i="7"/>
  <c r="S105" i="7"/>
  <c r="R104" i="7"/>
  <c r="J34" i="7" l="1"/>
  <c r="M8" i="12" l="1"/>
  <c r="J8" i="12"/>
  <c r="J7" i="12"/>
  <c r="E10" i="12" l="1"/>
  <c r="J11" i="12"/>
  <c r="G11" i="12"/>
  <c r="B15" i="15"/>
  <c r="AY3" i="3" l="1"/>
  <c r="AY2" i="3"/>
  <c r="E43" i="7" l="1"/>
  <c r="J43" i="7" s="1"/>
  <c r="B20" i="7" l="1"/>
  <c r="J29" i="7" s="1"/>
  <c r="C29" i="7" s="1"/>
  <c r="H22" i="16" l="1"/>
  <c r="H7" i="16" s="1"/>
  <c r="G29" i="7"/>
  <c r="P20" i="16" s="1"/>
  <c r="E29" i="7"/>
  <c r="H24" i="16" s="1"/>
  <c r="B46" i="7"/>
  <c r="E45" i="7"/>
  <c r="J45" i="7" s="1"/>
  <c r="E44" i="7"/>
  <c r="J44" i="7" s="1"/>
  <c r="R7" i="16" l="1"/>
  <c r="G24" i="16"/>
  <c r="I24" i="16"/>
  <c r="R20" i="16"/>
  <c r="P20" i="18"/>
  <c r="E46" i="7"/>
  <c r="J46" i="7" s="1"/>
  <c r="F2" i="12"/>
  <c r="R18" i="16" l="1"/>
  <c r="H60" i="16" s="1"/>
  <c r="H58" i="16"/>
  <c r="Q16" i="16"/>
  <c r="B15" i="12"/>
  <c r="B8" i="13"/>
  <c r="A16" i="13"/>
  <c r="A15" i="13"/>
  <c r="F87" i="14"/>
  <c r="E87" i="14"/>
  <c r="AB80" i="16" l="1"/>
  <c r="BH80" i="16" s="1"/>
  <c r="AR80" i="16"/>
  <c r="M15" i="12"/>
  <c r="J15" i="12"/>
  <c r="G15" i="12"/>
  <c r="E15" i="12"/>
  <c r="G61" i="7" l="1"/>
  <c r="A1" i="12" l="1"/>
  <c r="F93" i="14" l="1"/>
  <c r="F92" i="14"/>
  <c r="E93" i="14"/>
  <c r="E92" i="14"/>
  <c r="F91" i="14"/>
  <c r="E91" i="14"/>
  <c r="N103" i="7" l="1"/>
  <c r="O103" i="7" s="1"/>
  <c r="N104" i="7"/>
  <c r="O104" i="7" s="1"/>
  <c r="N105" i="7"/>
  <c r="O105" i="7" s="1"/>
  <c r="N108" i="7"/>
  <c r="O108" i="7" s="1"/>
  <c r="N109" i="7"/>
  <c r="O109" i="7" s="1"/>
  <c r="N110" i="7"/>
  <c r="O110" i="7" s="1"/>
  <c r="N111" i="7"/>
  <c r="O111" i="7" s="1"/>
  <c r="N112" i="7"/>
  <c r="O112" i="7" s="1"/>
  <c r="N113" i="7"/>
  <c r="O113" i="7" s="1"/>
  <c r="N114" i="7"/>
  <c r="O114" i="7" s="1"/>
  <c r="N115" i="7"/>
  <c r="O115" i="7" s="1"/>
  <c r="N116" i="7"/>
  <c r="O116" i="7" s="1"/>
  <c r="N117" i="7"/>
  <c r="O117" i="7" s="1"/>
  <c r="N102" i="7"/>
  <c r="O102" i="7" s="1"/>
  <c r="S110" i="7"/>
  <c r="R111" i="7"/>
  <c r="R112" i="7"/>
  <c r="R113" i="7"/>
  <c r="S114" i="7"/>
  <c r="S115" i="7"/>
  <c r="R116" i="7"/>
  <c r="R117" i="7"/>
  <c r="S108" i="7"/>
  <c r="R105" i="7"/>
  <c r="S104" i="7"/>
  <c r="R103" i="7"/>
  <c r="P39" i="7"/>
  <c r="M40" i="7"/>
  <c r="L40" i="7"/>
  <c r="K40" i="7"/>
  <c r="H28" i="18"/>
  <c r="G28" i="18"/>
  <c r="F28" i="18"/>
  <c r="R109" i="7" l="1"/>
  <c r="S109" i="7"/>
  <c r="O106" i="7"/>
  <c r="B83" i="7" s="1"/>
  <c r="O118" i="7"/>
  <c r="B84" i="7" s="1"/>
  <c r="N39" i="7"/>
  <c r="O39" i="7" s="1"/>
  <c r="P88" i="7" l="1"/>
  <c r="T87" i="7" s="1"/>
  <c r="O88" i="7"/>
  <c r="M22" i="12"/>
  <c r="M23" i="12"/>
  <c r="G22" i="12"/>
  <c r="G23" i="12"/>
  <c r="F22" i="12"/>
  <c r="F23" i="12"/>
  <c r="A22" i="12"/>
  <c r="A23" i="12"/>
  <c r="O81" i="7"/>
  <c r="O80" i="7"/>
  <c r="O79" i="7"/>
  <c r="O78" i="7"/>
  <c r="B80" i="7" s="1"/>
  <c r="E61" i="7" l="1"/>
  <c r="B61" i="7"/>
  <c r="L103" i="7" l="1"/>
  <c r="L104" i="7"/>
  <c r="L105" i="7"/>
  <c r="L108" i="7"/>
  <c r="L109" i="7"/>
  <c r="L110" i="7"/>
  <c r="L111" i="7"/>
  <c r="L112" i="7"/>
  <c r="L113" i="7"/>
  <c r="L114" i="7"/>
  <c r="L115" i="7"/>
  <c r="L116" i="7"/>
  <c r="L117" i="7"/>
  <c r="L102" i="7"/>
  <c r="L106" i="7" l="1"/>
  <c r="H20" i="18"/>
  <c r="G6" i="12" l="1"/>
  <c r="E6" i="12"/>
  <c r="F7" i="12" l="1"/>
  <c r="E7" i="12"/>
  <c r="G7" i="12"/>
  <c r="K54" i="7"/>
  <c r="H36" i="18"/>
  <c r="O54" i="7" l="1"/>
  <c r="P54" i="7" s="1"/>
  <c r="O55" i="7"/>
  <c r="P55" i="7" s="1"/>
  <c r="H14" i="18"/>
  <c r="FJ80" i="18" s="1"/>
  <c r="G12" i="18"/>
  <c r="F10" i="18"/>
  <c r="AT188" i="18" s="1"/>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O159" i="18"/>
  <c r="O158" i="18"/>
  <c r="O157" i="18"/>
  <c r="O156" i="18"/>
  <c r="O155" i="18"/>
  <c r="O154" i="18"/>
  <c r="O153" i="18"/>
  <c r="O152" i="18"/>
  <c r="O151" i="18"/>
  <c r="O150" i="18"/>
  <c r="O149" i="18"/>
  <c r="O148" i="18"/>
  <c r="O147" i="18"/>
  <c r="O146" i="18"/>
  <c r="O145" i="18"/>
  <c r="O144" i="18"/>
  <c r="O143" i="18"/>
  <c r="O142" i="18"/>
  <c r="O141" i="18"/>
  <c r="O140" i="18"/>
  <c r="O139" i="18"/>
  <c r="O138" i="18"/>
  <c r="O137" i="18"/>
  <c r="O136" i="18"/>
  <c r="O135" i="18"/>
  <c r="O134" i="18"/>
  <c r="O133" i="18"/>
  <c r="O132" i="18"/>
  <c r="O131" i="18"/>
  <c r="O130" i="18"/>
  <c r="O129" i="18"/>
  <c r="O128" i="18"/>
  <c r="O127" i="18"/>
  <c r="O126" i="18"/>
  <c r="O125" i="18"/>
  <c r="O124" i="18"/>
  <c r="O123" i="18"/>
  <c r="O122" i="18"/>
  <c r="BV121" i="18"/>
  <c r="O121" i="18"/>
  <c r="BV120" i="18"/>
  <c r="O120" i="18"/>
  <c r="BV119" i="18"/>
  <c r="O119" i="18"/>
  <c r="BV118" i="18"/>
  <c r="O118" i="18"/>
  <c r="BV117" i="18"/>
  <c r="O117" i="18"/>
  <c r="CE116" i="18"/>
  <c r="CD116" i="18"/>
  <c r="CC116" i="18"/>
  <c r="CB116" i="18"/>
  <c r="CA116" i="18"/>
  <c r="BZ116" i="18"/>
  <c r="BY116" i="18"/>
  <c r="BX116" i="18"/>
  <c r="BW116" i="18"/>
  <c r="O116" i="18"/>
  <c r="O115" i="18"/>
  <c r="O114" i="18"/>
  <c r="O113" i="18"/>
  <c r="O112" i="18"/>
  <c r="O111" i="18"/>
  <c r="O110" i="18"/>
  <c r="BV109" i="18"/>
  <c r="O109" i="18"/>
  <c r="BV108" i="18"/>
  <c r="O108" i="18"/>
  <c r="BV107" i="18"/>
  <c r="O107" i="18"/>
  <c r="BV106" i="18"/>
  <c r="O106" i="18"/>
  <c r="BV105" i="18"/>
  <c r="O105" i="18"/>
  <c r="BV104" i="18"/>
  <c r="O104" i="18"/>
  <c r="BV103" i="18"/>
  <c r="O103" i="18"/>
  <c r="CE102" i="18"/>
  <c r="CD102" i="18"/>
  <c r="CC102" i="18"/>
  <c r="CB102" i="18"/>
  <c r="CA102" i="18"/>
  <c r="BZ102" i="18"/>
  <c r="BY102" i="18"/>
  <c r="BX102" i="18"/>
  <c r="BW102" i="18"/>
  <c r="O102" i="18"/>
  <c r="O101" i="18"/>
  <c r="O100" i="18"/>
  <c r="O99" i="18"/>
  <c r="O98" i="18"/>
  <c r="O97" i="18"/>
  <c r="O96" i="18"/>
  <c r="O95" i="18"/>
  <c r="O94" i="18"/>
  <c r="O93" i="18"/>
  <c r="O92" i="18"/>
  <c r="O91" i="18"/>
  <c r="O90" i="18"/>
  <c r="BV89" i="18"/>
  <c r="O89" i="18"/>
  <c r="BV88" i="18"/>
  <c r="O88" i="18"/>
  <c r="BV87" i="18"/>
  <c r="O87" i="18"/>
  <c r="BV86" i="18"/>
  <c r="O86" i="18"/>
  <c r="BV85" i="18"/>
  <c r="O85" i="18"/>
  <c r="BV84" i="18"/>
  <c r="O84" i="18"/>
  <c r="BV83" i="18"/>
  <c r="O83" i="18"/>
  <c r="CE82" i="18"/>
  <c r="CD82" i="18"/>
  <c r="CC82" i="18"/>
  <c r="CB82" i="18"/>
  <c r="CA82" i="18"/>
  <c r="BZ82" i="18"/>
  <c r="BY82" i="18"/>
  <c r="BX82" i="18"/>
  <c r="BW82" i="18"/>
  <c r="O82" i="18"/>
  <c r="O81" i="18"/>
  <c r="K81" i="18"/>
  <c r="K82" i="18" s="1"/>
  <c r="KG80" i="18"/>
  <c r="JW80" i="18"/>
  <c r="JM80" i="18"/>
  <c r="JC80" i="18"/>
  <c r="IS80" i="18"/>
  <c r="II80" i="18"/>
  <c r="HY80" i="18"/>
  <c r="HO80" i="18"/>
  <c r="HE80" i="18"/>
  <c r="GU80" i="18"/>
  <c r="GR80" i="18"/>
  <c r="R80" i="18"/>
  <c r="Q80" i="18"/>
  <c r="L80" i="18"/>
  <c r="R79" i="18"/>
  <c r="L62" i="18"/>
  <c r="B62" i="18"/>
  <c r="R60" i="18"/>
  <c r="B60" i="18"/>
  <c r="R58" i="18"/>
  <c r="B58" i="18"/>
  <c r="B56" i="18"/>
  <c r="H52" i="18"/>
  <c r="R50" i="18"/>
  <c r="L50" i="18"/>
  <c r="H50" i="18"/>
  <c r="G50" i="18"/>
  <c r="F50" i="18"/>
  <c r="B50" i="18"/>
  <c r="R48" i="18"/>
  <c r="H48" i="18"/>
  <c r="G48" i="18"/>
  <c r="F48" i="18"/>
  <c r="R46" i="18"/>
  <c r="L42" i="18"/>
  <c r="R34" i="18"/>
  <c r="S34" i="18" s="1"/>
  <c r="L32" i="18"/>
  <c r="L30" i="18"/>
  <c r="L24" i="18"/>
  <c r="L18" i="18"/>
  <c r="R16" i="18"/>
  <c r="P34" i="18" l="1"/>
  <c r="L82" i="18"/>
  <c r="L53" i="7"/>
  <c r="K53" i="7"/>
  <c r="M53" i="7"/>
  <c r="AD85" i="18"/>
  <c r="AU133" i="18"/>
  <c r="AT136" i="18"/>
  <c r="EP80" i="18"/>
  <c r="AU149" i="18"/>
  <c r="AT152" i="18"/>
  <c r="AD83" i="18"/>
  <c r="AT184" i="18"/>
  <c r="AD103" i="18"/>
  <c r="AD105" i="18"/>
  <c r="AU125" i="18"/>
  <c r="AT128" i="18"/>
  <c r="AU141" i="18"/>
  <c r="AT144" i="18"/>
  <c r="AU157" i="18"/>
  <c r="AT160" i="18"/>
  <c r="AD87" i="18"/>
  <c r="AD107" i="18"/>
  <c r="AD119" i="18"/>
  <c r="AT168" i="18"/>
  <c r="AD81" i="18"/>
  <c r="AD89" i="18"/>
  <c r="AD109" i="18"/>
  <c r="AT124" i="18"/>
  <c r="AU129" i="18"/>
  <c r="AT132" i="18"/>
  <c r="AU137" i="18"/>
  <c r="AT140" i="18"/>
  <c r="AU145" i="18"/>
  <c r="AT148" i="18"/>
  <c r="AU153" i="18"/>
  <c r="AT156" i="18"/>
  <c r="AT176" i="18"/>
  <c r="N54" i="7"/>
  <c r="CY80" i="18"/>
  <c r="GN80" i="18"/>
  <c r="FT80" i="18"/>
  <c r="DL80" i="18"/>
  <c r="AT192" i="18"/>
  <c r="G20" i="18"/>
  <c r="DB80" i="18"/>
  <c r="EZ80" i="18"/>
  <c r="AE82" i="18"/>
  <c r="AE86" i="18"/>
  <c r="AE90" i="18"/>
  <c r="AE95" i="18"/>
  <c r="AE98" i="18"/>
  <c r="AE104" i="18"/>
  <c r="AE108" i="18"/>
  <c r="AE111" i="18"/>
  <c r="AE114" i="18"/>
  <c r="AE118" i="18"/>
  <c r="AT164" i="18"/>
  <c r="AT180" i="18"/>
  <c r="AT196" i="18"/>
  <c r="J80" i="18"/>
  <c r="AD80" i="18"/>
  <c r="EF80" i="18"/>
  <c r="GD80" i="18"/>
  <c r="AE84" i="18"/>
  <c r="AE88" i="18"/>
  <c r="AE91" i="18"/>
  <c r="AE94" i="18"/>
  <c r="AE99" i="18"/>
  <c r="AE102" i="18"/>
  <c r="AE106" i="18"/>
  <c r="AE110" i="18"/>
  <c r="AE115" i="18"/>
  <c r="AD120" i="18"/>
  <c r="AT172" i="18"/>
  <c r="AE200" i="18"/>
  <c r="AU200" i="18"/>
  <c r="AD199" i="18"/>
  <c r="AD198" i="18"/>
  <c r="AD197" i="18"/>
  <c r="AE196" i="18"/>
  <c r="AD195" i="18"/>
  <c r="AD194" i="18"/>
  <c r="AD193" i="18"/>
  <c r="AE192" i="18"/>
  <c r="AD191" i="18"/>
  <c r="AD190" i="18"/>
  <c r="AD189" i="18"/>
  <c r="AE188" i="18"/>
  <c r="AD187" i="18"/>
  <c r="AD186" i="18"/>
  <c r="AD185" i="18"/>
  <c r="AE184" i="18"/>
  <c r="AD183" i="18"/>
  <c r="AD182" i="18"/>
  <c r="AD181" i="18"/>
  <c r="AE180" i="18"/>
  <c r="AD179" i="18"/>
  <c r="AD178" i="18"/>
  <c r="AD177" i="18"/>
  <c r="AE176" i="18"/>
  <c r="AD175" i="18"/>
  <c r="AD174" i="18"/>
  <c r="AD173" i="18"/>
  <c r="AE172" i="18"/>
  <c r="AD171" i="18"/>
  <c r="AD170" i="18"/>
  <c r="AD169" i="18"/>
  <c r="AE168" i="18"/>
  <c r="AD167" i="18"/>
  <c r="AD166" i="18"/>
  <c r="AD165" i="18"/>
  <c r="AE164" i="18"/>
  <c r="AD163" i="18"/>
  <c r="AD162" i="18"/>
  <c r="AD161" i="18"/>
  <c r="AE160" i="18"/>
  <c r="AT159" i="18"/>
  <c r="AU158" i="18"/>
  <c r="AD157" i="18"/>
  <c r="AE156" i="18"/>
  <c r="AT155" i="18"/>
  <c r="AU154" i="18"/>
  <c r="AD153" i="18"/>
  <c r="AE152" i="18"/>
  <c r="AT151" i="18"/>
  <c r="AU150" i="18"/>
  <c r="AD149" i="18"/>
  <c r="AE148" i="18"/>
  <c r="AT147" i="18"/>
  <c r="AU146" i="18"/>
  <c r="AD145" i="18"/>
  <c r="AE144" i="18"/>
  <c r="AT143" i="18"/>
  <c r="AU142" i="18"/>
  <c r="AD141" i="18"/>
  <c r="AE140" i="18"/>
  <c r="AT139" i="18"/>
  <c r="AU138" i="18"/>
  <c r="AD137" i="18"/>
  <c r="AE136" i="18"/>
  <c r="AT135" i="18"/>
  <c r="AU134" i="18"/>
  <c r="AD133" i="18"/>
  <c r="AE132" i="18"/>
  <c r="AT131" i="18"/>
  <c r="AU130" i="18"/>
  <c r="AD129" i="18"/>
  <c r="AE128" i="18"/>
  <c r="AT127" i="18"/>
  <c r="AU126" i="18"/>
  <c r="AD125" i="18"/>
  <c r="AE124" i="18"/>
  <c r="AT123" i="18"/>
  <c r="AU122" i="18"/>
  <c r="AE121" i="18"/>
  <c r="AU120" i="18"/>
  <c r="AE119" i="18"/>
  <c r="AU118" i="18"/>
  <c r="AE117" i="18"/>
  <c r="AU116" i="18"/>
  <c r="AD200" i="18"/>
  <c r="AU198" i="18"/>
  <c r="AE197" i="18"/>
  <c r="AU194" i="18"/>
  <c r="AE193" i="18"/>
  <c r="AU190" i="18"/>
  <c r="AE189" i="18"/>
  <c r="AU186" i="18"/>
  <c r="AE185" i="18"/>
  <c r="AU182" i="18"/>
  <c r="AE181" i="18"/>
  <c r="AU178" i="18"/>
  <c r="AE177" i="18"/>
  <c r="AU174" i="18"/>
  <c r="AE173" i="18"/>
  <c r="AU170" i="18"/>
  <c r="AE169" i="18"/>
  <c r="AU166" i="18"/>
  <c r="AE165" i="18"/>
  <c r="AU162" i="18"/>
  <c r="AE161" i="18"/>
  <c r="AD160" i="18"/>
  <c r="AD159" i="18"/>
  <c r="AD158" i="18"/>
  <c r="AE157" i="18"/>
  <c r="AD156" i="18"/>
  <c r="AD155" i="18"/>
  <c r="AD154" i="18"/>
  <c r="AE153" i="18"/>
  <c r="AD152" i="18"/>
  <c r="AD151" i="18"/>
  <c r="AD150" i="18"/>
  <c r="AE149" i="18"/>
  <c r="AD148" i="18"/>
  <c r="AD147" i="18"/>
  <c r="AD146" i="18"/>
  <c r="AE145" i="18"/>
  <c r="AD144" i="18"/>
  <c r="AD143" i="18"/>
  <c r="AD142" i="18"/>
  <c r="AE141" i="18"/>
  <c r="AD140" i="18"/>
  <c r="AD139" i="18"/>
  <c r="AD138" i="18"/>
  <c r="AE137" i="18"/>
  <c r="AD136" i="18"/>
  <c r="AD135" i="18"/>
  <c r="AD134" i="18"/>
  <c r="AE133" i="18"/>
  <c r="AD132" i="18"/>
  <c r="AD131" i="18"/>
  <c r="AD130" i="18"/>
  <c r="AE129" i="18"/>
  <c r="AD128" i="18"/>
  <c r="AD127" i="18"/>
  <c r="AD126" i="18"/>
  <c r="AE125" i="18"/>
  <c r="AD124" i="18"/>
  <c r="AD123" i="18"/>
  <c r="AD122" i="18"/>
  <c r="AT121" i="18"/>
  <c r="AT120" i="18"/>
  <c r="AD118" i="18"/>
  <c r="AT117" i="18"/>
  <c r="AT116" i="18"/>
  <c r="AU115" i="18"/>
  <c r="AD114" i="18"/>
  <c r="AE113" i="18"/>
  <c r="AT112" i="18"/>
  <c r="AU111" i="18"/>
  <c r="AD110" i="18"/>
  <c r="AT109" i="18"/>
  <c r="AD108" i="18"/>
  <c r="AT107" i="18"/>
  <c r="AD106" i="18"/>
  <c r="AT105" i="18"/>
  <c r="AD104" i="18"/>
  <c r="AT103" i="18"/>
  <c r="AD102" i="18"/>
  <c r="AE101" i="18"/>
  <c r="AT100" i="18"/>
  <c r="AU99" i="18"/>
  <c r="AD98" i="18"/>
  <c r="AE97" i="18"/>
  <c r="AT96" i="18"/>
  <c r="AU95" i="18"/>
  <c r="AD94" i="18"/>
  <c r="AE93" i="18"/>
  <c r="AT92" i="18"/>
  <c r="AU91" i="18"/>
  <c r="AD90" i="18"/>
  <c r="AT89" i="18"/>
  <c r="AD88" i="18"/>
  <c r="AT87" i="18"/>
  <c r="AD86" i="18"/>
  <c r="AT85" i="18"/>
  <c r="AD84" i="18"/>
  <c r="AT83" i="18"/>
  <c r="AD82" i="18"/>
  <c r="AT81" i="18"/>
  <c r="AU80" i="18"/>
  <c r="B34" i="18"/>
  <c r="B30" i="18"/>
  <c r="B24" i="18"/>
  <c r="B20" i="18"/>
  <c r="B3" i="18"/>
  <c r="AE198" i="18"/>
  <c r="AU195" i="18"/>
  <c r="AE194" i="18"/>
  <c r="AU191" i="18"/>
  <c r="AE190" i="18"/>
  <c r="AU187" i="18"/>
  <c r="AE186" i="18"/>
  <c r="AU183" i="18"/>
  <c r="AE182" i="18"/>
  <c r="AU179" i="18"/>
  <c r="AE178" i="18"/>
  <c r="AU175" i="18"/>
  <c r="AE174" i="18"/>
  <c r="AU171" i="18"/>
  <c r="AE170" i="18"/>
  <c r="AU167" i="18"/>
  <c r="AE166" i="18"/>
  <c r="AU163" i="18"/>
  <c r="AE162" i="18"/>
  <c r="AD121" i="18"/>
  <c r="AE120" i="18"/>
  <c r="AU119" i="18"/>
  <c r="AD117" i="18"/>
  <c r="AE116" i="18"/>
  <c r="AT115" i="18"/>
  <c r="AU114" i="18"/>
  <c r="AD113" i="18"/>
  <c r="AE112" i="18"/>
  <c r="AT111" i="18"/>
  <c r="AU110" i="18"/>
  <c r="AE109" i="18"/>
  <c r="AU108" i="18"/>
  <c r="AE107" i="18"/>
  <c r="AU106" i="18"/>
  <c r="AE105" i="18"/>
  <c r="AU104" i="18"/>
  <c r="AE103" i="18"/>
  <c r="AU102" i="18"/>
  <c r="AD101" i="18"/>
  <c r="AE100" i="18"/>
  <c r="AT99" i="18"/>
  <c r="AU98" i="18"/>
  <c r="AD97" i="18"/>
  <c r="AE96" i="18"/>
  <c r="AT95" i="18"/>
  <c r="AU94" i="18"/>
  <c r="AD93" i="18"/>
  <c r="AE92" i="18"/>
  <c r="AT91" i="18"/>
  <c r="AU90" i="18"/>
  <c r="AE89" i="18"/>
  <c r="AU88" i="18"/>
  <c r="AE87" i="18"/>
  <c r="AU86" i="18"/>
  <c r="AE85" i="18"/>
  <c r="AU84" i="18"/>
  <c r="AE83" i="18"/>
  <c r="AU82" i="18"/>
  <c r="AE81" i="18"/>
  <c r="B81" i="18"/>
  <c r="B82" i="18" s="1"/>
  <c r="B83" i="18" s="1"/>
  <c r="AT80" i="18"/>
  <c r="B12" i="18"/>
  <c r="R20" i="18"/>
  <c r="R24" i="18"/>
  <c r="AE80" i="18"/>
  <c r="AU81" i="18"/>
  <c r="AT82" i="18"/>
  <c r="AU83" i="18"/>
  <c r="AT84" i="18"/>
  <c r="AU85" i="18"/>
  <c r="AT86" i="18"/>
  <c r="AU87" i="18"/>
  <c r="AT88" i="18"/>
  <c r="AU89" i="18"/>
  <c r="AT90" i="18"/>
  <c r="AT93" i="18"/>
  <c r="AT94" i="18"/>
  <c r="AT97" i="18"/>
  <c r="AT98" i="18"/>
  <c r="AT101" i="18"/>
  <c r="AT102" i="18"/>
  <c r="AU103" i="18"/>
  <c r="AT104" i="18"/>
  <c r="AU105" i="18"/>
  <c r="AT106" i="18"/>
  <c r="AU107" i="18"/>
  <c r="AT108" i="18"/>
  <c r="AU109" i="18"/>
  <c r="AT110" i="18"/>
  <c r="AT113" i="18"/>
  <c r="AT114" i="18"/>
  <c r="AU117" i="18"/>
  <c r="AT118" i="18"/>
  <c r="AT119" i="18"/>
  <c r="AE123" i="18"/>
  <c r="AU124" i="18"/>
  <c r="AE127" i="18"/>
  <c r="AU128" i="18"/>
  <c r="AE131" i="18"/>
  <c r="AU132" i="18"/>
  <c r="AE135" i="18"/>
  <c r="AU136" i="18"/>
  <c r="AE139" i="18"/>
  <c r="AU140" i="18"/>
  <c r="AE143" i="18"/>
  <c r="AU144" i="18"/>
  <c r="AE147" i="18"/>
  <c r="AU148" i="18"/>
  <c r="AE151" i="18"/>
  <c r="AU152" i="18"/>
  <c r="AE155" i="18"/>
  <c r="AU156" i="18"/>
  <c r="AE159" i="18"/>
  <c r="AU160" i="18"/>
  <c r="AU164" i="18"/>
  <c r="AU168" i="18"/>
  <c r="AU172" i="18"/>
  <c r="AU176" i="18"/>
  <c r="AU180" i="18"/>
  <c r="AU184" i="18"/>
  <c r="AU188" i="18"/>
  <c r="AU192" i="18"/>
  <c r="AU196" i="18"/>
  <c r="R22" i="18"/>
  <c r="J79" i="18"/>
  <c r="AD92" i="18"/>
  <c r="AU93" i="18"/>
  <c r="AD96" i="18"/>
  <c r="AU97" i="18"/>
  <c r="AD100" i="18"/>
  <c r="AU101" i="18"/>
  <c r="AD112" i="18"/>
  <c r="AU113" i="18"/>
  <c r="AD116" i="18"/>
  <c r="AE122" i="18"/>
  <c r="AU123" i="18"/>
  <c r="AE126" i="18"/>
  <c r="AU127" i="18"/>
  <c r="AE130" i="18"/>
  <c r="AU131" i="18"/>
  <c r="AE134" i="18"/>
  <c r="AU135" i="18"/>
  <c r="AE138" i="18"/>
  <c r="AU139" i="18"/>
  <c r="AE142" i="18"/>
  <c r="AU143" i="18"/>
  <c r="AE146" i="18"/>
  <c r="AU147" i="18"/>
  <c r="AE150" i="18"/>
  <c r="AU151" i="18"/>
  <c r="AE154" i="18"/>
  <c r="AU155" i="18"/>
  <c r="AE158" i="18"/>
  <c r="AU159" i="18"/>
  <c r="AT163" i="18"/>
  <c r="AT167" i="18"/>
  <c r="AT171" i="18"/>
  <c r="AT175" i="18"/>
  <c r="AT179" i="18"/>
  <c r="AT183" i="18"/>
  <c r="AT187" i="18"/>
  <c r="AT191" i="18"/>
  <c r="AT195" i="18"/>
  <c r="AT199" i="18"/>
  <c r="B32" i="18"/>
  <c r="AD91" i="18"/>
  <c r="AU92" i="18"/>
  <c r="AD95" i="18"/>
  <c r="AU96" i="18"/>
  <c r="AD99" i="18"/>
  <c r="AU100" i="18"/>
  <c r="AD111" i="18"/>
  <c r="AU112" i="18"/>
  <c r="AD115" i="18"/>
  <c r="AU121" i="18"/>
  <c r="AT122" i="18"/>
  <c r="AT125" i="18"/>
  <c r="AT126" i="18"/>
  <c r="AT129" i="18"/>
  <c r="AT130" i="18"/>
  <c r="AT133" i="18"/>
  <c r="AT134" i="18"/>
  <c r="AT137" i="18"/>
  <c r="AT138" i="18"/>
  <c r="AT141" i="18"/>
  <c r="AT142" i="18"/>
  <c r="AT145" i="18"/>
  <c r="AT146" i="18"/>
  <c r="AT149" i="18"/>
  <c r="AT150" i="18"/>
  <c r="AT153" i="18"/>
  <c r="AT154" i="18"/>
  <c r="AT157" i="18"/>
  <c r="AT158" i="18"/>
  <c r="AT161" i="18"/>
  <c r="AT165" i="18"/>
  <c r="AT169" i="18"/>
  <c r="AT173" i="18"/>
  <c r="AT177" i="18"/>
  <c r="AT181" i="18"/>
  <c r="AT185" i="18"/>
  <c r="AT189" i="18"/>
  <c r="AT193" i="18"/>
  <c r="AT197" i="18"/>
  <c r="H80" i="18"/>
  <c r="DV80" i="18"/>
  <c r="L81" i="18"/>
  <c r="I82" i="18" s="1" a="1"/>
  <c r="I82" i="18" s="1"/>
  <c r="AU161" i="18"/>
  <c r="AT162" i="18"/>
  <c r="AE163" i="18"/>
  <c r="AD164" i="18"/>
  <c r="AU165" i="18"/>
  <c r="AT166" i="18"/>
  <c r="AE167" i="18"/>
  <c r="AD168" i="18"/>
  <c r="AU169" i="18"/>
  <c r="AT170" i="18"/>
  <c r="AE171" i="18"/>
  <c r="AD172" i="18"/>
  <c r="AU173" i="18"/>
  <c r="AT174" i="18"/>
  <c r="AE175" i="18"/>
  <c r="AD176" i="18"/>
  <c r="AU177" i="18"/>
  <c r="AT178" i="18"/>
  <c r="AE179" i="18"/>
  <c r="AD180" i="18"/>
  <c r="AU181" i="18"/>
  <c r="AT182" i="18"/>
  <c r="AE183" i="18"/>
  <c r="AD184" i="18"/>
  <c r="AU185" i="18"/>
  <c r="AT186" i="18"/>
  <c r="AE187" i="18"/>
  <c r="AD188" i="18"/>
  <c r="AU189" i="18"/>
  <c r="AT190" i="18"/>
  <c r="AE191" i="18"/>
  <c r="AD192" i="18"/>
  <c r="AU193" i="18"/>
  <c r="AT194" i="18"/>
  <c r="AE195" i="18"/>
  <c r="AD196" i="18"/>
  <c r="AU197" i="18"/>
  <c r="AT198" i="18"/>
  <c r="AE199" i="18"/>
  <c r="AU199" i="18"/>
  <c r="AT200" i="18"/>
  <c r="AF80" i="18"/>
  <c r="AG80" i="18" s="1"/>
  <c r="AV80" i="18"/>
  <c r="GR82" i="18"/>
  <c r="I81" i="18" a="1"/>
  <c r="I81" i="18" s="1"/>
  <c r="C80" i="18"/>
  <c r="K83" i="18"/>
  <c r="HX81" i="18"/>
  <c r="IH81" i="18" l="1"/>
  <c r="JL81" i="18"/>
  <c r="GR81" i="18"/>
  <c r="JV81" i="18"/>
  <c r="GT81" i="18"/>
  <c r="GS81" i="18" s="1"/>
  <c r="KF81" i="18"/>
  <c r="P81" i="18" s="1"/>
  <c r="I83" i="18" a="1"/>
  <c r="I83" i="18" s="1"/>
  <c r="O56" i="7"/>
  <c r="N55" i="7"/>
  <c r="JB81" i="18"/>
  <c r="HN81" i="18"/>
  <c r="IR81" i="18"/>
  <c r="HD81" i="18"/>
  <c r="N81" i="18"/>
  <c r="AP81" i="18" s="1"/>
  <c r="BF81" i="18" s="1"/>
  <c r="AW80" i="18"/>
  <c r="GR83" i="18"/>
  <c r="K84" i="18"/>
  <c r="L83" i="18"/>
  <c r="U80" i="18"/>
  <c r="A81" i="18" a="1"/>
  <c r="A81" i="18" s="1"/>
  <c r="B84" i="18"/>
  <c r="N56" i="7" l="1"/>
  <c r="B40" i="7" s="1"/>
  <c r="P56" i="7"/>
  <c r="K85" i="18"/>
  <c r="L84" i="18"/>
  <c r="GR84" i="18"/>
  <c r="GU81" i="18"/>
  <c r="V80" i="18"/>
  <c r="Z80" i="18"/>
  <c r="B85" i="18"/>
  <c r="I84" i="18" a="1"/>
  <c r="I84" i="18" s="1"/>
  <c r="GR85" i="18" l="1"/>
  <c r="L85" i="18"/>
  <c r="K86" i="18"/>
  <c r="I85" i="18" a="1"/>
  <c r="I85" i="18" s="1"/>
  <c r="B86" i="18"/>
  <c r="GT82" i="18"/>
  <c r="GS82" i="18" s="1"/>
  <c r="GU82" i="18" s="1"/>
  <c r="G29" i="18" l="1"/>
  <c r="H29" i="18"/>
  <c r="F29" i="18"/>
  <c r="GT83" i="18"/>
  <c r="GS83" i="18" s="1"/>
  <c r="GU83" i="18" s="1"/>
  <c r="B87" i="18"/>
  <c r="K87" i="18"/>
  <c r="L86" i="18"/>
  <c r="I87" i="18" s="1" a="1"/>
  <c r="I87" i="18" s="1"/>
  <c r="GR86" i="18"/>
  <c r="I86" i="18" a="1"/>
  <c r="I86" i="18" s="1"/>
  <c r="H32" i="18" l="1"/>
  <c r="H30" i="18"/>
  <c r="G32" i="18"/>
  <c r="G30" i="18"/>
  <c r="F30" i="18"/>
  <c r="F32" i="18"/>
  <c r="GR87" i="18"/>
  <c r="L87" i="18"/>
  <c r="I88" i="18" s="1" a="1"/>
  <c r="I88" i="18" s="1"/>
  <c r="K88" i="18"/>
  <c r="B88" i="18"/>
  <c r="GT84" i="18"/>
  <c r="GS84" i="18" s="1"/>
  <c r="GU84" i="18" s="1"/>
  <c r="C92" i="16" l="1"/>
  <c r="U92" i="16" s="1"/>
  <c r="C93" i="16"/>
  <c r="U93" i="16" s="1"/>
  <c r="C94" i="16"/>
  <c r="U94" i="16" s="1"/>
  <c r="C95" i="16"/>
  <c r="U95" i="16" s="1"/>
  <c r="C96" i="16"/>
  <c r="U96" i="16" s="1"/>
  <c r="C97" i="16"/>
  <c r="U97" i="16" s="1"/>
  <c r="C98" i="16"/>
  <c r="U98" i="16" s="1"/>
  <c r="C99" i="16"/>
  <c r="U99" i="16" s="1"/>
  <c r="C100" i="16"/>
  <c r="U100" i="16" s="1"/>
  <c r="C101" i="16"/>
  <c r="U101" i="16" s="1"/>
  <c r="C102" i="16"/>
  <c r="U102" i="16" s="1"/>
  <c r="C103" i="16"/>
  <c r="U103" i="16" s="1"/>
  <c r="C104" i="16"/>
  <c r="U104" i="16" s="1"/>
  <c r="C105" i="16"/>
  <c r="U105" i="16" s="1"/>
  <c r="C106" i="16"/>
  <c r="U106" i="16" s="1"/>
  <c r="C107" i="16"/>
  <c r="U107" i="16" s="1"/>
  <c r="C108" i="16"/>
  <c r="U108" i="16" s="1"/>
  <c r="C109" i="16"/>
  <c r="U109" i="16" s="1"/>
  <c r="C110" i="16"/>
  <c r="U110" i="16" s="1"/>
  <c r="C111" i="16"/>
  <c r="U111" i="16" s="1"/>
  <c r="C112" i="16"/>
  <c r="U112" i="16" s="1"/>
  <c r="C113" i="16"/>
  <c r="U113" i="16" s="1"/>
  <c r="C114" i="16"/>
  <c r="U114" i="16" s="1"/>
  <c r="C115" i="16"/>
  <c r="U115" i="16" s="1"/>
  <c r="C116" i="16"/>
  <c r="U116" i="16" s="1"/>
  <c r="C83" i="16"/>
  <c r="C82" i="16"/>
  <c r="C84" i="16"/>
  <c r="C85" i="16"/>
  <c r="C86" i="16"/>
  <c r="C87" i="16"/>
  <c r="C88" i="16"/>
  <c r="C89" i="16"/>
  <c r="C90" i="16"/>
  <c r="C91" i="16"/>
  <c r="C81" i="16"/>
  <c r="C84" i="18"/>
  <c r="U84" i="18" s="1"/>
  <c r="V84" i="18" s="1"/>
  <c r="C87" i="18"/>
  <c r="U87" i="18" s="1"/>
  <c r="C88" i="18"/>
  <c r="C83" i="18"/>
  <c r="U83" i="18" s="1"/>
  <c r="Z83" i="18" s="1"/>
  <c r="C85" i="18"/>
  <c r="U85" i="18" s="1"/>
  <c r="X85" i="18" s="1"/>
  <c r="C82" i="18"/>
  <c r="U82" i="18" s="1"/>
  <c r="V82" i="18" s="1"/>
  <c r="C81" i="18"/>
  <c r="A82" i="18" s="1" a="1"/>
  <c r="A82" i="18" s="1"/>
  <c r="C86" i="18"/>
  <c r="U86" i="18" s="1"/>
  <c r="Z86" i="18" s="1"/>
  <c r="GT85" i="18"/>
  <c r="GS85" i="18" s="1"/>
  <c r="GU85" i="18" s="1"/>
  <c r="B89" i="18"/>
  <c r="C89" i="18" s="1"/>
  <c r="K89" i="18"/>
  <c r="L88" i="18"/>
  <c r="GR88" i="18"/>
  <c r="Z111" i="16" l="1"/>
  <c r="Y111" i="16"/>
  <c r="X111" i="16"/>
  <c r="W111" i="16"/>
  <c r="V111" i="16"/>
  <c r="Y107" i="16"/>
  <c r="V107" i="16"/>
  <c r="Z107" i="16"/>
  <c r="X107" i="16"/>
  <c r="W107" i="16"/>
  <c r="Y103" i="16"/>
  <c r="X103" i="16"/>
  <c r="W103" i="16"/>
  <c r="V103" i="16"/>
  <c r="Z103" i="16"/>
  <c r="W99" i="16"/>
  <c r="V99" i="16"/>
  <c r="Y99" i="16"/>
  <c r="X99" i="16"/>
  <c r="Z99" i="16"/>
  <c r="Z95" i="16"/>
  <c r="W95" i="16"/>
  <c r="V95" i="16"/>
  <c r="Y95" i="16"/>
  <c r="X95" i="16"/>
  <c r="V114" i="16"/>
  <c r="Y114" i="16"/>
  <c r="X114" i="16"/>
  <c r="Z114" i="16"/>
  <c r="W114" i="16"/>
  <c r="V110" i="16"/>
  <c r="Z110" i="16"/>
  <c r="Y110" i="16"/>
  <c r="W110" i="16"/>
  <c r="X110" i="16"/>
  <c r="W106" i="16"/>
  <c r="Z106" i="16"/>
  <c r="Y106" i="16"/>
  <c r="X106" i="16"/>
  <c r="V106" i="16"/>
  <c r="V102" i="16"/>
  <c r="Y102" i="16"/>
  <c r="X102" i="16"/>
  <c r="Z102" i="16"/>
  <c r="W102" i="16"/>
  <c r="X98" i="16"/>
  <c r="Y98" i="16"/>
  <c r="Z98" i="16"/>
  <c r="W98" i="16"/>
  <c r="V98" i="16"/>
  <c r="V94" i="16"/>
  <c r="Y94" i="16"/>
  <c r="Z94" i="16"/>
  <c r="W94" i="16"/>
  <c r="X94" i="16"/>
  <c r="W113" i="16"/>
  <c r="V113" i="16"/>
  <c r="Y113" i="16"/>
  <c r="X113" i="16"/>
  <c r="Z113" i="16"/>
  <c r="V109" i="16"/>
  <c r="Z109" i="16"/>
  <c r="X109" i="16"/>
  <c r="Y109" i="16"/>
  <c r="W109" i="16"/>
  <c r="X105" i="16"/>
  <c r="W105" i="16"/>
  <c r="V105" i="16"/>
  <c r="Y105" i="16"/>
  <c r="Z105" i="16"/>
  <c r="Y101" i="16"/>
  <c r="X101" i="16"/>
  <c r="W101" i="16"/>
  <c r="V101" i="16"/>
  <c r="Z101" i="16"/>
  <c r="Y97" i="16"/>
  <c r="X97" i="16"/>
  <c r="W97" i="16"/>
  <c r="V97" i="16"/>
  <c r="Z97" i="16"/>
  <c r="Y93" i="16"/>
  <c r="X93" i="16"/>
  <c r="W93" i="16"/>
  <c r="V93" i="16"/>
  <c r="Z93" i="16"/>
  <c r="Z115" i="16"/>
  <c r="Y115" i="16"/>
  <c r="X115" i="16"/>
  <c r="W115" i="16"/>
  <c r="V115" i="16"/>
  <c r="X116" i="16"/>
  <c r="Z116" i="16"/>
  <c r="V116" i="16"/>
  <c r="Y116" i="16"/>
  <c r="W116" i="16"/>
  <c r="W112" i="16"/>
  <c r="V112" i="16"/>
  <c r="X112" i="16"/>
  <c r="Z112" i="16"/>
  <c r="Y112" i="16"/>
  <c r="Z108" i="16"/>
  <c r="Y108" i="16"/>
  <c r="W108" i="16"/>
  <c r="V108" i="16"/>
  <c r="X108" i="16"/>
  <c r="Z104" i="16"/>
  <c r="W104" i="16"/>
  <c r="Y104" i="16"/>
  <c r="X104" i="16"/>
  <c r="V104" i="16"/>
  <c r="W100" i="16"/>
  <c r="V100" i="16"/>
  <c r="X100" i="16"/>
  <c r="Z100" i="16"/>
  <c r="Y100" i="16"/>
  <c r="X96" i="16"/>
  <c r="Z96" i="16"/>
  <c r="W96" i="16"/>
  <c r="V96" i="16"/>
  <c r="Y96" i="16"/>
  <c r="W92" i="16"/>
  <c r="X92" i="16"/>
  <c r="V92" i="16"/>
  <c r="Z92" i="16"/>
  <c r="Y92" i="16"/>
  <c r="A90" i="16" a="1"/>
  <c r="A90" i="16" s="1"/>
  <c r="U89" i="16"/>
  <c r="U85" i="16"/>
  <c r="U81" i="16"/>
  <c r="ES81" i="16"/>
  <c r="DO81" i="16"/>
  <c r="DE81" i="16"/>
  <c r="FM81" i="16"/>
  <c r="A83" i="16" a="1"/>
  <c r="A83" i="16" s="1"/>
  <c r="GG81" i="16"/>
  <c r="G81" i="16" s="1"/>
  <c r="E81" i="16"/>
  <c r="DY81" i="16"/>
  <c r="A82" i="16" a="1"/>
  <c r="A82" i="16" s="1"/>
  <c r="EI81" i="16"/>
  <c r="A84" i="16" a="1"/>
  <c r="A84" i="16" s="1"/>
  <c r="FW81" i="16"/>
  <c r="CU81" i="16"/>
  <c r="FC81" i="16"/>
  <c r="A85" i="16" a="1"/>
  <c r="A85" i="16" s="1"/>
  <c r="A86" i="16" a="1"/>
  <c r="A86" i="16" s="1"/>
  <c r="A87" i="16" a="1"/>
  <c r="A87" i="16" s="1"/>
  <c r="A88" i="16" a="1"/>
  <c r="A88" i="16" s="1"/>
  <c r="A89" i="16" a="1"/>
  <c r="A89" i="16" s="1"/>
  <c r="A92" i="16" a="1"/>
  <c r="A92" i="16" s="1"/>
  <c r="A93" i="16" a="1"/>
  <c r="A93" i="16" s="1"/>
  <c r="A94" i="16" a="1"/>
  <c r="A94" i="16" s="1"/>
  <c r="A95" i="16" a="1"/>
  <c r="A95" i="16" s="1"/>
  <c r="A96" i="16" a="1"/>
  <c r="A96" i="16" s="1"/>
  <c r="A97" i="16" a="1"/>
  <c r="A97" i="16" s="1"/>
  <c r="A98" i="16" a="1"/>
  <c r="A98" i="16" s="1"/>
  <c r="A99" i="16" a="1"/>
  <c r="A99" i="16" s="1"/>
  <c r="A100" i="16" a="1"/>
  <c r="A100" i="16" s="1"/>
  <c r="A101" i="16" a="1"/>
  <c r="A101" i="16" s="1"/>
  <c r="A102" i="16" a="1"/>
  <c r="A102" i="16" s="1"/>
  <c r="A103" i="16" a="1"/>
  <c r="A103" i="16" s="1"/>
  <c r="A104" i="16" a="1"/>
  <c r="A104" i="16" s="1"/>
  <c r="A105" i="16" a="1"/>
  <c r="A105" i="16" s="1"/>
  <c r="A106" i="16" a="1"/>
  <c r="A106" i="16" s="1"/>
  <c r="A107" i="16" a="1"/>
  <c r="A107" i="16" s="1"/>
  <c r="A108" i="16" a="1"/>
  <c r="A108" i="16" s="1"/>
  <c r="A109" i="16" a="1"/>
  <c r="A109" i="16" s="1"/>
  <c r="A110" i="16" a="1"/>
  <c r="A110" i="16" s="1"/>
  <c r="A111" i="16" a="1"/>
  <c r="A111" i="16" s="1"/>
  <c r="A112" i="16" a="1"/>
  <c r="A112" i="16" s="1"/>
  <c r="A113" i="16" a="1"/>
  <c r="A113" i="16" s="1"/>
  <c r="A114" i="16" a="1"/>
  <c r="A114" i="16" s="1"/>
  <c r="A115" i="16" a="1"/>
  <c r="A115" i="16" s="1"/>
  <c r="A116" i="16" a="1"/>
  <c r="A116" i="16" s="1"/>
  <c r="A117" i="16" a="1"/>
  <c r="A117" i="16" s="1"/>
  <c r="A118" i="16" a="1"/>
  <c r="A118" i="16" s="1"/>
  <c r="A119" i="16" a="1"/>
  <c r="A119" i="16" s="1"/>
  <c r="A120" i="16" a="1"/>
  <c r="A120" i="16" s="1"/>
  <c r="A121" i="16" a="1"/>
  <c r="A121" i="16" s="1"/>
  <c r="A122" i="16" a="1"/>
  <c r="A122" i="16" s="1"/>
  <c r="A123" i="16" a="1"/>
  <c r="A123" i="16" s="1"/>
  <c r="A124" i="16" a="1"/>
  <c r="A124" i="16" s="1"/>
  <c r="A125" i="16" a="1"/>
  <c r="A125" i="16" s="1"/>
  <c r="A126" i="16" a="1"/>
  <c r="A126" i="16" s="1"/>
  <c r="A127" i="16" a="1"/>
  <c r="A127" i="16" s="1"/>
  <c r="A128" i="16" a="1"/>
  <c r="A128" i="16" s="1"/>
  <c r="A129" i="16" a="1"/>
  <c r="A129" i="16" s="1"/>
  <c r="A130" i="16" a="1"/>
  <c r="A130" i="16" s="1"/>
  <c r="A131" i="16" a="1"/>
  <c r="A131" i="16" s="1"/>
  <c r="A132" i="16" a="1"/>
  <c r="A132" i="16" s="1"/>
  <c r="A133" i="16" a="1"/>
  <c r="A133" i="16" s="1"/>
  <c r="A134" i="16" a="1"/>
  <c r="A134" i="16" s="1"/>
  <c r="A135" i="16" a="1"/>
  <c r="A135" i="16" s="1"/>
  <c r="A136" i="16" a="1"/>
  <c r="A136" i="16" s="1"/>
  <c r="A137" i="16" a="1"/>
  <c r="A137" i="16" s="1"/>
  <c r="A138" i="16" a="1"/>
  <c r="A138" i="16" s="1"/>
  <c r="A139" i="16" a="1"/>
  <c r="A139" i="16" s="1"/>
  <c r="A140" i="16" a="1"/>
  <c r="A140" i="16" s="1"/>
  <c r="A141" i="16" a="1"/>
  <c r="A141" i="16" s="1"/>
  <c r="A142" i="16" a="1"/>
  <c r="A142" i="16" s="1"/>
  <c r="A143" i="16" a="1"/>
  <c r="A143" i="16" s="1"/>
  <c r="A144" i="16" a="1"/>
  <c r="A144" i="16" s="1"/>
  <c r="A145" i="16" a="1"/>
  <c r="A145" i="16" s="1"/>
  <c r="A146" i="16" a="1"/>
  <c r="A146" i="16" s="1"/>
  <c r="A147" i="16" a="1"/>
  <c r="A147" i="16" s="1"/>
  <c r="A148" i="16" a="1"/>
  <c r="A148" i="16" s="1"/>
  <c r="A149" i="16" a="1"/>
  <c r="A149" i="16" s="1"/>
  <c r="A150" i="16" a="1"/>
  <c r="A150" i="16" s="1"/>
  <c r="A151" i="16" a="1"/>
  <c r="A151" i="16" s="1"/>
  <c r="A152" i="16" a="1"/>
  <c r="A152" i="16" s="1"/>
  <c r="A153" i="16" a="1"/>
  <c r="A153" i="16" s="1"/>
  <c r="A154" i="16" a="1"/>
  <c r="A154" i="16" s="1"/>
  <c r="A155" i="16" a="1"/>
  <c r="A155" i="16" s="1"/>
  <c r="A156" i="16" a="1"/>
  <c r="A156" i="16" s="1"/>
  <c r="A157" i="16" a="1"/>
  <c r="A157" i="16" s="1"/>
  <c r="A158" i="16" a="1"/>
  <c r="A158" i="16" s="1"/>
  <c r="A159" i="16" a="1"/>
  <c r="A159" i="16" s="1"/>
  <c r="A160" i="16" a="1"/>
  <c r="A160" i="16" s="1"/>
  <c r="A161" i="16" a="1"/>
  <c r="A161" i="16" s="1"/>
  <c r="A162" i="16" a="1"/>
  <c r="A162" i="16" s="1"/>
  <c r="A163" i="16" a="1"/>
  <c r="A163" i="16" s="1"/>
  <c r="A164" i="16" a="1"/>
  <c r="A164" i="16" s="1"/>
  <c r="A165" i="16" a="1"/>
  <c r="A165" i="16" s="1"/>
  <c r="A166" i="16" a="1"/>
  <c r="A166" i="16" s="1"/>
  <c r="A167" i="16" a="1"/>
  <c r="A167" i="16" s="1"/>
  <c r="A168" i="16" a="1"/>
  <c r="A168" i="16" s="1"/>
  <c r="A169" i="16" a="1"/>
  <c r="A169" i="16" s="1"/>
  <c r="A170" i="16" a="1"/>
  <c r="A170" i="16" s="1"/>
  <c r="A171" i="16" a="1"/>
  <c r="A171" i="16" s="1"/>
  <c r="A172" i="16" a="1"/>
  <c r="A172" i="16" s="1"/>
  <c r="A173" i="16" a="1"/>
  <c r="A173" i="16" s="1"/>
  <c r="A174" i="16" a="1"/>
  <c r="A174" i="16" s="1"/>
  <c r="A175" i="16" a="1"/>
  <c r="A175" i="16" s="1"/>
  <c r="A176" i="16" a="1"/>
  <c r="A176" i="16" s="1"/>
  <c r="A177" i="16" a="1"/>
  <c r="A177" i="16" s="1"/>
  <c r="A178" i="16" a="1"/>
  <c r="A178" i="16" s="1"/>
  <c r="A179" i="16" a="1"/>
  <c r="A179" i="16" s="1"/>
  <c r="A180" i="16" a="1"/>
  <c r="A180" i="16" s="1"/>
  <c r="A181" i="16" a="1"/>
  <c r="A181" i="16" s="1"/>
  <c r="A182" i="16" a="1"/>
  <c r="A182" i="16" s="1"/>
  <c r="A183" i="16" a="1"/>
  <c r="A183" i="16" s="1"/>
  <c r="A184" i="16" a="1"/>
  <c r="A184" i="16" s="1"/>
  <c r="A185" i="16" a="1"/>
  <c r="A185" i="16" s="1"/>
  <c r="A187" i="16" a="1"/>
  <c r="A187" i="16" s="1"/>
  <c r="A186" i="16" a="1"/>
  <c r="A186" i="16" s="1"/>
  <c r="A188" i="16" a="1"/>
  <c r="A188" i="16" s="1"/>
  <c r="A189" i="16" a="1"/>
  <c r="A189" i="16" s="1"/>
  <c r="A190" i="16" a="1"/>
  <c r="A190" i="16" s="1"/>
  <c r="A191" i="16" a="1"/>
  <c r="A191" i="16" s="1"/>
  <c r="A192" i="16" a="1"/>
  <c r="A192" i="16" s="1"/>
  <c r="A193" i="16" a="1"/>
  <c r="A193" i="16" s="1"/>
  <c r="A194" i="16" a="1"/>
  <c r="A194" i="16" s="1"/>
  <c r="A195" i="16" a="1"/>
  <c r="A195" i="16" s="1"/>
  <c r="A196" i="16" a="1"/>
  <c r="A196" i="16" s="1"/>
  <c r="A198" i="16" a="1"/>
  <c r="A198" i="16" s="1"/>
  <c r="A197" i="16" a="1"/>
  <c r="A197" i="16" s="1"/>
  <c r="A199" i="16" a="1"/>
  <c r="A199" i="16" s="1"/>
  <c r="A200" i="16" a="1"/>
  <c r="A200" i="16" s="1"/>
  <c r="AV81" i="16"/>
  <c r="G34" i="16"/>
  <c r="H34" i="16"/>
  <c r="F34" i="16"/>
  <c r="AF81" i="16"/>
  <c r="BJ82" i="16"/>
  <c r="U88" i="16"/>
  <c r="U84" i="16"/>
  <c r="U91" i="16"/>
  <c r="U87" i="16"/>
  <c r="U82" i="16"/>
  <c r="A91" i="16" a="1"/>
  <c r="A91" i="16" s="1"/>
  <c r="U90" i="16"/>
  <c r="U86" i="16"/>
  <c r="U83" i="16"/>
  <c r="W82" i="18"/>
  <c r="Y83" i="18"/>
  <c r="Y84" i="18"/>
  <c r="X83" i="18"/>
  <c r="Z84" i="18"/>
  <c r="A85" i="18" a="1"/>
  <c r="A85" i="18" s="1"/>
  <c r="X84" i="18"/>
  <c r="W84" i="18"/>
  <c r="A89" i="18" a="1"/>
  <c r="A89" i="18" s="1"/>
  <c r="W83" i="18"/>
  <c r="X82" i="18"/>
  <c r="Z82" i="18"/>
  <c r="W86" i="18"/>
  <c r="V83" i="18"/>
  <c r="U81" i="18"/>
  <c r="V81" i="18" s="1"/>
  <c r="A84" i="18" a="1"/>
  <c r="A84" i="18" s="1"/>
  <c r="Y82" i="18"/>
  <c r="W85" i="18"/>
  <c r="X86" i="18"/>
  <c r="A87" i="18" a="1"/>
  <c r="A87" i="18" s="1"/>
  <c r="V86" i="18"/>
  <c r="A88" i="18" a="1"/>
  <c r="A88" i="18" s="1"/>
  <c r="V85" i="18"/>
  <c r="Z85" i="18"/>
  <c r="Y86" i="18"/>
  <c r="A86" i="18" a="1"/>
  <c r="A86" i="18" s="1"/>
  <c r="A83" i="18" a="1"/>
  <c r="A83" i="18" s="1"/>
  <c r="Y85" i="18"/>
  <c r="E81" i="18"/>
  <c r="AH81" i="18" s="1"/>
  <c r="AX81" i="18" s="1"/>
  <c r="Z87" i="18"/>
  <c r="V87" i="18"/>
  <c r="Y87" i="18"/>
  <c r="X87" i="18"/>
  <c r="W87" i="18"/>
  <c r="U88" i="18"/>
  <c r="I89" i="18" a="1"/>
  <c r="I89" i="18" s="1"/>
  <c r="GT86" i="18"/>
  <c r="GS86" i="18" s="1"/>
  <c r="GU86" i="18" s="1"/>
  <c r="B90" i="18"/>
  <c r="C90" i="18" s="1"/>
  <c r="GR89" i="18"/>
  <c r="K90" i="18"/>
  <c r="L89" i="18"/>
  <c r="CS81" i="16" l="1"/>
  <c r="CT81" i="16" s="1"/>
  <c r="CV81" i="16" s="1"/>
  <c r="CU82" i="16" s="1"/>
  <c r="Z82" i="16"/>
  <c r="X82" i="16"/>
  <c r="V82" i="16"/>
  <c r="W82" i="16"/>
  <c r="Y82" i="16"/>
  <c r="AC80" i="16"/>
  <c r="AS80" i="16"/>
  <c r="Z90" i="16"/>
  <c r="Y90" i="16"/>
  <c r="W90" i="16"/>
  <c r="X90" i="16"/>
  <c r="V90" i="16"/>
  <c r="W91" i="16"/>
  <c r="V91" i="16"/>
  <c r="Z91" i="16"/>
  <c r="Y91" i="16"/>
  <c r="X91" i="16"/>
  <c r="AK200" i="16"/>
  <c r="AZ198" i="16"/>
  <c r="BA199" i="16"/>
  <c r="AZ196" i="16"/>
  <c r="BB194" i="16"/>
  <c r="BB198" i="16"/>
  <c r="AZ195" i="16"/>
  <c r="AK192" i="16"/>
  <c r="AM190" i="16"/>
  <c r="AK188" i="16"/>
  <c r="AM186" i="16"/>
  <c r="AZ199" i="16"/>
  <c r="AJ197" i="16"/>
  <c r="AZ193" i="16"/>
  <c r="BC190" i="16"/>
  <c r="AJ188" i="16"/>
  <c r="BA184" i="16"/>
  <c r="BC182" i="16"/>
  <c r="BA180" i="16"/>
  <c r="BC178" i="16"/>
  <c r="BA176" i="16"/>
  <c r="BC174" i="16"/>
  <c r="BA172" i="16"/>
  <c r="BC170" i="16"/>
  <c r="BA168" i="16"/>
  <c r="AK198" i="16"/>
  <c r="AZ192" i="16"/>
  <c r="AJ190" i="16"/>
  <c r="AM188" i="16"/>
  <c r="BC185" i="16"/>
  <c r="AZ183" i="16"/>
  <c r="AM181" i="16"/>
  <c r="AM179" i="16"/>
  <c r="BB176" i="16"/>
  <c r="AZ174" i="16"/>
  <c r="AJ172" i="16"/>
  <c r="BC169" i="16"/>
  <c r="BA167" i="16"/>
  <c r="BC165" i="16"/>
  <c r="BA163" i="16"/>
  <c r="BC161" i="16"/>
  <c r="BA159" i="16"/>
  <c r="BC157" i="16"/>
  <c r="BA155" i="16"/>
  <c r="BC153" i="16"/>
  <c r="BA151" i="16"/>
  <c r="BC149" i="16"/>
  <c r="BA147" i="16"/>
  <c r="BC145" i="16"/>
  <c r="BA143" i="16"/>
  <c r="BC141" i="16"/>
  <c r="BA139" i="16"/>
  <c r="BC137" i="16"/>
  <c r="BA135" i="16"/>
  <c r="BC133" i="16"/>
  <c r="BC196" i="16"/>
  <c r="BA196" i="16"/>
  <c r="AM194" i="16"/>
  <c r="BB192" i="16"/>
  <c r="BB193" i="16"/>
  <c r="AJ198" i="16"/>
  <c r="AL188" i="16"/>
  <c r="AZ189" i="16"/>
  <c r="BC191" i="16"/>
  <c r="AK185" i="16"/>
  <c r="BB186" i="16"/>
  <c r="AL179" i="16"/>
  <c r="AZ176" i="16"/>
  <c r="AK180" i="16"/>
  <c r="BB177" i="16"/>
  <c r="AK183" i="16"/>
  <c r="AL180" i="16"/>
  <c r="AL170" i="16"/>
  <c r="AL168" i="16"/>
  <c r="BA165" i="16"/>
  <c r="BA162" i="16"/>
  <c r="AK159" i="16"/>
  <c r="BA174" i="16"/>
  <c r="BC168" i="16"/>
  <c r="AL165" i="16"/>
  <c r="AM200" i="16"/>
  <c r="AL198" i="16"/>
  <c r="AJ199" i="16"/>
  <c r="AL196" i="16"/>
  <c r="AJ194" i="16"/>
  <c r="AM197" i="16"/>
  <c r="AL194" i="16"/>
  <c r="AZ191" i="16"/>
  <c r="BB189" i="16"/>
  <c r="AZ187" i="16"/>
  <c r="BB185" i="16"/>
  <c r="BC198" i="16"/>
  <c r="AJ196" i="16"/>
  <c r="AJ193" i="16"/>
  <c r="AK190" i="16"/>
  <c r="BC186" i="16"/>
  <c r="AM184" i="16"/>
  <c r="AK182" i="16"/>
  <c r="AM180" i="16"/>
  <c r="AK178" i="16"/>
  <c r="AM176" i="16"/>
  <c r="AK174" i="16"/>
  <c r="AM172" i="16"/>
  <c r="AK170" i="16"/>
  <c r="AM168" i="16"/>
  <c r="AM196" i="16"/>
  <c r="AM192" i="16"/>
  <c r="BC189" i="16"/>
  <c r="AK187" i="16"/>
  <c r="AM185" i="16"/>
  <c r="AM183" i="16"/>
  <c r="BB180" i="16"/>
  <c r="AZ178" i="16"/>
  <c r="AJ176" i="16"/>
  <c r="BC173" i="16"/>
  <c r="AZ171" i="16"/>
  <c r="AM169" i="16"/>
  <c r="AM167" i="16"/>
  <c r="AK165" i="16"/>
  <c r="AM163" i="16"/>
  <c r="AK161" i="16"/>
  <c r="AM159" i="16"/>
  <c r="AK157" i="16"/>
  <c r="AM155" i="16"/>
  <c r="AK153" i="16"/>
  <c r="AM151" i="16"/>
  <c r="AK149" i="16"/>
  <c r="AM147" i="16"/>
  <c r="AK145" i="16"/>
  <c r="AM143" i="16"/>
  <c r="AK141" i="16"/>
  <c r="AM139" i="16"/>
  <c r="AK137" i="16"/>
  <c r="AM135" i="16"/>
  <c r="AK133" i="16"/>
  <c r="AJ195" i="16"/>
  <c r="BC195" i="16"/>
  <c r="BA197" i="16"/>
  <c r="AL192" i="16"/>
  <c r="BA191" i="16"/>
  <c r="BB191" i="16"/>
  <c r="BB187" i="16"/>
  <c r="BC187" i="16"/>
  <c r="AM187" i="16"/>
  <c r="BC184" i="16"/>
  <c r="AL183" i="16"/>
  <c r="AL178" i="16"/>
  <c r="AL176" i="16"/>
  <c r="BC179" i="16"/>
  <c r="BC176" i="16"/>
  <c r="BA182" i="16"/>
  <c r="BB174" i="16"/>
  <c r="BA169" i="16"/>
  <c r="BC167" i="16"/>
  <c r="AJ165" i="16"/>
  <c r="BA161" i="16"/>
  <c r="AL190" i="16"/>
  <c r="AL174" i="16"/>
  <c r="AK168" i="16"/>
  <c r="BC164" i="16"/>
  <c r="BC199" i="16"/>
  <c r="BC197" i="16"/>
  <c r="BC193" i="16"/>
  <c r="AM193" i="16"/>
  <c r="AJ189" i="16"/>
  <c r="AJ185" i="16"/>
  <c r="BB195" i="16"/>
  <c r="BA189" i="16"/>
  <c r="BB183" i="16"/>
  <c r="BB179" i="16"/>
  <c r="BB175" i="16"/>
  <c r="BB171" i="16"/>
  <c r="AZ200" i="16"/>
  <c r="AK191" i="16"/>
  <c r="AZ186" i="16"/>
  <c r="AZ182" i="16"/>
  <c r="BC177" i="16"/>
  <c r="AM173" i="16"/>
  <c r="BB168" i="16"/>
  <c r="AZ164" i="16"/>
  <c r="AZ160" i="16"/>
  <c r="AZ156" i="16"/>
  <c r="AZ152" i="16"/>
  <c r="AZ148" i="16"/>
  <c r="AZ144" i="16"/>
  <c r="AZ140" i="16"/>
  <c r="AZ136" i="16"/>
  <c r="AJ200" i="16"/>
  <c r="AM199" i="16"/>
  <c r="AL197" i="16"/>
  <c r="AJ191" i="16"/>
  <c r="AZ184" i="16"/>
  <c r="AK189" i="16"/>
  <c r="BA177" i="16"/>
  <c r="BA178" i="16"/>
  <c r="BB181" i="16"/>
  <c r="AK169" i="16"/>
  <c r="BC163" i="16"/>
  <c r="AK184" i="16"/>
  <c r="AZ166" i="16"/>
  <c r="AL162" i="16"/>
  <c r="AZ158" i="16"/>
  <c r="AM156" i="16"/>
  <c r="AM154" i="16"/>
  <c r="AJ177" i="16"/>
  <c r="AJ169" i="16"/>
  <c r="AM166" i="16"/>
  <c r="AK181" i="16"/>
  <c r="AZ172" i="16"/>
  <c r="BB160" i="16"/>
  <c r="AL158" i="16"/>
  <c r="AZ155" i="16"/>
  <c r="AK152" i="16"/>
  <c r="BB148" i="16"/>
  <c r="AM145" i="16"/>
  <c r="AL142" i="16"/>
  <c r="AZ139" i="16"/>
  <c r="AK136" i="16"/>
  <c r="BC132" i="16"/>
  <c r="AL185" i="16"/>
  <c r="AJ173" i="16"/>
  <c r="AM164" i="16"/>
  <c r="BA160" i="16"/>
  <c r="AJ156" i="16"/>
  <c r="AL153" i="16"/>
  <c r="BC150" i="16"/>
  <c r="BA148" i="16"/>
  <c r="AK146" i="16"/>
  <c r="AJ144" i="16"/>
  <c r="BB141" i="16"/>
  <c r="AL139" i="16"/>
  <c r="AL137" i="16"/>
  <c r="BC134" i="16"/>
  <c r="BB132" i="16"/>
  <c r="AZ130" i="16"/>
  <c r="BB128" i="16"/>
  <c r="AZ126" i="16"/>
  <c r="BB124" i="16"/>
  <c r="BA122" i="16"/>
  <c r="BA120" i="16"/>
  <c r="BA118" i="16"/>
  <c r="AZ116" i="16"/>
  <c r="BB114" i="16"/>
  <c r="AL200" i="16"/>
  <c r="AK193" i="16"/>
  <c r="AL191" i="16"/>
  <c r="BA186" i="16"/>
  <c r="AL195" i="16"/>
  <c r="AK186" i="16"/>
  <c r="AL181" i="16"/>
  <c r="AJ175" i="16"/>
  <c r="AZ169" i="16"/>
  <c r="AL193" i="16"/>
  <c r="AJ186" i="16"/>
  <c r="AJ180" i="16"/>
  <c r="AM175" i="16"/>
  <c r="AJ168" i="16"/>
  <c r="BB162" i="16"/>
  <c r="AJ158" i="16"/>
  <c r="AL152" i="16"/>
  <c r="BB146" i="16"/>
  <c r="AJ142" i="16"/>
  <c r="AL136" i="16"/>
  <c r="BB199" i="16"/>
  <c r="BA193" i="16"/>
  <c r="BB188" i="16"/>
  <c r="AL186" i="16"/>
  <c r="BA179" i="16"/>
  <c r="AM178" i="16"/>
  <c r="BA171" i="16"/>
  <c r="BA166" i="16"/>
  <c r="AM182" i="16"/>
  <c r="AJ164" i="16"/>
  <c r="AJ160" i="16"/>
  <c r="BB155" i="16"/>
  <c r="BA181" i="16"/>
  <c r="BB169" i="16"/>
  <c r="AZ165" i="16"/>
  <c r="BC175" i="16"/>
  <c r="AL163" i="16"/>
  <c r="AL157" i="16"/>
  <c r="AM153" i="16"/>
  <c r="AM149" i="16"/>
  <c r="BB144" i="16"/>
  <c r="BB140" i="16"/>
  <c r="BB136" i="16"/>
  <c r="AK132" i="16"/>
  <c r="AL175" i="16"/>
  <c r="AL167" i="16"/>
  <c r="AZ159" i="16"/>
  <c r="BC154" i="16"/>
  <c r="AL151" i="16"/>
  <c r="AJ148" i="16"/>
  <c r="AL145" i="16"/>
  <c r="AK142" i="16"/>
  <c r="BC138" i="16"/>
  <c r="AJ136" i="16"/>
  <c r="AL133" i="16"/>
  <c r="AL130" i="16"/>
  <c r="BC127" i="16"/>
  <c r="AM125" i="16"/>
  <c r="AM122" i="16"/>
  <c r="BC119" i="16"/>
  <c r="AK117" i="16"/>
  <c r="AJ114" i="16"/>
  <c r="AL112" i="16"/>
  <c r="AK110" i="16"/>
  <c r="AK108" i="16"/>
  <c r="AK106" i="16"/>
  <c r="AK104" i="16"/>
  <c r="AJ102" i="16"/>
  <c r="AL100" i="16"/>
  <c r="AJ98" i="16"/>
  <c r="AL96" i="16"/>
  <c r="AJ94" i="16"/>
  <c r="AL92" i="16"/>
  <c r="AK90" i="16"/>
  <c r="AK88" i="16"/>
  <c r="AK86" i="16"/>
  <c r="AK84" i="16"/>
  <c r="AL82" i="16"/>
  <c r="AM80" i="16"/>
  <c r="AJ170" i="16"/>
  <c r="BC162" i="16"/>
  <c r="BB157" i="16"/>
  <c r="BA153" i="16"/>
  <c r="AJ149" i="16"/>
  <c r="BB143" i="16"/>
  <c r="BC140" i="16"/>
  <c r="AZ134" i="16"/>
  <c r="AL132" i="16"/>
  <c r="BC200" i="16"/>
  <c r="AK197" i="16"/>
  <c r="BB196" i="16"/>
  <c r="BA190" i="16"/>
  <c r="BB200" i="16"/>
  <c r="BA192" i="16"/>
  <c r="BA185" i="16"/>
  <c r="AJ179" i="16"/>
  <c r="AZ173" i="16"/>
  <c r="AL169" i="16"/>
  <c r="AZ190" i="16"/>
  <c r="BB184" i="16"/>
  <c r="AZ179" i="16"/>
  <c r="BB172" i="16"/>
  <c r="BB166" i="16"/>
  <c r="AJ162" i="16"/>
  <c r="AL156" i="16"/>
  <c r="BB150" i="16"/>
  <c r="AJ146" i="16"/>
  <c r="AL140" i="16"/>
  <c r="BB134" i="16"/>
  <c r="BB197" i="16"/>
  <c r="BC194" i="16"/>
  <c r="AJ187" i="16"/>
  <c r="AZ185" i="16"/>
  <c r="AK177" i="16"/>
  <c r="AK175" i="16"/>
  <c r="AL171" i="16"/>
  <c r="AK163" i="16"/>
  <c r="AK173" i="16"/>
  <c r="AZ162" i="16"/>
  <c r="AM158" i="16"/>
  <c r="AJ155" i="16"/>
  <c r="BC180" i="16"/>
  <c r="AZ167" i="16"/>
  <c r="AM165" i="16"/>
  <c r="BB173" i="16"/>
  <c r="AK160" i="16"/>
  <c r="BA156" i="16"/>
  <c r="BB152" i="16"/>
  <c r="AK148" i="16"/>
  <c r="AK144" i="16"/>
  <c r="AK140" i="16"/>
  <c r="AZ135" i="16"/>
  <c r="AZ131" i="16"/>
  <c r="BA173" i="16"/>
  <c r="AJ163" i="16"/>
  <c r="AK158" i="16"/>
  <c r="BB153" i="16"/>
  <c r="AK150" i="16"/>
  <c r="AL147" i="16"/>
  <c r="BA144" i="16"/>
  <c r="AL141" i="16"/>
  <c r="AK138" i="16"/>
  <c r="AL135" i="16"/>
  <c r="AJ132" i="16"/>
  <c r="BA129" i="16"/>
  <c r="AK127" i="16"/>
  <c r="AJ124" i="16"/>
  <c r="BC121" i="16"/>
  <c r="AK119" i="16"/>
  <c r="AL116" i="16"/>
  <c r="BC113" i="16"/>
  <c r="BA111" i="16"/>
  <c r="BA109" i="16"/>
  <c r="BA107" i="16"/>
  <c r="BA105" i="16"/>
  <c r="BA103" i="16"/>
  <c r="BC101" i="16"/>
  <c r="BA99" i="16"/>
  <c r="BC97" i="16"/>
  <c r="BA95" i="16"/>
  <c r="BC93" i="16"/>
  <c r="BA91" i="16"/>
  <c r="BA89" i="16"/>
  <c r="BA87" i="16"/>
  <c r="BA85" i="16"/>
  <c r="BA83" i="16"/>
  <c r="BA81" i="16"/>
  <c r="R42" i="16"/>
  <c r="BB164" i="16"/>
  <c r="AK162" i="16"/>
  <c r="BA154" i="16"/>
  <c r="BB151" i="16"/>
  <c r="BA200" i="16"/>
  <c r="BC192" i="16"/>
  <c r="AZ197" i="16"/>
  <c r="AZ181" i="16"/>
  <c r="AJ171" i="16"/>
  <c r="AZ188" i="16"/>
  <c r="AZ175" i="16"/>
  <c r="AL164" i="16"/>
  <c r="AJ154" i="16"/>
  <c r="BB142" i="16"/>
  <c r="BA198" i="16"/>
  <c r="AL189" i="16"/>
  <c r="BB182" i="16"/>
  <c r="AZ180" i="16"/>
  <c r="BC159" i="16"/>
  <c r="BC160" i="16"/>
  <c r="BC183" i="16"/>
  <c r="BC166" i="16"/>
  <c r="BB165" i="16"/>
  <c r="AL155" i="16"/>
  <c r="AL146" i="16"/>
  <c r="AM137" i="16"/>
  <c r="BA175" i="16"/>
  <c r="AM161" i="16"/>
  <c r="AJ152" i="16"/>
  <c r="BB145" i="16"/>
  <c r="AJ140" i="16"/>
  <c r="BB133" i="16"/>
  <c r="AJ128" i="16"/>
  <c r="AK123" i="16"/>
  <c r="BC117" i="16"/>
  <c r="AZ112" i="16"/>
  <c r="BC108" i="16"/>
  <c r="BC104" i="16"/>
  <c r="AZ100" i="16"/>
  <c r="AZ96" i="16"/>
  <c r="AZ92" i="16"/>
  <c r="BC88" i="16"/>
  <c r="BC84" i="16"/>
  <c r="BC80" i="16"/>
  <c r="BB163" i="16"/>
  <c r="AZ161" i="16"/>
  <c r="AK147" i="16"/>
  <c r="AJ141" i="16"/>
  <c r="AM134" i="16"/>
  <c r="AJ130" i="16"/>
  <c r="BB127" i="16"/>
  <c r="AL125" i="16"/>
  <c r="AL123" i="16"/>
  <c r="AJ121" i="16"/>
  <c r="AM117" i="16"/>
  <c r="AL114" i="16"/>
  <c r="AZ111" i="16"/>
  <c r="BC107" i="16"/>
  <c r="BB105" i="16"/>
  <c r="AZ103" i="16"/>
  <c r="AK100" i="16"/>
  <c r="BB96" i="16"/>
  <c r="AM93" i="16"/>
  <c r="AZ90" i="16"/>
  <c r="AK87" i="16"/>
  <c r="AK166" i="16"/>
  <c r="AK154" i="16"/>
  <c r="AJ147" i="16"/>
  <c r="BC139" i="16"/>
  <c r="AM136" i="16"/>
  <c r="AK129" i="16"/>
  <c r="BC125" i="16"/>
  <c r="AJ123" i="16"/>
  <c r="AM119" i="16"/>
  <c r="AL117" i="16"/>
  <c r="BC114" i="16"/>
  <c r="BA112" i="16"/>
  <c r="BC109" i="16"/>
  <c r="BB107" i="16"/>
  <c r="AZ105" i="16"/>
  <c r="AK102" i="16"/>
  <c r="AJ100" i="16"/>
  <c r="BB97" i="16"/>
  <c r="AL95" i="16"/>
  <c r="AL93" i="16"/>
  <c r="AM90" i="16"/>
  <c r="AL88" i="16"/>
  <c r="AJ86" i="16"/>
  <c r="BC81" i="16"/>
  <c r="R40" i="16"/>
  <c r="Q40" i="16" s="1"/>
  <c r="AM157" i="16"/>
  <c r="BA149" i="16"/>
  <c r="AJ145" i="16"/>
  <c r="BB139" i="16"/>
  <c r="BC136" i="16"/>
  <c r="AM131" i="16"/>
  <c r="AJ129" i="16"/>
  <c r="BC126" i="16"/>
  <c r="AZ124" i="16"/>
  <c r="AM121" i="16"/>
  <c r="AL119" i="16"/>
  <c r="AJ117" i="16"/>
  <c r="BA113" i="16"/>
  <c r="BB110" i="16"/>
  <c r="BA108" i="16"/>
  <c r="AL105" i="16"/>
  <c r="BA102" i="16"/>
  <c r="AK99" i="16"/>
  <c r="BC95" i="16"/>
  <c r="AJ93" i="16"/>
  <c r="AL90" i="16"/>
  <c r="AJ88" i="16"/>
  <c r="AM84" i="16"/>
  <c r="AM82" i="16"/>
  <c r="AK80" i="16"/>
  <c r="BA157" i="16"/>
  <c r="AJ151" i="16"/>
  <c r="BC143" i="16"/>
  <c r="AM140" i="16"/>
  <c r="AZ133" i="16"/>
  <c r="AK130" i="16"/>
  <c r="AZ118" i="16"/>
  <c r="AK105" i="16"/>
  <c r="AJ99" i="16"/>
  <c r="BB91" i="16"/>
  <c r="BB86" i="16"/>
  <c r="AK82" i="16"/>
  <c r="AK126" i="16"/>
  <c r="BC116" i="16"/>
  <c r="AM100" i="16"/>
  <c r="BC85" i="16"/>
  <c r="BB83" i="16"/>
  <c r="AN80" i="16"/>
  <c r="AM114" i="16"/>
  <c r="BB103" i="16"/>
  <c r="BC96" i="16"/>
  <c r="BB85" i="16"/>
  <c r="AJ80" i="16"/>
  <c r="BB120" i="16"/>
  <c r="BC112" i="16"/>
  <c r="AL107" i="16"/>
  <c r="AM96" i="16"/>
  <c r="AM86" i="16"/>
  <c r="AL187" i="16"/>
  <c r="BA188" i="16"/>
  <c r="AK194" i="16"/>
  <c r="AZ170" i="16"/>
  <c r="BB158" i="16"/>
  <c r="AJ138" i="16"/>
  <c r="AL184" i="16"/>
  <c r="AK167" i="16"/>
  <c r="BC156" i="16"/>
  <c r="BB178" i="16"/>
  <c r="AL150" i="16"/>
  <c r="AM133" i="16"/>
  <c r="AK155" i="16"/>
  <c r="BC142" i="16"/>
  <c r="AK131" i="16"/>
  <c r="AM120" i="16"/>
  <c r="BC110" i="16"/>
  <c r="BB102" i="16"/>
  <c r="BB94" i="16"/>
  <c r="BC86" i="16"/>
  <c r="BB170" i="16"/>
  <c r="AL159" i="16"/>
  <c r="AZ142" i="16"/>
  <c r="BA132" i="16"/>
  <c r="BA126" i="16"/>
  <c r="AK124" i="16"/>
  <c r="AZ119" i="16"/>
  <c r="BB112" i="16"/>
  <c r="BB106" i="16"/>
  <c r="AM101" i="16"/>
  <c r="BA195" i="16"/>
  <c r="BC188" i="16"/>
  <c r="AJ192" i="16"/>
  <c r="AZ177" i="16"/>
  <c r="AL199" i="16"/>
  <c r="AJ184" i="16"/>
  <c r="AM171" i="16"/>
  <c r="AL160" i="16"/>
  <c r="AJ150" i="16"/>
  <c r="BB138" i="16"/>
  <c r="AZ194" i="16"/>
  <c r="AM191" i="16"/>
  <c r="AJ182" i="16"/>
  <c r="AZ168" i="16"/>
  <c r="AL172" i="16"/>
  <c r="AZ157" i="16"/>
  <c r="AM174" i="16"/>
  <c r="AK195" i="16"/>
  <c r="BB159" i="16"/>
  <c r="AZ151" i="16"/>
  <c r="AZ143" i="16"/>
  <c r="AL134" i="16"/>
  <c r="AM170" i="16"/>
  <c r="AJ157" i="16"/>
  <c r="BB149" i="16"/>
  <c r="AL143" i="16"/>
  <c r="BB137" i="16"/>
  <c r="BC131" i="16"/>
  <c r="AL126" i="16"/>
  <c r="AK121" i="16"/>
  <c r="BA115" i="16"/>
  <c r="AM111" i="16"/>
  <c r="AM107" i="16"/>
  <c r="AM103" i="16"/>
  <c r="AM99" i="16"/>
  <c r="AM95" i="16"/>
  <c r="AM91" i="16"/>
  <c r="AM87" i="16"/>
  <c r="AM83" i="16"/>
  <c r="AJ174" i="16"/>
  <c r="BB161" i="16"/>
  <c r="AZ150" i="16"/>
  <c r="BA145" i="16"/>
  <c r="AK139" i="16"/>
  <c r="AJ133" i="16"/>
  <c r="AL129" i="16"/>
  <c r="AL127" i="16"/>
  <c r="BC124" i="16"/>
  <c r="BB122" i="16"/>
  <c r="AZ120" i="16"/>
  <c r="BB116" i="16"/>
  <c r="AM113" i="16"/>
  <c r="AZ110" i="16"/>
  <c r="AK107" i="16"/>
  <c r="AJ105" i="16"/>
  <c r="AL102" i="16"/>
  <c r="AZ99" i="16"/>
  <c r="AK96" i="16"/>
  <c r="BB92" i="16"/>
  <c r="AL89" i="16"/>
  <c r="AK179" i="16"/>
  <c r="AM160" i="16"/>
  <c r="AZ153" i="16"/>
  <c r="BA146" i="16"/>
  <c r="AJ139" i="16"/>
  <c r="AZ132" i="16"/>
  <c r="BA128" i="16"/>
  <c r="AK125" i="16"/>
  <c r="AZ122" i="16"/>
  <c r="BC118" i="16"/>
  <c r="BA116" i="16"/>
  <c r="AK114" i="16"/>
  <c r="AJ112" i="16"/>
  <c r="AK109" i="16"/>
  <c r="AJ107" i="16"/>
  <c r="AZ104" i="16"/>
  <c r="BB101" i="16"/>
  <c r="AL99" i="16"/>
  <c r="AL97" i="16"/>
  <c r="BC94" i="16"/>
  <c r="BA92" i="16"/>
  <c r="BC89" i="16"/>
  <c r="BB87" i="16"/>
  <c r="AZ85" i="16"/>
  <c r="AK81" i="16"/>
  <c r="BC172" i="16"/>
  <c r="AJ153" i="16"/>
  <c r="BB147" i="16"/>
  <c r="BC144" i="16"/>
  <c r="AZ138" i="16"/>
  <c r="AK135" i="16"/>
  <c r="BC130" i="16"/>
  <c r="AZ128" i="16"/>
  <c r="AM126" i="16"/>
  <c r="AM124" i="16"/>
  <c r="BC120" i="16"/>
  <c r="BB118" i="16"/>
  <c r="BC115" i="16"/>
  <c r="AJ113" i="16"/>
  <c r="AL110" i="16"/>
  <c r="AJ108" i="16"/>
  <c r="AM104" i="16"/>
  <c r="BA101" i="16"/>
  <c r="BA98" i="16"/>
  <c r="AK95" i="16"/>
  <c r="BC91" i="16"/>
  <c r="BB89" i="16"/>
  <c r="AZ87" i="16"/>
  <c r="BC83" i="16"/>
  <c r="BB81" i="16"/>
  <c r="AL182" i="16"/>
  <c r="BB156" i="16"/>
  <c r="BA150" i="16"/>
  <c r="AJ143" i="16"/>
  <c r="BC135" i="16"/>
  <c r="AM132" i="16"/>
  <c r="BB126" i="16"/>
  <c r="AM112" i="16"/>
  <c r="AZ102" i="16"/>
  <c r="AZ97" i="16"/>
  <c r="AJ91" i="16"/>
  <c r="AL86" i="16"/>
  <c r="BB80" i="16"/>
  <c r="AL124" i="16"/>
  <c r="BB115" i="16"/>
  <c r="AM98" i="16"/>
  <c r="AJ85" i="16"/>
  <c r="BB82" i="16"/>
  <c r="BA119" i="16"/>
  <c r="BA110" i="16"/>
  <c r="AJ103" i="16"/>
  <c r="BB95" i="16"/>
  <c r="BA84" i="16"/>
  <c r="AZ129" i="16"/>
  <c r="AJ120" i="16"/>
  <c r="BB111" i="16"/>
  <c r="BC105" i="16"/>
  <c r="AM94" i="16"/>
  <c r="AJ83" i="16"/>
  <c r="AM195" i="16"/>
  <c r="AL177" i="16"/>
  <c r="BC181" i="16"/>
  <c r="AL148" i="16"/>
  <c r="BA194" i="16"/>
  <c r="AJ181" i="16"/>
  <c r="AL166" i="16"/>
  <c r="BA170" i="16"/>
  <c r="BA158" i="16"/>
  <c r="AM141" i="16"/>
  <c r="BB167" i="16"/>
  <c r="AL149" i="16"/>
  <c r="BA136" i="16"/>
  <c r="BA125" i="16"/>
  <c r="AM115" i="16"/>
  <c r="BC106" i="16"/>
  <c r="BB98" i="16"/>
  <c r="BC90" i="16"/>
  <c r="AZ82" i="16"/>
  <c r="AM150" i="16"/>
  <c r="BA137" i="16"/>
  <c r="BC128" i="16"/>
  <c r="AJ122" i="16"/>
  <c r="AK116" i="16"/>
  <c r="AL109" i="16"/>
  <c r="BA104" i="16"/>
  <c r="AL98" i="16"/>
  <c r="AJ183" i="16"/>
  <c r="AJ166" i="16"/>
  <c r="BB190" i="16"/>
  <c r="AL161" i="16"/>
  <c r="AK156" i="16"/>
  <c r="AM162" i="16"/>
  <c r="AK134" i="16"/>
  <c r="AK113" i="16"/>
  <c r="AK97" i="16"/>
  <c r="AM81" i="16"/>
  <c r="AM142" i="16"/>
  <c r="AJ126" i="16"/>
  <c r="AZ115" i="16"/>
  <c r="AJ104" i="16"/>
  <c r="AL94" i="16"/>
  <c r="BC87" i="16"/>
  <c r="BC158" i="16"/>
  <c r="AM144" i="16"/>
  <c r="BC129" i="16"/>
  <c r="BA123" i="16"/>
  <c r="BB117" i="16"/>
  <c r="AL113" i="16"/>
  <c r="AL108" i="16"/>
  <c r="BC102" i="16"/>
  <c r="AK98" i="16"/>
  <c r="BB93" i="16"/>
  <c r="BB88" i="16"/>
  <c r="AL83" i="16"/>
  <c r="AZ163" i="16"/>
  <c r="AM146" i="16"/>
  <c r="AJ137" i="16"/>
  <c r="BB129" i="16"/>
  <c r="AJ125" i="16"/>
  <c r="BB119" i="16"/>
  <c r="BA114" i="16"/>
  <c r="AJ109" i="16"/>
  <c r="AK103" i="16"/>
  <c r="AJ97" i="16"/>
  <c r="BB90" i="16"/>
  <c r="AL85" i="16"/>
  <c r="AZ80" i="16"/>
  <c r="BC151" i="16"/>
  <c r="AZ141" i="16"/>
  <c r="BB130" i="16"/>
  <c r="AM106" i="16"/>
  <c r="BC92" i="16"/>
  <c r="AL84" i="16"/>
  <c r="AK122" i="16"/>
  <c r="AZ89" i="16"/>
  <c r="AZ81" i="16"/>
  <c r="BB104" i="16"/>
  <c r="AZ93" i="16"/>
  <c r="BB121" i="16"/>
  <c r="AZ108" i="16"/>
  <c r="AJ90" i="16"/>
  <c r="AM89" i="16"/>
  <c r="AM97" i="16"/>
  <c r="BC147" i="16"/>
  <c r="AJ127" i="16"/>
  <c r="AL115" i="16"/>
  <c r="AJ106" i="16"/>
  <c r="AJ96" i="16"/>
  <c r="BA86" i="16"/>
  <c r="AL80" i="16"/>
  <c r="BA141" i="16"/>
  <c r="AZ127" i="16"/>
  <c r="BA117" i="16"/>
  <c r="AZ106" i="16"/>
  <c r="BA93" i="16"/>
  <c r="BC82" i="16"/>
  <c r="AM148" i="16"/>
  <c r="BB99" i="16"/>
  <c r="AM127" i="16"/>
  <c r="AJ84" i="16"/>
  <c r="AZ98" i="16"/>
  <c r="AZ114" i="16"/>
  <c r="AM102" i="16"/>
  <c r="AM177" i="16"/>
  <c r="AJ161" i="16"/>
  <c r="AL131" i="16"/>
  <c r="AM118" i="16"/>
  <c r="AM85" i="16"/>
  <c r="AK128" i="16"/>
  <c r="AL106" i="16"/>
  <c r="AM88" i="16"/>
  <c r="AZ145" i="16"/>
  <c r="BA124" i="16"/>
  <c r="BB113" i="16"/>
  <c r="AL103" i="16"/>
  <c r="AK94" i="16"/>
  <c r="AZ84" i="16"/>
  <c r="AZ146" i="16"/>
  <c r="AM130" i="16"/>
  <c r="AK120" i="16"/>
  <c r="AK115" i="16"/>
  <c r="BC103" i="16"/>
  <c r="AK91" i="16"/>
  <c r="AJ81" i="16"/>
  <c r="BA142" i="16"/>
  <c r="AZ109" i="16"/>
  <c r="AK85" i="16"/>
  <c r="AM92" i="16"/>
  <c r="AJ110" i="16"/>
  <c r="AZ125" i="16"/>
  <c r="BA90" i="16"/>
  <c r="AK199" i="16"/>
  <c r="AL173" i="16"/>
  <c r="BB154" i="16"/>
  <c r="BA187" i="16"/>
  <c r="AZ154" i="16"/>
  <c r="AZ147" i="16"/>
  <c r="BA152" i="16"/>
  <c r="AM129" i="16"/>
  <c r="AM109" i="16"/>
  <c r="AK93" i="16"/>
  <c r="AK164" i="16"/>
  <c r="BB135" i="16"/>
  <c r="BB123" i="16"/>
  <c r="AK112" i="16"/>
  <c r="BB100" i="16"/>
  <c r="AK92" i="16"/>
  <c r="AJ178" i="16"/>
  <c r="AM152" i="16"/>
  <c r="BA138" i="16"/>
  <c r="BA127" i="16"/>
  <c r="AZ121" i="16"/>
  <c r="AJ116" i="16"/>
  <c r="AL111" i="16"/>
  <c r="BA106" i="16"/>
  <c r="AL101" i="16"/>
  <c r="BA96" i="16"/>
  <c r="AJ92" i="16"/>
  <c r="AJ87" i="16"/>
  <c r="BA80" i="16"/>
  <c r="BC152" i="16"/>
  <c r="AK143" i="16"/>
  <c r="BA133" i="16"/>
  <c r="AM128" i="16"/>
  <c r="AZ123" i="16"/>
  <c r="AJ118" i="16"/>
  <c r="BC111" i="16"/>
  <c r="AZ107" i="16"/>
  <c r="AJ101" i="16"/>
  <c r="BA94" i="16"/>
  <c r="AJ89" i="16"/>
  <c r="AK83" i="16"/>
  <c r="AK176" i="16"/>
  <c r="AZ149" i="16"/>
  <c r="AJ135" i="16"/>
  <c r="BC122" i="16"/>
  <c r="BC100" i="16"/>
  <c r="AZ88" i="16"/>
  <c r="AL128" i="16"/>
  <c r="AJ115" i="16"/>
  <c r="BB84" i="16"/>
  <c r="AJ119" i="16"/>
  <c r="AZ101" i="16"/>
  <c r="AZ83" i="16"/>
  <c r="AZ117" i="16"/>
  <c r="AL104" i="16"/>
  <c r="AL81" i="16"/>
  <c r="AK196" i="16"/>
  <c r="AM189" i="16"/>
  <c r="AL144" i="16"/>
  <c r="BA183" i="16"/>
  <c r="AJ167" i="16"/>
  <c r="AL138" i="16"/>
  <c r="BC146" i="16"/>
  <c r="BC123" i="16"/>
  <c r="AM105" i="16"/>
  <c r="AL154" i="16"/>
  <c r="BA130" i="16"/>
  <c r="BA121" i="16"/>
  <c r="AM108" i="16"/>
  <c r="AZ91" i="16"/>
  <c r="AK171" i="16"/>
  <c r="AZ137" i="16"/>
  <c r="AL120" i="16"/>
  <c r="AM110" i="16"/>
  <c r="BA100" i="16"/>
  <c r="AL91" i="16"/>
  <c r="AK151" i="16"/>
  <c r="BA131" i="16"/>
  <c r="AL122" i="16"/>
  <c r="AK111" i="16"/>
  <c r="BC99" i="16"/>
  <c r="BA88" i="16"/>
  <c r="BA164" i="16"/>
  <c r="BA134" i="16"/>
  <c r="AL121" i="16"/>
  <c r="AL87" i="16"/>
  <c r="AZ113" i="16"/>
  <c r="AM116" i="16"/>
  <c r="BA82" i="16"/>
  <c r="BD80" i="16"/>
  <c r="AM198" i="16"/>
  <c r="AJ134" i="16"/>
  <c r="AK172" i="16"/>
  <c r="BA140" i="16"/>
  <c r="AK101" i="16"/>
  <c r="BC148" i="16"/>
  <c r="AL118" i="16"/>
  <c r="AZ95" i="16"/>
  <c r="AJ159" i="16"/>
  <c r="BB131" i="16"/>
  <c r="AK118" i="16"/>
  <c r="BB108" i="16"/>
  <c r="BC98" i="16"/>
  <c r="AK89" i="16"/>
  <c r="BC171" i="16"/>
  <c r="AM138" i="16"/>
  <c r="BB125" i="16"/>
  <c r="BB109" i="16"/>
  <c r="BA97" i="16"/>
  <c r="AZ86" i="16"/>
  <c r="BC155" i="16"/>
  <c r="AJ131" i="16"/>
  <c r="AZ94" i="16"/>
  <c r="AM123" i="16"/>
  <c r="AJ82" i="16"/>
  <c r="AJ95" i="16"/>
  <c r="AJ111" i="16"/>
  <c r="X81" i="16"/>
  <c r="W81" i="16"/>
  <c r="Y81" i="16"/>
  <c r="V81" i="16"/>
  <c r="Z81" i="16"/>
  <c r="Y84" i="16"/>
  <c r="W84" i="16"/>
  <c r="X84" i="16"/>
  <c r="V84" i="16"/>
  <c r="Z84" i="16"/>
  <c r="AH81" i="16"/>
  <c r="AX81" i="16" s="1"/>
  <c r="V85" i="16"/>
  <c r="Z85" i="16"/>
  <c r="Y85" i="16"/>
  <c r="X85" i="16"/>
  <c r="W85" i="16"/>
  <c r="Y83" i="16"/>
  <c r="W83" i="16"/>
  <c r="V83" i="16"/>
  <c r="Z83" i="16"/>
  <c r="X83" i="16"/>
  <c r="Z88" i="16"/>
  <c r="Y88" i="16"/>
  <c r="X88" i="16"/>
  <c r="W88" i="16"/>
  <c r="V88" i="16"/>
  <c r="Y89" i="16"/>
  <c r="W89" i="16"/>
  <c r="V89" i="16"/>
  <c r="Z89" i="16"/>
  <c r="X89" i="16"/>
  <c r="W86" i="16"/>
  <c r="Y86" i="16"/>
  <c r="X86" i="16"/>
  <c r="Z86" i="16"/>
  <c r="V86" i="16"/>
  <c r="Y87" i="16"/>
  <c r="V87" i="16"/>
  <c r="X87" i="16"/>
  <c r="W87" i="16"/>
  <c r="Z87" i="16"/>
  <c r="AG81" i="16"/>
  <c r="AV82" i="16"/>
  <c r="AW81" i="16"/>
  <c r="AF82" i="16"/>
  <c r="Y81" i="18"/>
  <c r="X81" i="18"/>
  <c r="W81" i="18"/>
  <c r="Z81" i="18"/>
  <c r="GT87" i="18"/>
  <c r="GS87" i="18" s="1"/>
  <c r="GU87" i="18" s="1"/>
  <c r="B91" i="18"/>
  <c r="C91" i="18" s="1"/>
  <c r="U89" i="18"/>
  <c r="A90" i="18" a="1"/>
  <c r="A90" i="18" s="1"/>
  <c r="I90" i="18" a="1"/>
  <c r="I90" i="18" s="1"/>
  <c r="X88" i="18"/>
  <c r="W88" i="18"/>
  <c r="Z88" i="18"/>
  <c r="Y88" i="18"/>
  <c r="V88" i="18"/>
  <c r="GR90" i="18"/>
  <c r="K91" i="18"/>
  <c r="L90" i="18"/>
  <c r="CS82" i="16" l="1"/>
  <c r="CT82" i="16" s="1"/>
  <c r="CV82" i="16" s="1"/>
  <c r="CU83" i="16" s="1"/>
  <c r="AF83" i="16"/>
  <c r="AW82" i="16"/>
  <c r="AV83" i="16"/>
  <c r="AG82" i="16"/>
  <c r="BD196" i="16"/>
  <c r="BE196" i="16" s="1"/>
  <c r="BD193" i="16"/>
  <c r="BE193" i="16" s="1"/>
  <c r="BD177" i="16"/>
  <c r="BE177" i="16" s="1"/>
  <c r="BD160" i="16"/>
  <c r="BE160" i="16" s="1"/>
  <c r="BD144" i="16"/>
  <c r="BE144" i="16" s="1"/>
  <c r="BD189" i="16"/>
  <c r="BE189" i="16" s="1"/>
  <c r="BD180" i="16"/>
  <c r="BE180" i="16" s="1"/>
  <c r="BD188" i="16"/>
  <c r="BE188" i="16" s="1"/>
  <c r="BD178" i="16"/>
  <c r="BE178" i="16" s="1"/>
  <c r="BD167" i="16"/>
  <c r="BE167" i="16" s="1"/>
  <c r="BD150" i="16"/>
  <c r="BE150" i="16" s="1"/>
  <c r="BD142" i="16"/>
  <c r="BE142" i="16" s="1"/>
  <c r="BD134" i="16"/>
  <c r="BE134" i="16" s="1"/>
  <c r="BD163" i="16"/>
  <c r="BE163" i="16" s="1"/>
  <c r="BD151" i="16"/>
  <c r="BE151" i="16" s="1"/>
  <c r="BD135" i="16"/>
  <c r="BE135" i="16" s="1"/>
  <c r="BD112" i="16"/>
  <c r="BE112" i="16" s="1"/>
  <c r="BD82" i="16"/>
  <c r="BE82" i="16" s="1"/>
  <c r="BD192" i="16"/>
  <c r="BE192" i="16" s="1"/>
  <c r="BD117" i="16"/>
  <c r="BE117" i="16" s="1"/>
  <c r="BD108" i="16"/>
  <c r="BE108" i="16" s="1"/>
  <c r="BD97" i="16"/>
  <c r="BE97" i="16" s="1"/>
  <c r="BD88" i="16"/>
  <c r="BE88" i="16" s="1"/>
  <c r="BD111" i="16"/>
  <c r="BE111" i="16" s="1"/>
  <c r="BD95" i="16"/>
  <c r="BE95" i="16" s="1"/>
  <c r="BD165" i="16"/>
  <c r="BE165" i="16" s="1"/>
  <c r="BD105" i="16"/>
  <c r="BE105" i="16" s="1"/>
  <c r="BE80" i="16"/>
  <c r="BD124" i="16"/>
  <c r="BE124" i="16" s="1"/>
  <c r="BD106" i="16"/>
  <c r="BE106" i="16" s="1"/>
  <c r="BD199" i="16"/>
  <c r="BE199" i="16" s="1"/>
  <c r="BD191" i="16"/>
  <c r="BE191" i="16" s="1"/>
  <c r="BD173" i="16"/>
  <c r="BE173" i="16" s="1"/>
  <c r="BD156" i="16"/>
  <c r="BE156" i="16" s="1"/>
  <c r="BD140" i="16"/>
  <c r="BE140" i="16" s="1"/>
  <c r="BD190" i="16"/>
  <c r="BE190" i="16" s="1"/>
  <c r="BD175" i="16"/>
  <c r="BE175" i="16" s="1"/>
  <c r="BD185" i="16"/>
  <c r="BE185" i="16" s="1"/>
  <c r="BD176" i="16"/>
  <c r="BE176" i="16" s="1"/>
  <c r="BD166" i="16"/>
  <c r="BE166" i="16" s="1"/>
  <c r="BD149" i="16"/>
  <c r="BE149" i="16" s="1"/>
  <c r="BD141" i="16"/>
  <c r="BE141" i="16" s="1"/>
  <c r="BD133" i="16"/>
  <c r="BE133" i="16" s="1"/>
  <c r="BD162" i="16"/>
  <c r="BE162" i="16" s="1"/>
  <c r="BD147" i="16"/>
  <c r="BE147" i="16" s="1"/>
  <c r="BD130" i="16"/>
  <c r="BE130" i="16" s="1"/>
  <c r="BD100" i="16"/>
  <c r="BE100" i="16" s="1"/>
  <c r="BD171" i="16"/>
  <c r="BE171" i="16" s="1"/>
  <c r="BD129" i="16"/>
  <c r="BE129" i="16" s="1"/>
  <c r="BD114" i="16"/>
  <c r="BE114" i="16" s="1"/>
  <c r="BD102" i="16"/>
  <c r="BE102" i="16" s="1"/>
  <c r="BD94" i="16"/>
  <c r="BE94" i="16" s="1"/>
  <c r="BD120" i="16"/>
  <c r="BE120" i="16" s="1"/>
  <c r="BD110" i="16"/>
  <c r="BE110" i="16" s="1"/>
  <c r="BD159" i="16"/>
  <c r="BE159" i="16" s="1"/>
  <c r="BD132" i="16"/>
  <c r="BE132" i="16" s="1"/>
  <c r="BD87" i="16"/>
  <c r="BE87" i="16" s="1"/>
  <c r="BD200" i="16"/>
  <c r="BE200" i="16" s="1"/>
  <c r="BD197" i="16"/>
  <c r="BE197" i="16" s="1"/>
  <c r="BD187" i="16"/>
  <c r="BE187" i="16" s="1"/>
  <c r="BD169" i="16"/>
  <c r="BE169" i="16" s="1"/>
  <c r="BD152" i="16"/>
  <c r="BE152" i="16" s="1"/>
  <c r="BD136" i="16"/>
  <c r="BE136" i="16" s="1"/>
  <c r="BD186" i="16"/>
  <c r="BE186" i="16" s="1"/>
  <c r="BD184" i="16"/>
  <c r="BE184" i="16" s="1"/>
  <c r="BD172" i="16"/>
  <c r="BE172" i="16" s="1"/>
  <c r="BD174" i="16"/>
  <c r="BE174" i="16" s="1"/>
  <c r="BD154" i="16"/>
  <c r="BE154" i="16" s="1"/>
  <c r="BD146" i="16"/>
  <c r="BE146" i="16" s="1"/>
  <c r="BD138" i="16"/>
  <c r="BE138" i="16" s="1"/>
  <c r="BD131" i="16"/>
  <c r="BE131" i="16" s="1"/>
  <c r="BD161" i="16"/>
  <c r="BE161" i="16" s="1"/>
  <c r="BD143" i="16"/>
  <c r="BE143" i="16" s="1"/>
  <c r="BD126" i="16"/>
  <c r="BE126" i="16" s="1"/>
  <c r="BD96" i="16"/>
  <c r="BE96" i="16" s="1"/>
  <c r="BD158" i="16"/>
  <c r="BE158" i="16" s="1"/>
  <c r="BD125" i="16"/>
  <c r="BE125" i="16" s="1"/>
  <c r="BD113" i="16"/>
  <c r="BE113" i="16" s="1"/>
  <c r="BD101" i="16"/>
  <c r="BE101" i="16" s="1"/>
  <c r="BD93" i="16"/>
  <c r="BE93" i="16" s="1"/>
  <c r="BD119" i="16"/>
  <c r="BE119" i="16" s="1"/>
  <c r="BD103" i="16"/>
  <c r="BE103" i="16" s="1"/>
  <c r="BD90" i="16"/>
  <c r="BE90" i="16" s="1"/>
  <c r="BD122" i="16"/>
  <c r="BE122" i="16" s="1"/>
  <c r="BD85" i="16"/>
  <c r="BE85" i="16" s="1"/>
  <c r="BD128" i="16"/>
  <c r="BE128" i="16" s="1"/>
  <c r="BD81" i="16"/>
  <c r="BE81" i="16" s="1"/>
  <c r="BD86" i="16"/>
  <c r="BE86" i="16" s="1"/>
  <c r="BD198" i="16"/>
  <c r="BE198" i="16" s="1"/>
  <c r="BD194" i="16"/>
  <c r="BE194" i="16" s="1"/>
  <c r="BD181" i="16"/>
  <c r="BE181" i="16" s="1"/>
  <c r="BD164" i="16"/>
  <c r="BE164" i="16" s="1"/>
  <c r="BD148" i="16"/>
  <c r="BE148" i="16" s="1"/>
  <c r="BD195" i="16"/>
  <c r="BE195" i="16" s="1"/>
  <c r="BD183" i="16"/>
  <c r="BE183" i="16" s="1"/>
  <c r="BD182" i="16"/>
  <c r="BE182" i="16" s="1"/>
  <c r="BD179" i="16"/>
  <c r="BE179" i="16" s="1"/>
  <c r="BD168" i="16"/>
  <c r="BE168" i="16" s="1"/>
  <c r="BD153" i="16"/>
  <c r="BE153" i="16" s="1"/>
  <c r="BD145" i="16"/>
  <c r="BE145" i="16" s="1"/>
  <c r="BD137" i="16"/>
  <c r="BE137" i="16" s="1"/>
  <c r="BD170" i="16"/>
  <c r="BE170" i="16" s="1"/>
  <c r="BD157" i="16"/>
  <c r="BE157" i="16" s="1"/>
  <c r="BD139" i="16"/>
  <c r="BE139" i="16" s="1"/>
  <c r="BD116" i="16"/>
  <c r="BE116" i="16" s="1"/>
  <c r="BD92" i="16"/>
  <c r="BE92" i="16" s="1"/>
  <c r="BD155" i="16"/>
  <c r="BE155" i="16" s="1"/>
  <c r="BD118" i="16"/>
  <c r="BE118" i="16" s="1"/>
  <c r="BD109" i="16"/>
  <c r="BE109" i="16" s="1"/>
  <c r="BD98" i="16"/>
  <c r="BE98" i="16" s="1"/>
  <c r="BD89" i="16"/>
  <c r="BE89" i="16" s="1"/>
  <c r="BD115" i="16"/>
  <c r="BE115" i="16" s="1"/>
  <c r="BD99" i="16"/>
  <c r="BE99" i="16" s="1"/>
  <c r="BD83" i="16"/>
  <c r="BE83" i="16" s="1"/>
  <c r="BD121" i="16"/>
  <c r="BE121" i="16" s="1"/>
  <c r="BD84" i="16"/>
  <c r="BE84" i="16" s="1"/>
  <c r="BD127" i="16"/>
  <c r="BE127" i="16" s="1"/>
  <c r="BD107" i="16"/>
  <c r="BE107" i="16" s="1"/>
  <c r="BD91" i="16"/>
  <c r="BE91" i="16" s="1"/>
  <c r="BD104" i="16"/>
  <c r="BE104" i="16" s="1"/>
  <c r="BD123" i="16"/>
  <c r="BE123" i="16" s="1"/>
  <c r="AN81" i="16"/>
  <c r="AO80" i="16"/>
  <c r="GT88" i="18"/>
  <c r="GS88" i="18" s="1"/>
  <c r="GU88" i="18" s="1"/>
  <c r="B92" i="18"/>
  <c r="C92" i="18" s="1"/>
  <c r="A92" i="18" a="1"/>
  <c r="A92" i="18" s="1"/>
  <c r="U90" i="18"/>
  <c r="A91" i="18" a="1"/>
  <c r="A91" i="18" s="1"/>
  <c r="K92" i="18"/>
  <c r="L91" i="18"/>
  <c r="I92" i="18" s="1" a="1"/>
  <c r="I92" i="18" s="1"/>
  <c r="GR91" i="18"/>
  <c r="Z89" i="18"/>
  <c r="V89" i="18"/>
  <c r="Y89" i="18"/>
  <c r="X89" i="18"/>
  <c r="W89" i="18"/>
  <c r="I91" i="18" a="1"/>
  <c r="I91" i="18" s="1"/>
  <c r="CS83" i="16" l="1"/>
  <c r="CT83" i="16" s="1"/>
  <c r="CV83" i="16" s="1"/>
  <c r="CU84" i="16" s="1"/>
  <c r="AN82" i="16"/>
  <c r="AO81" i="16"/>
  <c r="AF84" i="16"/>
  <c r="AG83" i="16"/>
  <c r="AV84" i="16"/>
  <c r="AW83" i="16"/>
  <c r="GT89" i="18"/>
  <c r="GS89" i="18" s="1"/>
  <c r="GU89" i="18" s="1"/>
  <c r="U91" i="18"/>
  <c r="X90" i="18"/>
  <c r="W90" i="18"/>
  <c r="V90" i="18"/>
  <c r="Z90" i="18"/>
  <c r="Y90" i="18"/>
  <c r="K93" i="18"/>
  <c r="GR92" i="18"/>
  <c r="L92" i="18"/>
  <c r="B93" i="18"/>
  <c r="C93" i="18" s="1"/>
  <c r="CS84" i="16" l="1"/>
  <c r="CT84" i="16" s="1"/>
  <c r="CV84" i="16" s="1"/>
  <c r="CU85" i="16" s="1"/>
  <c r="AO82" i="16"/>
  <c r="AN83" i="16"/>
  <c r="AV85" i="16"/>
  <c r="AW84" i="16"/>
  <c r="AG84" i="16"/>
  <c r="AF85" i="16"/>
  <c r="GT90" i="18"/>
  <c r="GS90" i="18" s="1"/>
  <c r="GU90" i="18" s="1"/>
  <c r="B94" i="18"/>
  <c r="C94" i="18" s="1"/>
  <c r="A94" i="18" a="1"/>
  <c r="A94" i="18" s="1"/>
  <c r="I93" i="18" a="1"/>
  <c r="I93" i="18" s="1"/>
  <c r="KE93" i="18"/>
  <c r="JZ93" i="18"/>
  <c r="JU93" i="18"/>
  <c r="JP93" i="18"/>
  <c r="JK93" i="18"/>
  <c r="JF93" i="18"/>
  <c r="JA93" i="18"/>
  <c r="IV93" i="18"/>
  <c r="IQ93" i="18"/>
  <c r="IL93" i="18"/>
  <c r="IG93" i="18"/>
  <c r="IB93" i="18"/>
  <c r="HW93" i="18"/>
  <c r="HR93" i="18"/>
  <c r="HM93" i="18"/>
  <c r="HH93" i="18"/>
  <c r="HC93" i="18"/>
  <c r="GX93" i="18"/>
  <c r="GS93" i="18"/>
  <c r="N93" i="18"/>
  <c r="AP93" i="18" s="1"/>
  <c r="KD93" i="18"/>
  <c r="JY93" i="18"/>
  <c r="JT93" i="18"/>
  <c r="JO93" i="18"/>
  <c r="JJ93" i="18"/>
  <c r="JE93" i="18"/>
  <c r="IZ93" i="18"/>
  <c r="IU93" i="18"/>
  <c r="IP93" i="18"/>
  <c r="IK93" i="18"/>
  <c r="IF93" i="18"/>
  <c r="IA93" i="18"/>
  <c r="HV93" i="18"/>
  <c r="HQ93" i="18"/>
  <c r="HL93" i="18"/>
  <c r="HG93" i="18"/>
  <c r="HB93" i="18"/>
  <c r="GW93" i="18"/>
  <c r="GR93" i="18"/>
  <c r="Q93" i="18"/>
  <c r="M93" i="18"/>
  <c r="JV93" i="18"/>
  <c r="JB93" i="18"/>
  <c r="HX93" i="18"/>
  <c r="KA93" i="18"/>
  <c r="JQ93" i="18"/>
  <c r="JG93" i="18"/>
  <c r="IW93" i="18"/>
  <c r="IM93" i="18"/>
  <c r="IC93" i="18"/>
  <c r="HS93" i="18"/>
  <c r="HI93" i="18"/>
  <c r="GY93" i="18"/>
  <c r="JW93" i="18"/>
  <c r="JM93" i="18"/>
  <c r="JC93" i="18"/>
  <c r="IS93" i="18"/>
  <c r="HY93" i="18"/>
  <c r="HO93" i="18"/>
  <c r="HE93" i="18"/>
  <c r="GU93" i="18"/>
  <c r="P93" i="18"/>
  <c r="KF93" i="18"/>
  <c r="JL93" i="18"/>
  <c r="IR93" i="18"/>
  <c r="IH93" i="18"/>
  <c r="HN93" i="18"/>
  <c r="HD93" i="18"/>
  <c r="K94" i="18"/>
  <c r="KB93" i="18"/>
  <c r="JR93" i="18"/>
  <c r="JH93" i="18"/>
  <c r="IX93" i="18"/>
  <c r="IN93" i="18"/>
  <c r="ID93" i="18"/>
  <c r="HT93" i="18"/>
  <c r="HJ93" i="18"/>
  <c r="GZ93" i="18"/>
  <c r="L93" i="18"/>
  <c r="KG93" i="18"/>
  <c r="II93" i="18"/>
  <c r="GT93" i="18"/>
  <c r="U92" i="18"/>
  <c r="A93" i="18" a="1"/>
  <c r="A93" i="18" s="1"/>
  <c r="W91" i="18"/>
  <c r="Z91" i="18"/>
  <c r="V91" i="18"/>
  <c r="Y91" i="18"/>
  <c r="X91" i="18"/>
  <c r="CS85" i="16" l="1"/>
  <c r="CT85" i="16" s="1"/>
  <c r="CV85" i="16" s="1"/>
  <c r="CU86" i="16" s="1"/>
  <c r="AO83" i="16"/>
  <c r="AN84" i="16"/>
  <c r="AV86" i="16"/>
  <c r="AW85" i="16"/>
  <c r="AF86" i="16"/>
  <c r="AG85" i="16"/>
  <c r="GT91" i="18"/>
  <c r="GS91" i="18" s="1"/>
  <c r="GU91" i="18" s="1"/>
  <c r="Z92" i="18"/>
  <c r="V92" i="18"/>
  <c r="Y92" i="18"/>
  <c r="W92" i="18"/>
  <c r="X92" i="18"/>
  <c r="B95" i="18"/>
  <c r="C95" i="18" s="1"/>
  <c r="KD94" i="18"/>
  <c r="JY94" i="18"/>
  <c r="JT94" i="18"/>
  <c r="JO94" i="18"/>
  <c r="JJ94" i="18"/>
  <c r="JE94" i="18"/>
  <c r="IZ94" i="18"/>
  <c r="IU94" i="18"/>
  <c r="IP94" i="18"/>
  <c r="IK94" i="18"/>
  <c r="IF94" i="18"/>
  <c r="IA94" i="18"/>
  <c r="HV94" i="18"/>
  <c r="HQ94" i="18"/>
  <c r="HL94" i="18"/>
  <c r="HG94" i="18"/>
  <c r="HB94" i="18"/>
  <c r="GW94" i="18"/>
  <c r="GR94" i="18"/>
  <c r="Q94" i="18"/>
  <c r="M94" i="18"/>
  <c r="K95" i="18"/>
  <c r="KG94" i="18"/>
  <c r="KB94" i="18"/>
  <c r="JW94" i="18"/>
  <c r="JR94" i="18"/>
  <c r="JM94" i="18"/>
  <c r="JH94" i="18"/>
  <c r="JC94" i="18"/>
  <c r="IX94" i="18"/>
  <c r="IS94" i="18"/>
  <c r="IN94" i="18"/>
  <c r="II94" i="18"/>
  <c r="ID94" i="18"/>
  <c r="HY94" i="18"/>
  <c r="HT94" i="18"/>
  <c r="HO94" i="18"/>
  <c r="HJ94" i="18"/>
  <c r="HE94" i="18"/>
  <c r="GZ94" i="18"/>
  <c r="GU94" i="18"/>
  <c r="P94" i="18"/>
  <c r="L94" i="18"/>
  <c r="I95" i="18" s="1" a="1"/>
  <c r="I95" i="18" s="1"/>
  <c r="KE94" i="18"/>
  <c r="JU94" i="18"/>
  <c r="JK94" i="18"/>
  <c r="IQ94" i="18"/>
  <c r="HW94" i="18"/>
  <c r="GS94" i="18"/>
  <c r="N94" i="18"/>
  <c r="AP94" i="18" s="1"/>
  <c r="JZ94" i="18"/>
  <c r="JP94" i="18"/>
  <c r="JF94" i="18"/>
  <c r="IV94" i="18"/>
  <c r="IL94" i="18"/>
  <c r="IB94" i="18"/>
  <c r="HR94" i="18"/>
  <c r="HH94" i="18"/>
  <c r="GX94" i="18"/>
  <c r="KF94" i="18"/>
  <c r="JV94" i="18"/>
  <c r="JL94" i="18"/>
  <c r="JB94" i="18"/>
  <c r="IR94" i="18"/>
  <c r="IH94" i="18"/>
  <c r="HX94" i="18"/>
  <c r="HN94" i="18"/>
  <c r="HD94" i="18"/>
  <c r="GT94" i="18"/>
  <c r="JA94" i="18"/>
  <c r="IG94" i="18"/>
  <c r="HM94" i="18"/>
  <c r="HC94" i="18"/>
  <c r="KA94" i="18"/>
  <c r="JQ94" i="18"/>
  <c r="IW94" i="18"/>
  <c r="IM94" i="18"/>
  <c r="HS94" i="18"/>
  <c r="HI94" i="18"/>
  <c r="JG94" i="18"/>
  <c r="IC94" i="18"/>
  <c r="GY94" i="18"/>
  <c r="BF94" i="18"/>
  <c r="I94" i="18" a="1"/>
  <c r="I94" i="18" s="1"/>
  <c r="U93" i="18"/>
  <c r="CS86" i="16" l="1"/>
  <c r="CT86" i="16" s="1"/>
  <c r="CV86" i="16" s="1"/>
  <c r="CU87" i="16" s="1"/>
  <c r="AN85" i="16"/>
  <c r="AO84" i="16"/>
  <c r="AF87" i="16"/>
  <c r="AG86" i="16"/>
  <c r="AV87" i="16"/>
  <c r="AW86" i="16"/>
  <c r="GT92" i="18"/>
  <c r="GS92" i="18" s="1"/>
  <c r="GU92" i="18" s="1"/>
  <c r="B96" i="18"/>
  <c r="A96" i="18" a="1"/>
  <c r="A96" i="18" s="1"/>
  <c r="U94" i="18"/>
  <c r="A95" i="18" a="1"/>
  <c r="A95" i="18" s="1"/>
  <c r="K96" i="18"/>
  <c r="KG95" i="18"/>
  <c r="KB95" i="18"/>
  <c r="JW95" i="18"/>
  <c r="JR95" i="18"/>
  <c r="JM95" i="18"/>
  <c r="JH95" i="18"/>
  <c r="JC95" i="18"/>
  <c r="IX95" i="18"/>
  <c r="IS95" i="18"/>
  <c r="IN95" i="18"/>
  <c r="II95" i="18"/>
  <c r="ID95" i="18"/>
  <c r="HY95" i="18"/>
  <c r="HT95" i="18"/>
  <c r="HO95" i="18"/>
  <c r="HJ95" i="18"/>
  <c r="HE95" i="18"/>
  <c r="GZ95" i="18"/>
  <c r="GU95" i="18"/>
  <c r="P95" i="18"/>
  <c r="L95" i="18"/>
  <c r="KF95" i="18"/>
  <c r="KA95" i="18"/>
  <c r="JV95" i="18"/>
  <c r="JQ95" i="18"/>
  <c r="JL95" i="18"/>
  <c r="JG95" i="18"/>
  <c r="JB95" i="18"/>
  <c r="IW95" i="18"/>
  <c r="IR95" i="18"/>
  <c r="IM95" i="18"/>
  <c r="IH95" i="18"/>
  <c r="IC95" i="18"/>
  <c r="HX95" i="18"/>
  <c r="HS95" i="18"/>
  <c r="HN95" i="18"/>
  <c r="HI95" i="18"/>
  <c r="HD95" i="18"/>
  <c r="GY95" i="18"/>
  <c r="GT95" i="18"/>
  <c r="JP95" i="18"/>
  <c r="IV95" i="18"/>
  <c r="IB95" i="18"/>
  <c r="HH95" i="18"/>
  <c r="KE95" i="18"/>
  <c r="JU95" i="18"/>
  <c r="JK95" i="18"/>
  <c r="JA95" i="18"/>
  <c r="IQ95" i="18"/>
  <c r="IG95" i="18"/>
  <c r="HW95" i="18"/>
  <c r="HM95" i="18"/>
  <c r="HC95" i="18"/>
  <c r="GS95" i="18"/>
  <c r="KD95" i="18"/>
  <c r="JJ95" i="18"/>
  <c r="IZ95" i="18"/>
  <c r="IF95" i="18"/>
  <c r="HV95" i="18"/>
  <c r="HB95" i="18"/>
  <c r="GR95" i="18"/>
  <c r="N95" i="18"/>
  <c r="AP95" i="18" s="1"/>
  <c r="M95" i="18"/>
  <c r="JT95" i="18"/>
  <c r="IP95" i="18"/>
  <c r="HL95" i="18"/>
  <c r="JZ95" i="18"/>
  <c r="JF95" i="18"/>
  <c r="IL95" i="18"/>
  <c r="HR95" i="18"/>
  <c r="GX95" i="18"/>
  <c r="JY95" i="18"/>
  <c r="JO95" i="18"/>
  <c r="JE95" i="18"/>
  <c r="IU95" i="18"/>
  <c r="IK95" i="18"/>
  <c r="IA95" i="18"/>
  <c r="HQ95" i="18"/>
  <c r="HG95" i="18"/>
  <c r="GW95" i="18"/>
  <c r="Q95" i="18"/>
  <c r="Y93" i="18"/>
  <c r="X93" i="18"/>
  <c r="V93" i="18"/>
  <c r="Z93" i="18"/>
  <c r="W93" i="18"/>
  <c r="CS87" i="16" l="1"/>
  <c r="CT87" i="16" s="1"/>
  <c r="CV87" i="16" s="1"/>
  <c r="CU88" i="16" s="1"/>
  <c r="AO85" i="16"/>
  <c r="AN86" i="16"/>
  <c r="AV88" i="16"/>
  <c r="AG87" i="16"/>
  <c r="AF88" i="16"/>
  <c r="AW87" i="16"/>
  <c r="X94" i="18"/>
  <c r="W94" i="18"/>
  <c r="Z94" i="18"/>
  <c r="Y94" i="18"/>
  <c r="V94" i="18"/>
  <c r="BF95" i="18"/>
  <c r="U95" i="18"/>
  <c r="I96" i="18" a="1"/>
  <c r="I96" i="18" s="1"/>
  <c r="KF96" i="18"/>
  <c r="KA96" i="18"/>
  <c r="JV96" i="18"/>
  <c r="JQ96" i="18"/>
  <c r="JL96" i="18"/>
  <c r="JG96" i="18"/>
  <c r="JB96" i="18"/>
  <c r="IW96" i="18"/>
  <c r="IR96" i="18"/>
  <c r="IM96" i="18"/>
  <c r="IH96" i="18"/>
  <c r="IC96" i="18"/>
  <c r="HX96" i="18"/>
  <c r="HS96" i="18"/>
  <c r="HN96" i="18"/>
  <c r="HI96" i="18"/>
  <c r="HD96" i="18"/>
  <c r="GY96" i="18"/>
  <c r="GT96" i="18"/>
  <c r="KE96" i="18"/>
  <c r="JZ96" i="18"/>
  <c r="JU96" i="18"/>
  <c r="JP96" i="18"/>
  <c r="JK96" i="18"/>
  <c r="JF96" i="18"/>
  <c r="JA96" i="18"/>
  <c r="IV96" i="18"/>
  <c r="IQ96" i="18"/>
  <c r="IL96" i="18"/>
  <c r="IG96" i="18"/>
  <c r="IB96" i="18"/>
  <c r="HW96" i="18"/>
  <c r="HR96" i="18"/>
  <c r="HM96" i="18"/>
  <c r="HH96" i="18"/>
  <c r="HC96" i="18"/>
  <c r="GX96" i="18"/>
  <c r="GS96" i="18"/>
  <c r="N96" i="18"/>
  <c r="AP96" i="18" s="1"/>
  <c r="K97" i="18"/>
  <c r="KB96" i="18"/>
  <c r="JR96" i="18"/>
  <c r="JH96" i="18"/>
  <c r="IX96" i="18"/>
  <c r="IN96" i="18"/>
  <c r="ID96" i="18"/>
  <c r="HT96" i="18"/>
  <c r="HJ96" i="18"/>
  <c r="GZ96" i="18"/>
  <c r="M96" i="18"/>
  <c r="HG96" i="18"/>
  <c r="L96" i="18"/>
  <c r="KG96" i="18"/>
  <c r="JM96" i="18"/>
  <c r="JC96" i="18"/>
  <c r="II96" i="18"/>
  <c r="HY96" i="18"/>
  <c r="HE96" i="18"/>
  <c r="GU96" i="18"/>
  <c r="P96" i="18"/>
  <c r="KD96" i="18"/>
  <c r="JT96" i="18"/>
  <c r="JJ96" i="18"/>
  <c r="IZ96" i="18"/>
  <c r="IP96" i="18"/>
  <c r="IF96" i="18"/>
  <c r="HV96" i="18"/>
  <c r="HL96" i="18"/>
  <c r="HB96" i="18"/>
  <c r="JY96" i="18"/>
  <c r="JO96" i="18"/>
  <c r="JE96" i="18"/>
  <c r="IU96" i="18"/>
  <c r="IK96" i="18"/>
  <c r="IA96" i="18"/>
  <c r="HQ96" i="18"/>
  <c r="GW96" i="18"/>
  <c r="Q96" i="18"/>
  <c r="JW96" i="18"/>
  <c r="IS96" i="18"/>
  <c r="HO96" i="18"/>
  <c r="GR96" i="18"/>
  <c r="B97" i="18"/>
  <c r="C96" i="18"/>
  <c r="CS88" i="16" l="1"/>
  <c r="CT88" i="16" s="1"/>
  <c r="CV88" i="16" s="1"/>
  <c r="CU89" i="16" s="1"/>
  <c r="AO86" i="16"/>
  <c r="AN87" i="16"/>
  <c r="AF89" i="16"/>
  <c r="AW88" i="16"/>
  <c r="AG88" i="16"/>
  <c r="AV89" i="16"/>
  <c r="W95" i="18"/>
  <c r="Z95" i="18"/>
  <c r="V95" i="18"/>
  <c r="Y95" i="18"/>
  <c r="X95" i="18"/>
  <c r="B98" i="18"/>
  <c r="C97" i="18"/>
  <c r="KE97" i="18"/>
  <c r="JZ97" i="18"/>
  <c r="JU97" i="18"/>
  <c r="JP97" i="18"/>
  <c r="JK97" i="18"/>
  <c r="JF97" i="18"/>
  <c r="JA97" i="18"/>
  <c r="IV97" i="18"/>
  <c r="IQ97" i="18"/>
  <c r="IL97" i="18"/>
  <c r="IG97" i="18"/>
  <c r="IB97" i="18"/>
  <c r="HW97" i="18"/>
  <c r="HR97" i="18"/>
  <c r="HM97" i="18"/>
  <c r="HH97" i="18"/>
  <c r="HC97" i="18"/>
  <c r="GX97" i="18"/>
  <c r="GS97" i="18"/>
  <c r="N97" i="18"/>
  <c r="AP97" i="18" s="1"/>
  <c r="KD97" i="18"/>
  <c r="JY97" i="18"/>
  <c r="JT97" i="18"/>
  <c r="JO97" i="18"/>
  <c r="JJ97" i="18"/>
  <c r="JE97" i="18"/>
  <c r="IZ97" i="18"/>
  <c r="IU97" i="18"/>
  <c r="IP97" i="18"/>
  <c r="IK97" i="18"/>
  <c r="IF97" i="18"/>
  <c r="IA97" i="18"/>
  <c r="HV97" i="18"/>
  <c r="HQ97" i="18"/>
  <c r="HL97" i="18"/>
  <c r="HG97" i="18"/>
  <c r="HB97" i="18"/>
  <c r="GW97" i="18"/>
  <c r="GR97" i="18"/>
  <c r="Q97" i="18"/>
  <c r="M97" i="18"/>
  <c r="KF97" i="18"/>
  <c r="IR97" i="18"/>
  <c r="HD97" i="18"/>
  <c r="KA97" i="18"/>
  <c r="JQ97" i="18"/>
  <c r="JG97" i="18"/>
  <c r="IW97" i="18"/>
  <c r="IM97" i="18"/>
  <c r="IC97" i="18"/>
  <c r="HS97" i="18"/>
  <c r="HI97" i="18"/>
  <c r="GY97" i="18"/>
  <c r="JM97" i="18"/>
  <c r="JC97" i="18"/>
  <c r="II97" i="18"/>
  <c r="HY97" i="18"/>
  <c r="HO97" i="18"/>
  <c r="GU97" i="18"/>
  <c r="P97" i="18"/>
  <c r="JV97" i="18"/>
  <c r="JB97" i="18"/>
  <c r="IH97" i="18"/>
  <c r="HN97" i="18"/>
  <c r="GT97" i="18"/>
  <c r="K98" i="18"/>
  <c r="KB97" i="18"/>
  <c r="JR97" i="18"/>
  <c r="JH97" i="18"/>
  <c r="IX97" i="18"/>
  <c r="IN97" i="18"/>
  <c r="ID97" i="18"/>
  <c r="HT97" i="18"/>
  <c r="HJ97" i="18"/>
  <c r="GZ97" i="18"/>
  <c r="L97" i="18"/>
  <c r="BF97" i="18" s="1"/>
  <c r="KG97" i="18"/>
  <c r="JW97" i="18"/>
  <c r="IS97" i="18"/>
  <c r="HE97" i="18"/>
  <c r="JL97" i="18"/>
  <c r="HX97" i="18"/>
  <c r="I97" i="18" a="1"/>
  <c r="I97" i="18" s="1"/>
  <c r="U96" i="18"/>
  <c r="A97" i="18" a="1"/>
  <c r="A97" i="18" s="1"/>
  <c r="BF96" i="18"/>
  <c r="CS89" i="16" l="1"/>
  <c r="CT89" i="16" s="1"/>
  <c r="CV89" i="16" s="1"/>
  <c r="CU90" i="16" s="1"/>
  <c r="AF90" i="16"/>
  <c r="AV90" i="16"/>
  <c r="AG89" i="16"/>
  <c r="AW89" i="16"/>
  <c r="AO87" i="16"/>
  <c r="AN88" i="16"/>
  <c r="I98" i="18" a="1"/>
  <c r="I98" i="18" s="1"/>
  <c r="A98" i="18" a="1"/>
  <c r="A98" i="18" s="1"/>
  <c r="U97" i="18"/>
  <c r="B99" i="18"/>
  <c r="C98" i="18"/>
  <c r="A99" i="18" s="1" a="1"/>
  <c r="A99" i="18" s="1"/>
  <c r="Z96" i="18"/>
  <c r="V96" i="18"/>
  <c r="Y96" i="18"/>
  <c r="W96" i="18"/>
  <c r="X96" i="18"/>
  <c r="KD98" i="18"/>
  <c r="JY98" i="18"/>
  <c r="JT98" i="18"/>
  <c r="JO98" i="18"/>
  <c r="JJ98" i="18"/>
  <c r="JE98" i="18"/>
  <c r="IZ98" i="18"/>
  <c r="IU98" i="18"/>
  <c r="IP98" i="18"/>
  <c r="IK98" i="18"/>
  <c r="IF98" i="18"/>
  <c r="IA98" i="18"/>
  <c r="HV98" i="18"/>
  <c r="HQ98" i="18"/>
  <c r="HL98" i="18"/>
  <c r="HG98" i="18"/>
  <c r="HB98" i="18"/>
  <c r="GW98" i="18"/>
  <c r="GR98" i="18"/>
  <c r="Q98" i="18"/>
  <c r="M98" i="18"/>
  <c r="K99" i="18"/>
  <c r="KG98" i="18"/>
  <c r="KB98" i="18"/>
  <c r="JW98" i="18"/>
  <c r="JR98" i="18"/>
  <c r="JM98" i="18"/>
  <c r="JH98" i="18"/>
  <c r="JC98" i="18"/>
  <c r="IX98" i="18"/>
  <c r="IS98" i="18"/>
  <c r="IN98" i="18"/>
  <c r="II98" i="18"/>
  <c r="ID98" i="18"/>
  <c r="HY98" i="18"/>
  <c r="HT98" i="18"/>
  <c r="HO98" i="18"/>
  <c r="HJ98" i="18"/>
  <c r="HE98" i="18"/>
  <c r="GZ98" i="18"/>
  <c r="GU98" i="18"/>
  <c r="P98" i="18"/>
  <c r="L98" i="18"/>
  <c r="BF98" i="18" s="1"/>
  <c r="KE98" i="18"/>
  <c r="JU98" i="18"/>
  <c r="IQ98" i="18"/>
  <c r="HM98" i="18"/>
  <c r="HI98" i="18"/>
  <c r="JZ98" i="18"/>
  <c r="JP98" i="18"/>
  <c r="JF98" i="18"/>
  <c r="IV98" i="18"/>
  <c r="IL98" i="18"/>
  <c r="IB98" i="18"/>
  <c r="HR98" i="18"/>
  <c r="HH98" i="18"/>
  <c r="GX98" i="18"/>
  <c r="JL98" i="18"/>
  <c r="IR98" i="18"/>
  <c r="HX98" i="18"/>
  <c r="HN98" i="18"/>
  <c r="GT98" i="18"/>
  <c r="JK98" i="18"/>
  <c r="IG98" i="18"/>
  <c r="HW98" i="18"/>
  <c r="HC98" i="18"/>
  <c r="GS98" i="18"/>
  <c r="JQ98" i="18"/>
  <c r="IW98" i="18"/>
  <c r="IM98" i="18"/>
  <c r="HS98" i="18"/>
  <c r="KF98" i="18"/>
  <c r="JV98" i="18"/>
  <c r="JB98" i="18"/>
  <c r="IH98" i="18"/>
  <c r="HD98" i="18"/>
  <c r="JA98" i="18"/>
  <c r="N98" i="18"/>
  <c r="AP98" i="18" s="1"/>
  <c r="KA98" i="18"/>
  <c r="JG98" i="18"/>
  <c r="IC98" i="18"/>
  <c r="GY98" i="18"/>
  <c r="CS90" i="16" l="1"/>
  <c r="CT90" i="16" s="1"/>
  <c r="CV90" i="16" s="1"/>
  <c r="CU91" i="16" s="1"/>
  <c r="AO88" i="16"/>
  <c r="AN89" i="16"/>
  <c r="AG90" i="16"/>
  <c r="AV91" i="16"/>
  <c r="AF91" i="16"/>
  <c r="AW90" i="16"/>
  <c r="I99" i="18" a="1"/>
  <c r="I99" i="18" s="1"/>
  <c r="B100" i="18"/>
  <c r="C99" i="18"/>
  <c r="A100" i="18" s="1" a="1"/>
  <c r="A100" i="18" s="1"/>
  <c r="U98" i="18"/>
  <c r="K100" i="18"/>
  <c r="KG99" i="18"/>
  <c r="KB99" i="18"/>
  <c r="JW99" i="18"/>
  <c r="JR99" i="18"/>
  <c r="JM99" i="18"/>
  <c r="JH99" i="18"/>
  <c r="JC99" i="18"/>
  <c r="IX99" i="18"/>
  <c r="IS99" i="18"/>
  <c r="IN99" i="18"/>
  <c r="II99" i="18"/>
  <c r="ID99" i="18"/>
  <c r="HY99" i="18"/>
  <c r="HT99" i="18"/>
  <c r="HO99" i="18"/>
  <c r="HJ99" i="18"/>
  <c r="HE99" i="18"/>
  <c r="GZ99" i="18"/>
  <c r="GU99" i="18"/>
  <c r="P99" i="18"/>
  <c r="L99" i="18"/>
  <c r="BF99" i="18" s="1"/>
  <c r="KF99" i="18"/>
  <c r="KA99" i="18"/>
  <c r="JV99" i="18"/>
  <c r="JQ99" i="18"/>
  <c r="JL99" i="18"/>
  <c r="JG99" i="18"/>
  <c r="JB99" i="18"/>
  <c r="IW99" i="18"/>
  <c r="IR99" i="18"/>
  <c r="IM99" i="18"/>
  <c r="IH99" i="18"/>
  <c r="IC99" i="18"/>
  <c r="HX99" i="18"/>
  <c r="HS99" i="18"/>
  <c r="HN99" i="18"/>
  <c r="HI99" i="18"/>
  <c r="HD99" i="18"/>
  <c r="GY99" i="18"/>
  <c r="GT99" i="18"/>
  <c r="M99" i="18"/>
  <c r="KE99" i="18"/>
  <c r="JU99" i="18"/>
  <c r="JK99" i="18"/>
  <c r="JA99" i="18"/>
  <c r="IQ99" i="18"/>
  <c r="IG99" i="18"/>
  <c r="HW99" i="18"/>
  <c r="HM99" i="18"/>
  <c r="HC99" i="18"/>
  <c r="GS99" i="18"/>
  <c r="JT99" i="18"/>
  <c r="JJ99" i="18"/>
  <c r="IZ99" i="18"/>
  <c r="IF99" i="18"/>
  <c r="HV99" i="18"/>
  <c r="HB99" i="18"/>
  <c r="GR99" i="18"/>
  <c r="JZ99" i="18"/>
  <c r="JP99" i="18"/>
  <c r="JF99" i="18"/>
  <c r="IV99" i="18"/>
  <c r="IL99" i="18"/>
  <c r="IB99" i="18"/>
  <c r="HR99" i="18"/>
  <c r="HH99" i="18"/>
  <c r="GX99" i="18"/>
  <c r="Q99" i="18"/>
  <c r="KD99" i="18"/>
  <c r="IP99" i="18"/>
  <c r="HL99" i="18"/>
  <c r="N99" i="18"/>
  <c r="AP99" i="18" s="1"/>
  <c r="JY99" i="18"/>
  <c r="JO99" i="18"/>
  <c r="JE99" i="18"/>
  <c r="IU99" i="18"/>
  <c r="IK99" i="18"/>
  <c r="IA99" i="18"/>
  <c r="HQ99" i="18"/>
  <c r="HG99" i="18"/>
  <c r="GW99" i="18"/>
  <c r="Y97" i="18"/>
  <c r="X97" i="18"/>
  <c r="V97" i="18"/>
  <c r="Z97" i="18"/>
  <c r="W97" i="18"/>
  <c r="CS91" i="16" l="1"/>
  <c r="CT91" i="16" s="1"/>
  <c r="CV91" i="16" s="1"/>
  <c r="CU92" i="16" s="1"/>
  <c r="AN90" i="16"/>
  <c r="AO89" i="16"/>
  <c r="AW91" i="16"/>
  <c r="AF92" i="16"/>
  <c r="AV92" i="16"/>
  <c r="AG91" i="16"/>
  <c r="I100" i="18" a="1"/>
  <c r="I100" i="18" s="1"/>
  <c r="B101" i="18"/>
  <c r="C100" i="18"/>
  <c r="X98" i="18"/>
  <c r="W98" i="18"/>
  <c r="Y98" i="18"/>
  <c r="V98" i="18"/>
  <c r="Z98" i="18"/>
  <c r="U99" i="18"/>
  <c r="KF100" i="18"/>
  <c r="KA100" i="18"/>
  <c r="JV100" i="18"/>
  <c r="JQ100" i="18"/>
  <c r="JL100" i="18"/>
  <c r="JG100" i="18"/>
  <c r="JB100" i="18"/>
  <c r="IW100" i="18"/>
  <c r="IR100" i="18"/>
  <c r="IM100" i="18"/>
  <c r="IH100" i="18"/>
  <c r="IC100" i="18"/>
  <c r="HX100" i="18"/>
  <c r="HS100" i="18"/>
  <c r="HN100" i="18"/>
  <c r="HI100" i="18"/>
  <c r="HD100" i="18"/>
  <c r="GY100" i="18"/>
  <c r="GT100" i="18"/>
  <c r="KE100" i="18"/>
  <c r="JZ100" i="18"/>
  <c r="JU100" i="18"/>
  <c r="JP100" i="18"/>
  <c r="JK100" i="18"/>
  <c r="JF100" i="18"/>
  <c r="JA100" i="18"/>
  <c r="IV100" i="18"/>
  <c r="IQ100" i="18"/>
  <c r="IL100" i="18"/>
  <c r="IG100" i="18"/>
  <c r="IB100" i="18"/>
  <c r="HW100" i="18"/>
  <c r="HR100" i="18"/>
  <c r="HM100" i="18"/>
  <c r="HH100" i="18"/>
  <c r="HC100" i="18"/>
  <c r="GX100" i="18"/>
  <c r="GS100" i="18"/>
  <c r="N100" i="18"/>
  <c r="AP100" i="18" s="1"/>
  <c r="K101" i="18"/>
  <c r="KB100" i="18"/>
  <c r="JR100" i="18"/>
  <c r="JH100" i="18"/>
  <c r="IX100" i="18"/>
  <c r="IN100" i="18"/>
  <c r="ID100" i="18"/>
  <c r="HT100" i="18"/>
  <c r="HJ100" i="18"/>
  <c r="GZ100" i="18"/>
  <c r="M100" i="18"/>
  <c r="Q100" i="18"/>
  <c r="L100" i="18"/>
  <c r="KG100" i="18"/>
  <c r="JW100" i="18"/>
  <c r="JM100" i="18"/>
  <c r="JC100" i="18"/>
  <c r="IS100" i="18"/>
  <c r="II100" i="18"/>
  <c r="HY100" i="18"/>
  <c r="HO100" i="18"/>
  <c r="HE100" i="18"/>
  <c r="GU100" i="18"/>
  <c r="P100" i="18"/>
  <c r="KD100" i="18"/>
  <c r="JT100" i="18"/>
  <c r="JJ100" i="18"/>
  <c r="IZ100" i="18"/>
  <c r="IP100" i="18"/>
  <c r="IF100" i="18"/>
  <c r="HV100" i="18"/>
  <c r="HL100" i="18"/>
  <c r="HB100" i="18"/>
  <c r="GR100" i="18"/>
  <c r="JY100" i="18"/>
  <c r="JO100" i="18"/>
  <c r="JE100" i="18"/>
  <c r="IU100" i="18"/>
  <c r="IK100" i="18"/>
  <c r="IA100" i="18"/>
  <c r="HQ100" i="18"/>
  <c r="HG100" i="18"/>
  <c r="GW100" i="18"/>
  <c r="CS92" i="16" l="1"/>
  <c r="CT92" i="16" s="1"/>
  <c r="CV92" i="16" s="1"/>
  <c r="CU93" i="16" s="1"/>
  <c r="AV93" i="16"/>
  <c r="AW92" i="16"/>
  <c r="AF93" i="16"/>
  <c r="AG92" i="16"/>
  <c r="AO90" i="16"/>
  <c r="AN91" i="16"/>
  <c r="KE101" i="18"/>
  <c r="JZ101" i="18"/>
  <c r="JU101" i="18"/>
  <c r="JP101" i="18"/>
  <c r="JK101" i="18"/>
  <c r="JF101" i="18"/>
  <c r="JA101" i="18"/>
  <c r="IV101" i="18"/>
  <c r="IQ101" i="18"/>
  <c r="IL101" i="18"/>
  <c r="IG101" i="18"/>
  <c r="IB101" i="18"/>
  <c r="HW101" i="18"/>
  <c r="HR101" i="18"/>
  <c r="HM101" i="18"/>
  <c r="HH101" i="18"/>
  <c r="HC101" i="18"/>
  <c r="GX101" i="18"/>
  <c r="GS101" i="18"/>
  <c r="N101" i="18"/>
  <c r="AP101" i="18" s="1"/>
  <c r="KD101" i="18"/>
  <c r="JY101" i="18"/>
  <c r="JT101" i="18"/>
  <c r="JO101" i="18"/>
  <c r="JJ101" i="18"/>
  <c r="JE101" i="18"/>
  <c r="IZ101" i="18"/>
  <c r="IU101" i="18"/>
  <c r="IP101" i="18"/>
  <c r="IK101" i="18"/>
  <c r="IF101" i="18"/>
  <c r="IA101" i="18"/>
  <c r="HV101" i="18"/>
  <c r="HQ101" i="18"/>
  <c r="HL101" i="18"/>
  <c r="HG101" i="18"/>
  <c r="HB101" i="18"/>
  <c r="GW101" i="18"/>
  <c r="GR101" i="18"/>
  <c r="Q101" i="18"/>
  <c r="M101" i="18"/>
  <c r="KA101" i="18"/>
  <c r="JQ101" i="18"/>
  <c r="JG101" i="18"/>
  <c r="IW101" i="18"/>
  <c r="IM101" i="18"/>
  <c r="IC101" i="18"/>
  <c r="HS101" i="18"/>
  <c r="HI101" i="18"/>
  <c r="GY101" i="18"/>
  <c r="KG101" i="18"/>
  <c r="JW101" i="18"/>
  <c r="JM101" i="18"/>
  <c r="JC101" i="18"/>
  <c r="IS101" i="18"/>
  <c r="II101" i="18"/>
  <c r="HY101" i="18"/>
  <c r="HO101" i="18"/>
  <c r="HE101" i="18"/>
  <c r="GU101" i="18"/>
  <c r="P101" i="18"/>
  <c r="KF101" i="18"/>
  <c r="JV101" i="18"/>
  <c r="JL101" i="18"/>
  <c r="JB101" i="18"/>
  <c r="IR101" i="18"/>
  <c r="IH101" i="18"/>
  <c r="HX101" i="18"/>
  <c r="HN101" i="18"/>
  <c r="HD101" i="18"/>
  <c r="GT101" i="18"/>
  <c r="K102" i="18"/>
  <c r="KB101" i="18"/>
  <c r="JR101" i="18"/>
  <c r="JH101" i="18"/>
  <c r="IX101" i="18"/>
  <c r="IN101" i="18"/>
  <c r="ID101" i="18"/>
  <c r="HT101" i="18"/>
  <c r="HJ101" i="18"/>
  <c r="GZ101" i="18"/>
  <c r="L101" i="18"/>
  <c r="BF101" i="18" s="1"/>
  <c r="BF100" i="18"/>
  <c r="U100" i="18"/>
  <c r="A101" i="18" a="1"/>
  <c r="A101" i="18" s="1"/>
  <c r="I101" i="18" a="1"/>
  <c r="I101" i="18" s="1"/>
  <c r="I102" i="18" a="1"/>
  <c r="I102" i="18" s="1"/>
  <c r="W99" i="18"/>
  <c r="Z99" i="18"/>
  <c r="V99" i="18"/>
  <c r="Y99" i="18"/>
  <c r="X99" i="18"/>
  <c r="B102" i="18"/>
  <c r="C101" i="18"/>
  <c r="CS93" i="16" l="1"/>
  <c r="CT93" i="16" s="1"/>
  <c r="CV93" i="16" s="1"/>
  <c r="CU94" i="16" s="1"/>
  <c r="AG93" i="16"/>
  <c r="AV94" i="16"/>
  <c r="AF94" i="16"/>
  <c r="AW93" i="16"/>
  <c r="AO91" i="16"/>
  <c r="AN92" i="16"/>
  <c r="B103" i="18"/>
  <c r="C102" i="18"/>
  <c r="K103" i="18"/>
  <c r="KG102" i="18"/>
  <c r="KB102" i="18"/>
  <c r="JW102" i="18"/>
  <c r="JR102" i="18"/>
  <c r="JM102" i="18"/>
  <c r="JH102" i="18"/>
  <c r="JC102" i="18"/>
  <c r="IX102" i="18"/>
  <c r="IS102" i="18"/>
  <c r="IN102" i="18"/>
  <c r="II102" i="18"/>
  <c r="ID102" i="18"/>
  <c r="HY102" i="18"/>
  <c r="HT102" i="18"/>
  <c r="HO102" i="18"/>
  <c r="HJ102" i="18"/>
  <c r="HE102" i="18"/>
  <c r="GZ102" i="18"/>
  <c r="GU102" i="18"/>
  <c r="Q102" i="18"/>
  <c r="M102" i="18"/>
  <c r="KF102" i="18"/>
  <c r="KA102" i="18"/>
  <c r="JV102" i="18"/>
  <c r="JQ102" i="18"/>
  <c r="JL102" i="18"/>
  <c r="JG102" i="18"/>
  <c r="JB102" i="18"/>
  <c r="IW102" i="18"/>
  <c r="IR102" i="18"/>
  <c r="IM102" i="18"/>
  <c r="IH102" i="18"/>
  <c r="IC102" i="18"/>
  <c r="HX102" i="18"/>
  <c r="HS102" i="18"/>
  <c r="HN102" i="18"/>
  <c r="HI102" i="18"/>
  <c r="HD102" i="18"/>
  <c r="GY102" i="18"/>
  <c r="GT102" i="18"/>
  <c r="P102" i="18"/>
  <c r="L102" i="18"/>
  <c r="KE102" i="18"/>
  <c r="JU102" i="18"/>
  <c r="JK102" i="18"/>
  <c r="JA102" i="18"/>
  <c r="IQ102" i="18"/>
  <c r="IG102" i="18"/>
  <c r="HW102" i="18"/>
  <c r="HM102" i="18"/>
  <c r="HC102" i="18"/>
  <c r="GS102" i="18"/>
  <c r="HV102" i="18"/>
  <c r="JZ102" i="18"/>
  <c r="JP102" i="18"/>
  <c r="JF102" i="18"/>
  <c r="IV102" i="18"/>
  <c r="IL102" i="18"/>
  <c r="IB102" i="18"/>
  <c r="HR102" i="18"/>
  <c r="HH102" i="18"/>
  <c r="GX102" i="18"/>
  <c r="N102" i="18"/>
  <c r="AP102" i="18" s="1"/>
  <c r="JY102" i="18"/>
  <c r="JO102" i="18"/>
  <c r="JE102" i="18"/>
  <c r="IU102" i="18"/>
  <c r="IA102" i="18"/>
  <c r="HQ102" i="18"/>
  <c r="HG102" i="18"/>
  <c r="GW102" i="18"/>
  <c r="KD102" i="18"/>
  <c r="JT102" i="18"/>
  <c r="JJ102" i="18"/>
  <c r="IZ102" i="18"/>
  <c r="IP102" i="18"/>
  <c r="IF102" i="18"/>
  <c r="HL102" i="18"/>
  <c r="HB102" i="18"/>
  <c r="GR102" i="18"/>
  <c r="IK102" i="18"/>
  <c r="BF102" i="18"/>
  <c r="U101" i="18"/>
  <c r="A102" i="18" a="1"/>
  <c r="A102" i="18" s="1"/>
  <c r="Z100" i="18"/>
  <c r="V100" i="18"/>
  <c r="Y100" i="18"/>
  <c r="W100" i="18"/>
  <c r="X100" i="18"/>
  <c r="CS94" i="16" l="1"/>
  <c r="CT94" i="16" s="1"/>
  <c r="CV94" i="16" s="1"/>
  <c r="CU95" i="16" s="1"/>
  <c r="AG94" i="16"/>
  <c r="AV95" i="16"/>
  <c r="AW94" i="16"/>
  <c r="AF95" i="16"/>
  <c r="AO92" i="16"/>
  <c r="AN93" i="16"/>
  <c r="U102" i="18"/>
  <c r="A103" i="18" a="1"/>
  <c r="A103" i="18" s="1"/>
  <c r="C103" i="18"/>
  <c r="B104" i="18"/>
  <c r="KE103" i="18"/>
  <c r="JZ103" i="18"/>
  <c r="JU103" i="18"/>
  <c r="JP103" i="18"/>
  <c r="JK103" i="18"/>
  <c r="JF103" i="18"/>
  <c r="JA103" i="18"/>
  <c r="IV103" i="18"/>
  <c r="IQ103" i="18"/>
  <c r="IL103" i="18"/>
  <c r="IG103" i="18"/>
  <c r="IB103" i="18"/>
  <c r="HW103" i="18"/>
  <c r="HR103" i="18"/>
  <c r="HM103" i="18"/>
  <c r="HH103" i="18"/>
  <c r="HC103" i="18"/>
  <c r="GX103" i="18"/>
  <c r="GS103" i="18"/>
  <c r="KD103" i="18"/>
  <c r="JY103" i="18"/>
  <c r="JT103" i="18"/>
  <c r="JO103" i="18"/>
  <c r="JJ103" i="18"/>
  <c r="JE103" i="18"/>
  <c r="IZ103" i="18"/>
  <c r="IU103" i="18"/>
  <c r="IP103" i="18"/>
  <c r="IK103" i="18"/>
  <c r="IF103" i="18"/>
  <c r="IA103" i="18"/>
  <c r="HV103" i="18"/>
  <c r="HQ103" i="18"/>
  <c r="HL103" i="18"/>
  <c r="HG103" i="18"/>
  <c r="HB103" i="18"/>
  <c r="GW103" i="18"/>
  <c r="GR103" i="18"/>
  <c r="N103" i="18"/>
  <c r="AP103" i="18" s="1"/>
  <c r="KA103" i="18"/>
  <c r="JQ103" i="18"/>
  <c r="JG103" i="18"/>
  <c r="IW103" i="18"/>
  <c r="IM103" i="18"/>
  <c r="IC103" i="18"/>
  <c r="HS103" i="18"/>
  <c r="HI103" i="18"/>
  <c r="GY103" i="18"/>
  <c r="M103" i="18"/>
  <c r="KG103" i="18"/>
  <c r="JW103" i="18"/>
  <c r="JC103" i="18"/>
  <c r="IS103" i="18"/>
  <c r="HY103" i="18"/>
  <c r="HO103" i="18"/>
  <c r="HE103" i="18"/>
  <c r="KF103" i="18"/>
  <c r="JV103" i="18"/>
  <c r="JL103" i="18"/>
  <c r="JB103" i="18"/>
  <c r="IR103" i="18"/>
  <c r="IH103" i="18"/>
  <c r="HX103" i="18"/>
  <c r="HN103" i="18"/>
  <c r="HD103" i="18"/>
  <c r="GT103" i="18"/>
  <c r="P103" i="18"/>
  <c r="K104" i="18"/>
  <c r="KB103" i="18"/>
  <c r="JR103" i="18"/>
  <c r="JH103" i="18"/>
  <c r="IX103" i="18"/>
  <c r="IN103" i="18"/>
  <c r="ID103" i="18"/>
  <c r="HT103" i="18"/>
  <c r="HJ103" i="18"/>
  <c r="GZ103" i="18"/>
  <c r="JM103" i="18"/>
  <c r="II103" i="18"/>
  <c r="GU103" i="18"/>
  <c r="Q103" i="18"/>
  <c r="L103" i="18"/>
  <c r="I104" i="18" s="1" a="1"/>
  <c r="I104" i="18" s="1"/>
  <c r="Y101" i="18"/>
  <c r="X101" i="18"/>
  <c r="V101" i="18"/>
  <c r="Z101" i="18"/>
  <c r="W101" i="18"/>
  <c r="I103" i="18" a="1"/>
  <c r="I103" i="18" s="1"/>
  <c r="CS95" i="16" l="1"/>
  <c r="CT95" i="16" s="1"/>
  <c r="CV95" i="16" s="1"/>
  <c r="CU96" i="16" s="1"/>
  <c r="AW95" i="16"/>
  <c r="AF96" i="16"/>
  <c r="AV96" i="16"/>
  <c r="AG95" i="16"/>
  <c r="AN94" i="16"/>
  <c r="AO93" i="16"/>
  <c r="X102" i="18"/>
  <c r="W102" i="18"/>
  <c r="Z102" i="18"/>
  <c r="Y102" i="18"/>
  <c r="V102" i="18"/>
  <c r="B105" i="18"/>
  <c r="C104" i="18"/>
  <c r="A105" i="18" s="1" a="1"/>
  <c r="A105" i="18" s="1"/>
  <c r="K105" i="18"/>
  <c r="KG104" i="18"/>
  <c r="KB104" i="18"/>
  <c r="JW104" i="18"/>
  <c r="JR104" i="18"/>
  <c r="JM104" i="18"/>
  <c r="JH104" i="18"/>
  <c r="JC104" i="18"/>
  <c r="IX104" i="18"/>
  <c r="IS104" i="18"/>
  <c r="IN104" i="18"/>
  <c r="II104" i="18"/>
  <c r="ID104" i="18"/>
  <c r="HY104" i="18"/>
  <c r="HT104" i="18"/>
  <c r="HO104" i="18"/>
  <c r="HJ104" i="18"/>
  <c r="HE104" i="18"/>
  <c r="GZ104" i="18"/>
  <c r="GU104" i="18"/>
  <c r="Q104" i="18"/>
  <c r="M104" i="18"/>
  <c r="KF104" i="18"/>
  <c r="KA104" i="18"/>
  <c r="JV104" i="18"/>
  <c r="JQ104" i="18"/>
  <c r="JL104" i="18"/>
  <c r="JG104" i="18"/>
  <c r="JB104" i="18"/>
  <c r="IW104" i="18"/>
  <c r="IR104" i="18"/>
  <c r="IM104" i="18"/>
  <c r="IH104" i="18"/>
  <c r="IC104" i="18"/>
  <c r="HX104" i="18"/>
  <c r="HS104" i="18"/>
  <c r="HN104" i="18"/>
  <c r="HI104" i="18"/>
  <c r="HD104" i="18"/>
  <c r="GY104" i="18"/>
  <c r="GT104" i="18"/>
  <c r="P104" i="18"/>
  <c r="L104" i="18"/>
  <c r="JZ104" i="18"/>
  <c r="JP104" i="18"/>
  <c r="JF104" i="18"/>
  <c r="IV104" i="18"/>
  <c r="IL104" i="18"/>
  <c r="IB104" i="18"/>
  <c r="HR104" i="18"/>
  <c r="HH104" i="18"/>
  <c r="KE104" i="18"/>
  <c r="JU104" i="18"/>
  <c r="JK104" i="18"/>
  <c r="JA104" i="18"/>
  <c r="IQ104" i="18"/>
  <c r="IG104" i="18"/>
  <c r="HW104" i="18"/>
  <c r="HM104" i="18"/>
  <c r="HC104" i="18"/>
  <c r="GS104" i="18"/>
  <c r="JT104" i="18"/>
  <c r="HL104" i="18"/>
  <c r="GR104" i="18"/>
  <c r="GX104" i="18"/>
  <c r="N104" i="18"/>
  <c r="AP104" i="18" s="1"/>
  <c r="JY104" i="18"/>
  <c r="JE104" i="18"/>
  <c r="IU104" i="18"/>
  <c r="IK104" i="18"/>
  <c r="IA104" i="18"/>
  <c r="HQ104" i="18"/>
  <c r="HG104" i="18"/>
  <c r="GW104" i="18"/>
  <c r="KD104" i="18"/>
  <c r="JJ104" i="18"/>
  <c r="IZ104" i="18"/>
  <c r="IP104" i="18"/>
  <c r="IF104" i="18"/>
  <c r="HV104" i="18"/>
  <c r="HB104" i="18"/>
  <c r="JO104" i="18"/>
  <c r="BF103" i="18"/>
  <c r="U103" i="18"/>
  <c r="A104" i="18" a="1"/>
  <c r="A104" i="18" s="1"/>
  <c r="CS96" i="16" l="1"/>
  <c r="CT96" i="16" s="1"/>
  <c r="CV96" i="16" s="1"/>
  <c r="CU97" i="16" s="1"/>
  <c r="AW96" i="16"/>
  <c r="AF97" i="16"/>
  <c r="AG96" i="16"/>
  <c r="AV97" i="16"/>
  <c r="AN95" i="16"/>
  <c r="AO94" i="16"/>
  <c r="KE105" i="18"/>
  <c r="JZ105" i="18"/>
  <c r="JU105" i="18"/>
  <c r="JP105" i="18"/>
  <c r="JK105" i="18"/>
  <c r="JF105" i="18"/>
  <c r="JA105" i="18"/>
  <c r="IV105" i="18"/>
  <c r="IQ105" i="18"/>
  <c r="IL105" i="18"/>
  <c r="IG105" i="18"/>
  <c r="IB105" i="18"/>
  <c r="HW105" i="18"/>
  <c r="HR105" i="18"/>
  <c r="HM105" i="18"/>
  <c r="HH105" i="18"/>
  <c r="HC105" i="18"/>
  <c r="GX105" i="18"/>
  <c r="GS105" i="18"/>
  <c r="KD105" i="18"/>
  <c r="JY105" i="18"/>
  <c r="JT105" i="18"/>
  <c r="JO105" i="18"/>
  <c r="JJ105" i="18"/>
  <c r="JE105" i="18"/>
  <c r="IZ105" i="18"/>
  <c r="IU105" i="18"/>
  <c r="IP105" i="18"/>
  <c r="IK105" i="18"/>
  <c r="IF105" i="18"/>
  <c r="IA105" i="18"/>
  <c r="HV105" i="18"/>
  <c r="HQ105" i="18"/>
  <c r="HL105" i="18"/>
  <c r="HG105" i="18"/>
  <c r="HB105" i="18"/>
  <c r="GW105" i="18"/>
  <c r="GR105" i="18"/>
  <c r="N105" i="18"/>
  <c r="AP105" i="18" s="1"/>
  <c r="KF105" i="18"/>
  <c r="JV105" i="18"/>
  <c r="JL105" i="18"/>
  <c r="JB105" i="18"/>
  <c r="IR105" i="18"/>
  <c r="IH105" i="18"/>
  <c r="HX105" i="18"/>
  <c r="HN105" i="18"/>
  <c r="HD105" i="18"/>
  <c r="GT105" i="18"/>
  <c r="P105" i="18"/>
  <c r="KA105" i="18"/>
  <c r="JQ105" i="18"/>
  <c r="JG105" i="18"/>
  <c r="IW105" i="18"/>
  <c r="IM105" i="18"/>
  <c r="IC105" i="18"/>
  <c r="HS105" i="18"/>
  <c r="HI105" i="18"/>
  <c r="GY105" i="18"/>
  <c r="M105" i="18"/>
  <c r="K106" i="18"/>
  <c r="KB105" i="18"/>
  <c r="JR105" i="18"/>
  <c r="JH105" i="18"/>
  <c r="IX105" i="18"/>
  <c r="IN105" i="18"/>
  <c r="ID105" i="18"/>
  <c r="HT105" i="18"/>
  <c r="HJ105" i="18"/>
  <c r="GZ105" i="18"/>
  <c r="KG105" i="18"/>
  <c r="JW105" i="18"/>
  <c r="JM105" i="18"/>
  <c r="JC105" i="18"/>
  <c r="IS105" i="18"/>
  <c r="II105" i="18"/>
  <c r="HY105" i="18"/>
  <c r="HO105" i="18"/>
  <c r="HE105" i="18"/>
  <c r="GU105" i="18"/>
  <c r="Q105" i="18"/>
  <c r="L105" i="18"/>
  <c r="I106" i="18" s="1" a="1"/>
  <c r="I106" i="18" s="1"/>
  <c r="Z103" i="18"/>
  <c r="V103" i="18"/>
  <c r="Y103" i="18"/>
  <c r="W103" i="18"/>
  <c r="X103" i="18"/>
  <c r="BF104" i="18"/>
  <c r="U104" i="18"/>
  <c r="I105" i="18" a="1"/>
  <c r="I105" i="18" s="1"/>
  <c r="C105" i="18"/>
  <c r="B106" i="18"/>
  <c r="CS97" i="16" l="1"/>
  <c r="CT97" i="16" s="1"/>
  <c r="CV97" i="16" s="1"/>
  <c r="CU98" i="16" s="1"/>
  <c r="AV98" i="16"/>
  <c r="AF98" i="16"/>
  <c r="AW97" i="16"/>
  <c r="AG97" i="16"/>
  <c r="AN96" i="16"/>
  <c r="AO95" i="16"/>
  <c r="BF105" i="18"/>
  <c r="B107" i="18"/>
  <c r="C106" i="18"/>
  <c r="U105" i="18"/>
  <c r="A106" i="18" a="1"/>
  <c r="A106" i="18" s="1"/>
  <c r="KD106" i="18"/>
  <c r="JY106" i="18"/>
  <c r="JT106" i="18"/>
  <c r="JO106" i="18"/>
  <c r="JJ106" i="18"/>
  <c r="JE106" i="18"/>
  <c r="IZ106" i="18"/>
  <c r="IU106" i="18"/>
  <c r="IP106" i="18"/>
  <c r="IK106" i="18"/>
  <c r="IF106" i="18"/>
  <c r="IA106" i="18"/>
  <c r="HV106" i="18"/>
  <c r="HQ106" i="18"/>
  <c r="HL106" i="18"/>
  <c r="HG106" i="18"/>
  <c r="HB106" i="18"/>
  <c r="GW106" i="18"/>
  <c r="GR106" i="18"/>
  <c r="KE106" i="18"/>
  <c r="JW106" i="18"/>
  <c r="JQ106" i="18"/>
  <c r="JK106" i="18"/>
  <c r="JC106" i="18"/>
  <c r="IW106" i="18"/>
  <c r="IQ106" i="18"/>
  <c r="II106" i="18"/>
  <c r="IC106" i="18"/>
  <c r="HW106" i="18"/>
  <c r="HO106" i="18"/>
  <c r="HI106" i="18"/>
  <c r="HC106" i="18"/>
  <c r="GU106" i="18"/>
  <c r="Q106" i="18"/>
  <c r="M106" i="18"/>
  <c r="K107" i="18"/>
  <c r="KB106" i="18"/>
  <c r="JV106" i="18"/>
  <c r="JP106" i="18"/>
  <c r="JH106" i="18"/>
  <c r="JB106" i="18"/>
  <c r="IV106" i="18"/>
  <c r="IN106" i="18"/>
  <c r="IH106" i="18"/>
  <c r="IB106" i="18"/>
  <c r="HT106" i="18"/>
  <c r="HN106" i="18"/>
  <c r="HH106" i="18"/>
  <c r="GZ106" i="18"/>
  <c r="GT106" i="18"/>
  <c r="P106" i="18"/>
  <c r="L106" i="18"/>
  <c r="KF106" i="18"/>
  <c r="JR106" i="18"/>
  <c r="JF106" i="18"/>
  <c r="IR106" i="18"/>
  <c r="ID106" i="18"/>
  <c r="HR106" i="18"/>
  <c r="HD106" i="18"/>
  <c r="N106" i="18"/>
  <c r="AP106" i="18" s="1"/>
  <c r="JZ106" i="18"/>
  <c r="JL106" i="18"/>
  <c r="IX106" i="18"/>
  <c r="IL106" i="18"/>
  <c r="HX106" i="18"/>
  <c r="HJ106" i="18"/>
  <c r="GX106" i="18"/>
  <c r="KG106" i="18"/>
  <c r="JU106" i="18"/>
  <c r="JG106" i="18"/>
  <c r="IS106" i="18"/>
  <c r="IG106" i="18"/>
  <c r="HS106" i="18"/>
  <c r="HE106" i="18"/>
  <c r="GS106" i="18"/>
  <c r="KA106" i="18"/>
  <c r="JM106" i="18"/>
  <c r="JA106" i="18"/>
  <c r="IM106" i="18"/>
  <c r="HY106" i="18"/>
  <c r="HM106" i="18"/>
  <c r="GY106" i="18"/>
  <c r="X104" i="18"/>
  <c r="W104" i="18"/>
  <c r="Z104" i="18"/>
  <c r="Y104" i="18"/>
  <c r="V104" i="18"/>
  <c r="CS98" i="16" l="1"/>
  <c r="CT98" i="16" s="1"/>
  <c r="CV98" i="16" s="1"/>
  <c r="CU99" i="16" s="1"/>
  <c r="AO96" i="16"/>
  <c r="AN97" i="16"/>
  <c r="AV99" i="16"/>
  <c r="AW98" i="16"/>
  <c r="AF99" i="16"/>
  <c r="AG98" i="16"/>
  <c r="Z105" i="18"/>
  <c r="V105" i="18"/>
  <c r="Y105" i="18"/>
  <c r="W105" i="18"/>
  <c r="X105" i="18"/>
  <c r="B108" i="18"/>
  <c r="C107" i="18"/>
  <c r="A108" i="18" s="1" a="1"/>
  <c r="A108" i="18" s="1"/>
  <c r="U106" i="18"/>
  <c r="A107" i="18" a="1"/>
  <c r="A107" i="18" s="1"/>
  <c r="I107" i="18" a="1"/>
  <c r="I107" i="18" s="1"/>
  <c r="KF107" i="18"/>
  <c r="KA107" i="18"/>
  <c r="JV107" i="18"/>
  <c r="JQ107" i="18"/>
  <c r="JL107" i="18"/>
  <c r="JG107" i="18"/>
  <c r="JB107" i="18"/>
  <c r="IW107" i="18"/>
  <c r="IR107" i="18"/>
  <c r="IM107" i="18"/>
  <c r="IH107" i="18"/>
  <c r="IC107" i="18"/>
  <c r="HX107" i="18"/>
  <c r="HS107" i="18"/>
  <c r="HN107" i="18"/>
  <c r="HI107" i="18"/>
  <c r="HD107" i="18"/>
  <c r="GY107" i="18"/>
  <c r="GT107" i="18"/>
  <c r="P107" i="18"/>
  <c r="L107" i="18"/>
  <c r="BF107" i="18" s="1"/>
  <c r="KE107" i="18"/>
  <c r="JY107" i="18"/>
  <c r="JR107" i="18"/>
  <c r="JK107" i="18"/>
  <c r="JE107" i="18"/>
  <c r="IX107" i="18"/>
  <c r="IQ107" i="18"/>
  <c r="IK107" i="18"/>
  <c r="ID107" i="18"/>
  <c r="HW107" i="18"/>
  <c r="HQ107" i="18"/>
  <c r="HJ107" i="18"/>
  <c r="HC107" i="18"/>
  <c r="GW107" i="18"/>
  <c r="M107" i="18"/>
  <c r="KD107" i="18"/>
  <c r="JW107" i="18"/>
  <c r="JP107" i="18"/>
  <c r="JJ107" i="18"/>
  <c r="JC107" i="18"/>
  <c r="IV107" i="18"/>
  <c r="IP107" i="18"/>
  <c r="II107" i="18"/>
  <c r="IB107" i="18"/>
  <c r="HV107" i="18"/>
  <c r="HO107" i="18"/>
  <c r="HH107" i="18"/>
  <c r="HB107" i="18"/>
  <c r="GU107" i="18"/>
  <c r="Q107" i="18"/>
  <c r="KG107" i="18"/>
  <c r="JT107" i="18"/>
  <c r="JF107" i="18"/>
  <c r="IS107" i="18"/>
  <c r="IF107" i="18"/>
  <c r="HR107" i="18"/>
  <c r="HE107" i="18"/>
  <c r="GR107" i="18"/>
  <c r="JZ107" i="18"/>
  <c r="JM107" i="18"/>
  <c r="IZ107" i="18"/>
  <c r="IL107" i="18"/>
  <c r="HY107" i="18"/>
  <c r="HL107" i="18"/>
  <c r="GX107" i="18"/>
  <c r="N107" i="18"/>
  <c r="AP107" i="18" s="1"/>
  <c r="K108" i="18"/>
  <c r="JU107" i="18"/>
  <c r="JH107" i="18"/>
  <c r="IU107" i="18"/>
  <c r="IG107" i="18"/>
  <c r="HT107" i="18"/>
  <c r="HG107" i="18"/>
  <c r="GS107" i="18"/>
  <c r="KB107" i="18"/>
  <c r="JO107" i="18"/>
  <c r="JA107" i="18"/>
  <c r="IN107" i="18"/>
  <c r="IA107" i="18"/>
  <c r="HM107" i="18"/>
  <c r="GZ107" i="18"/>
  <c r="BF106" i="18"/>
  <c r="CS99" i="16" l="1"/>
  <c r="CT99" i="16" s="1"/>
  <c r="CV99" i="16" s="1"/>
  <c r="CU100" i="16" s="1"/>
  <c r="AN98" i="16"/>
  <c r="AO97" i="16"/>
  <c r="AV100" i="16"/>
  <c r="AG99" i="16"/>
  <c r="AW99" i="16"/>
  <c r="AF100" i="16"/>
  <c r="I108" i="18" a="1"/>
  <c r="I108" i="18" s="1"/>
  <c r="KD108" i="18"/>
  <c r="JY108" i="18"/>
  <c r="JT108" i="18"/>
  <c r="JO108" i="18"/>
  <c r="JJ108" i="18"/>
  <c r="JE108" i="18"/>
  <c r="IZ108" i="18"/>
  <c r="IU108" i="18"/>
  <c r="IP108" i="18"/>
  <c r="IK108" i="18"/>
  <c r="IF108" i="18"/>
  <c r="IA108" i="18"/>
  <c r="HV108" i="18"/>
  <c r="HQ108" i="18"/>
  <c r="HL108" i="18"/>
  <c r="HG108" i="18"/>
  <c r="HB108" i="18"/>
  <c r="GW108" i="18"/>
  <c r="GR108" i="18"/>
  <c r="N108" i="18"/>
  <c r="AP108" i="18" s="1"/>
  <c r="KF108" i="18"/>
  <c r="JZ108" i="18"/>
  <c r="JR108" i="18"/>
  <c r="JL108" i="18"/>
  <c r="JF108" i="18"/>
  <c r="IX108" i="18"/>
  <c r="IR108" i="18"/>
  <c r="IL108" i="18"/>
  <c r="ID108" i="18"/>
  <c r="HX108" i="18"/>
  <c r="HR108" i="18"/>
  <c r="HJ108" i="18"/>
  <c r="HD108" i="18"/>
  <c r="GX108" i="18"/>
  <c r="M108" i="18"/>
  <c r="KE108" i="18"/>
  <c r="JW108" i="18"/>
  <c r="JQ108" i="18"/>
  <c r="JK108" i="18"/>
  <c r="JC108" i="18"/>
  <c r="IW108" i="18"/>
  <c r="IQ108" i="18"/>
  <c r="II108" i="18"/>
  <c r="IC108" i="18"/>
  <c r="HW108" i="18"/>
  <c r="HO108" i="18"/>
  <c r="HI108" i="18"/>
  <c r="HC108" i="18"/>
  <c r="GU108" i="18"/>
  <c r="Q108" i="18"/>
  <c r="L108" i="18"/>
  <c r="KG108" i="18"/>
  <c r="JU108" i="18"/>
  <c r="JG108" i="18"/>
  <c r="IS108" i="18"/>
  <c r="IG108" i="18"/>
  <c r="HS108" i="18"/>
  <c r="HE108" i="18"/>
  <c r="GS108" i="18"/>
  <c r="KA108" i="18"/>
  <c r="JM108" i="18"/>
  <c r="JA108" i="18"/>
  <c r="IM108" i="18"/>
  <c r="HY108" i="18"/>
  <c r="HM108" i="18"/>
  <c r="GY108" i="18"/>
  <c r="KB108" i="18"/>
  <c r="JP108" i="18"/>
  <c r="JB108" i="18"/>
  <c r="IN108" i="18"/>
  <c r="IB108" i="18"/>
  <c r="HN108" i="18"/>
  <c r="GZ108" i="18"/>
  <c r="P108" i="18"/>
  <c r="K109" i="18"/>
  <c r="JV108" i="18"/>
  <c r="JH108" i="18"/>
  <c r="IV108" i="18"/>
  <c r="IH108" i="18"/>
  <c r="HT108" i="18"/>
  <c r="HH108" i="18"/>
  <c r="GT108" i="18"/>
  <c r="I109" i="18" a="1"/>
  <c r="I109" i="18" s="1"/>
  <c r="U107" i="18"/>
  <c r="Y106" i="18"/>
  <c r="Z106" i="18"/>
  <c r="X106" i="18"/>
  <c r="V106" i="18"/>
  <c r="W106" i="18"/>
  <c r="C108" i="18"/>
  <c r="B109" i="18"/>
  <c r="CS100" i="16" l="1"/>
  <c r="CT100" i="16" s="1"/>
  <c r="CV100" i="16" s="1"/>
  <c r="CU101" i="16" s="1"/>
  <c r="AV101" i="16"/>
  <c r="AW100" i="16"/>
  <c r="AF101" i="16"/>
  <c r="AG100" i="16"/>
  <c r="AN99" i="16"/>
  <c r="AO98" i="16"/>
  <c r="U108" i="18"/>
  <c r="BF108" i="18"/>
  <c r="W107" i="18"/>
  <c r="Z107" i="18"/>
  <c r="Y107" i="18"/>
  <c r="V107" i="18"/>
  <c r="X107" i="18"/>
  <c r="B110" i="18"/>
  <c r="C109" i="18"/>
  <c r="A110" i="18" s="1" a="1"/>
  <c r="A110" i="18" s="1"/>
  <c r="A109" i="18" a="1"/>
  <c r="A109" i="18" s="1"/>
  <c r="KF109" i="18"/>
  <c r="KA109" i="18"/>
  <c r="JV109" i="18"/>
  <c r="JQ109" i="18"/>
  <c r="JL109" i="18"/>
  <c r="JG109" i="18"/>
  <c r="JB109" i="18"/>
  <c r="IW109" i="18"/>
  <c r="IR109" i="18"/>
  <c r="IM109" i="18"/>
  <c r="IH109" i="18"/>
  <c r="IC109" i="18"/>
  <c r="HX109" i="18"/>
  <c r="HS109" i="18"/>
  <c r="HN109" i="18"/>
  <c r="HI109" i="18"/>
  <c r="HD109" i="18"/>
  <c r="GY109" i="18"/>
  <c r="GT109" i="18"/>
  <c r="P109" i="18"/>
  <c r="L109" i="18"/>
  <c r="I110" i="18" s="1" a="1"/>
  <c r="I110" i="18" s="1"/>
  <c r="KG109" i="18"/>
  <c r="JZ109" i="18"/>
  <c r="JT109" i="18"/>
  <c r="JM109" i="18"/>
  <c r="JF109" i="18"/>
  <c r="IZ109" i="18"/>
  <c r="IS109" i="18"/>
  <c r="IL109" i="18"/>
  <c r="IF109" i="18"/>
  <c r="HY109" i="18"/>
  <c r="HR109" i="18"/>
  <c r="HL109" i="18"/>
  <c r="HE109" i="18"/>
  <c r="GX109" i="18"/>
  <c r="GR109" i="18"/>
  <c r="N109" i="18"/>
  <c r="AP109" i="18" s="1"/>
  <c r="KE109" i="18"/>
  <c r="JY109" i="18"/>
  <c r="JR109" i="18"/>
  <c r="JK109" i="18"/>
  <c r="JE109" i="18"/>
  <c r="IX109" i="18"/>
  <c r="IQ109" i="18"/>
  <c r="IK109" i="18"/>
  <c r="ID109" i="18"/>
  <c r="HW109" i="18"/>
  <c r="HQ109" i="18"/>
  <c r="HJ109" i="18"/>
  <c r="HC109" i="18"/>
  <c r="GW109" i="18"/>
  <c r="M109" i="18"/>
  <c r="JW109" i="18"/>
  <c r="JJ109" i="18"/>
  <c r="IV109" i="18"/>
  <c r="II109" i="18"/>
  <c r="HV109" i="18"/>
  <c r="HH109" i="18"/>
  <c r="GU109" i="18"/>
  <c r="KD109" i="18"/>
  <c r="JP109" i="18"/>
  <c r="JC109" i="18"/>
  <c r="IP109" i="18"/>
  <c r="IB109" i="18"/>
  <c r="HO109" i="18"/>
  <c r="HB109" i="18"/>
  <c r="JU109" i="18"/>
  <c r="JH109" i="18"/>
  <c r="IU109" i="18"/>
  <c r="IG109" i="18"/>
  <c r="HT109" i="18"/>
  <c r="HG109" i="18"/>
  <c r="GS109" i="18"/>
  <c r="Q109" i="18"/>
  <c r="KB109" i="18"/>
  <c r="JO109" i="18"/>
  <c r="JA109" i="18"/>
  <c r="IN109" i="18"/>
  <c r="IA109" i="18"/>
  <c r="HM109" i="18"/>
  <c r="GZ109" i="18"/>
  <c r="K110" i="18"/>
  <c r="CS101" i="16" l="1"/>
  <c r="CT101" i="16" s="1"/>
  <c r="CV101" i="16" s="1"/>
  <c r="CU102" i="16" s="1"/>
  <c r="AF102" i="16"/>
  <c r="AW101" i="16"/>
  <c r="AG101" i="16"/>
  <c r="AV102" i="16"/>
  <c r="AN100" i="16"/>
  <c r="AO99" i="16"/>
  <c r="Y108" i="18"/>
  <c r="V108" i="18"/>
  <c r="Z108" i="18"/>
  <c r="W108" i="18"/>
  <c r="X108" i="18"/>
  <c r="U109" i="18"/>
  <c r="C110" i="18"/>
  <c r="A111" i="18" s="1" a="1"/>
  <c r="A111" i="18" s="1"/>
  <c r="B111" i="18"/>
  <c r="KE110" i="18"/>
  <c r="JZ110" i="18"/>
  <c r="JU110" i="18"/>
  <c r="JP110" i="18"/>
  <c r="JK110" i="18"/>
  <c r="JF110" i="18"/>
  <c r="JA110" i="18"/>
  <c r="IV110" i="18"/>
  <c r="IQ110" i="18"/>
  <c r="IL110" i="18"/>
  <c r="IG110" i="18"/>
  <c r="IB110" i="18"/>
  <c r="HW110" i="18"/>
  <c r="HR110" i="18"/>
  <c r="HM110" i="18"/>
  <c r="HH110" i="18"/>
  <c r="HC110" i="18"/>
  <c r="GX110" i="18"/>
  <c r="GS110" i="18"/>
  <c r="N110" i="18"/>
  <c r="AP110" i="18" s="1"/>
  <c r="K111" i="18"/>
  <c r="KB110" i="18"/>
  <c r="JV110" i="18"/>
  <c r="JO110" i="18"/>
  <c r="JH110" i="18"/>
  <c r="JB110" i="18"/>
  <c r="IU110" i="18"/>
  <c r="IN110" i="18"/>
  <c r="IH110" i="18"/>
  <c r="IA110" i="18"/>
  <c r="HT110" i="18"/>
  <c r="HN110" i="18"/>
  <c r="HG110" i="18"/>
  <c r="GZ110" i="18"/>
  <c r="GT110" i="18"/>
  <c r="KG110" i="18"/>
  <c r="KA110" i="18"/>
  <c r="JT110" i="18"/>
  <c r="JM110" i="18"/>
  <c r="JG110" i="18"/>
  <c r="IZ110" i="18"/>
  <c r="IS110" i="18"/>
  <c r="IM110" i="18"/>
  <c r="IF110" i="18"/>
  <c r="HY110" i="18"/>
  <c r="HS110" i="18"/>
  <c r="HL110" i="18"/>
  <c r="HE110" i="18"/>
  <c r="GY110" i="18"/>
  <c r="GR110" i="18"/>
  <c r="M110" i="18"/>
  <c r="JY110" i="18"/>
  <c r="JL110" i="18"/>
  <c r="IX110" i="18"/>
  <c r="IK110" i="18"/>
  <c r="HX110" i="18"/>
  <c r="HJ110" i="18"/>
  <c r="GW110" i="18"/>
  <c r="L110" i="18"/>
  <c r="KF110" i="18"/>
  <c r="JR110" i="18"/>
  <c r="JE110" i="18"/>
  <c r="IR110" i="18"/>
  <c r="ID110" i="18"/>
  <c r="HQ110" i="18"/>
  <c r="HD110" i="18"/>
  <c r="P110" i="18"/>
  <c r="IW110" i="18"/>
  <c r="KD110" i="18"/>
  <c r="JQ110" i="18"/>
  <c r="JC110" i="18"/>
  <c r="IP110" i="18"/>
  <c r="IC110" i="18"/>
  <c r="HO110" i="18"/>
  <c r="HB110" i="18"/>
  <c r="JW110" i="18"/>
  <c r="JJ110" i="18"/>
  <c r="II110" i="18"/>
  <c r="HV110" i="18"/>
  <c r="HI110" i="18"/>
  <c r="GU110" i="18"/>
  <c r="Q110" i="18"/>
  <c r="BF109" i="18"/>
  <c r="CS102" i="16" l="1"/>
  <c r="CT102" i="16" s="1"/>
  <c r="CV102" i="16" s="1"/>
  <c r="CU103" i="16" s="1"/>
  <c r="CS103" i="16" s="1"/>
  <c r="CT103" i="16" s="1"/>
  <c r="CV103" i="16" s="1"/>
  <c r="CU104" i="16" s="1"/>
  <c r="CS104" i="16" s="1"/>
  <c r="CT104" i="16" s="1"/>
  <c r="CV104" i="16" s="1"/>
  <c r="CU105" i="16" s="1"/>
  <c r="AO100" i="16"/>
  <c r="AN101" i="16"/>
  <c r="AV103" i="16"/>
  <c r="AW102" i="16"/>
  <c r="AF103" i="16"/>
  <c r="AG102" i="16"/>
  <c r="KD111" i="18"/>
  <c r="JY111" i="18"/>
  <c r="JT111" i="18"/>
  <c r="JO111" i="18"/>
  <c r="JJ111" i="18"/>
  <c r="JE111" i="18"/>
  <c r="IZ111" i="18"/>
  <c r="IU111" i="18"/>
  <c r="IP111" i="18"/>
  <c r="IK111" i="18"/>
  <c r="IF111" i="18"/>
  <c r="IA111" i="18"/>
  <c r="HV111" i="18"/>
  <c r="HQ111" i="18"/>
  <c r="HL111" i="18"/>
  <c r="HG111" i="18"/>
  <c r="HB111" i="18"/>
  <c r="GW111" i="18"/>
  <c r="GR111" i="18"/>
  <c r="Q111" i="18"/>
  <c r="M111" i="18"/>
  <c r="KE111" i="18"/>
  <c r="JW111" i="18"/>
  <c r="JQ111" i="18"/>
  <c r="JK111" i="18"/>
  <c r="JC111" i="18"/>
  <c r="IW111" i="18"/>
  <c r="IQ111" i="18"/>
  <c r="II111" i="18"/>
  <c r="IC111" i="18"/>
  <c r="HW111" i="18"/>
  <c r="HO111" i="18"/>
  <c r="HI111" i="18"/>
  <c r="HC111" i="18"/>
  <c r="GU111" i="18"/>
  <c r="P111" i="18"/>
  <c r="K112" i="18"/>
  <c r="KB111" i="18"/>
  <c r="JV111" i="18"/>
  <c r="JP111" i="18"/>
  <c r="JH111" i="18"/>
  <c r="JB111" i="18"/>
  <c r="IV111" i="18"/>
  <c r="IN111" i="18"/>
  <c r="IH111" i="18"/>
  <c r="IB111" i="18"/>
  <c r="HT111" i="18"/>
  <c r="HN111" i="18"/>
  <c r="HH111" i="18"/>
  <c r="GZ111" i="18"/>
  <c r="GT111" i="18"/>
  <c r="KG111" i="18"/>
  <c r="JU111" i="18"/>
  <c r="JG111" i="18"/>
  <c r="IS111" i="18"/>
  <c r="IG111" i="18"/>
  <c r="HS111" i="18"/>
  <c r="HE111" i="18"/>
  <c r="GS111" i="18"/>
  <c r="N111" i="18"/>
  <c r="AP111" i="18" s="1"/>
  <c r="KA111" i="18"/>
  <c r="JM111" i="18"/>
  <c r="JA111" i="18"/>
  <c r="IM111" i="18"/>
  <c r="HY111" i="18"/>
  <c r="HM111" i="18"/>
  <c r="GY111" i="18"/>
  <c r="JZ111" i="18"/>
  <c r="JL111" i="18"/>
  <c r="IX111" i="18"/>
  <c r="IL111" i="18"/>
  <c r="HX111" i="18"/>
  <c r="HJ111" i="18"/>
  <c r="GX111" i="18"/>
  <c r="KF111" i="18"/>
  <c r="JR111" i="18"/>
  <c r="JF111" i="18"/>
  <c r="IR111" i="18"/>
  <c r="ID111" i="18"/>
  <c r="HR111" i="18"/>
  <c r="HD111" i="18"/>
  <c r="L111" i="18"/>
  <c r="BF110" i="18"/>
  <c r="I111" i="18" a="1"/>
  <c r="I111" i="18" s="1"/>
  <c r="B112" i="18"/>
  <c r="C111" i="18"/>
  <c r="U110" i="18"/>
  <c r="W109" i="18"/>
  <c r="V109" i="18"/>
  <c r="Z109" i="18"/>
  <c r="X109" i="18"/>
  <c r="Y109" i="18"/>
  <c r="CS105" i="16" l="1"/>
  <c r="CT105" i="16" s="1"/>
  <c r="CV105" i="16" s="1"/>
  <c r="CU106" i="16" s="1"/>
  <c r="AW103" i="16"/>
  <c r="AV104" i="16"/>
  <c r="AF104" i="16"/>
  <c r="AG103" i="16"/>
  <c r="AO101" i="16"/>
  <c r="AN102" i="16"/>
  <c r="I112" i="18" a="1"/>
  <c r="I112" i="18" s="1"/>
  <c r="Y110" i="18"/>
  <c r="W110" i="18"/>
  <c r="V110" i="18"/>
  <c r="X110" i="18"/>
  <c r="Z110" i="18"/>
  <c r="B113" i="18"/>
  <c r="C112" i="18"/>
  <c r="K113" i="18"/>
  <c r="KG112" i="18"/>
  <c r="KB112" i="18"/>
  <c r="JW112" i="18"/>
  <c r="JR112" i="18"/>
  <c r="JM112" i="18"/>
  <c r="JH112" i="18"/>
  <c r="JC112" i="18"/>
  <c r="IX112" i="18"/>
  <c r="IS112" i="18"/>
  <c r="IN112" i="18"/>
  <c r="II112" i="18"/>
  <c r="ID112" i="18"/>
  <c r="HY112" i="18"/>
  <c r="HT112" i="18"/>
  <c r="HO112" i="18"/>
  <c r="HJ112" i="18"/>
  <c r="HE112" i="18"/>
  <c r="GZ112" i="18"/>
  <c r="GU112" i="18"/>
  <c r="P112" i="18"/>
  <c r="L112" i="18"/>
  <c r="BF112" i="18" s="1"/>
  <c r="KF112" i="18"/>
  <c r="JZ112" i="18"/>
  <c r="JT112" i="18"/>
  <c r="JL112" i="18"/>
  <c r="JF112" i="18"/>
  <c r="IZ112" i="18"/>
  <c r="IR112" i="18"/>
  <c r="IL112" i="18"/>
  <c r="IF112" i="18"/>
  <c r="HX112" i="18"/>
  <c r="HR112" i="18"/>
  <c r="HL112" i="18"/>
  <c r="HD112" i="18"/>
  <c r="GX112" i="18"/>
  <c r="GR112" i="18"/>
  <c r="M112" i="18"/>
  <c r="KE112" i="18"/>
  <c r="JY112" i="18"/>
  <c r="JQ112" i="18"/>
  <c r="JK112" i="18"/>
  <c r="JE112" i="18"/>
  <c r="IW112" i="18"/>
  <c r="IQ112" i="18"/>
  <c r="IK112" i="18"/>
  <c r="IC112" i="18"/>
  <c r="HW112" i="18"/>
  <c r="HQ112" i="18"/>
  <c r="HI112" i="18"/>
  <c r="HC112" i="18"/>
  <c r="GW112" i="18"/>
  <c r="Q112" i="18"/>
  <c r="KA112" i="18"/>
  <c r="JO112" i="18"/>
  <c r="JA112" i="18"/>
  <c r="IM112" i="18"/>
  <c r="IA112" i="18"/>
  <c r="HM112" i="18"/>
  <c r="GY112" i="18"/>
  <c r="JU112" i="18"/>
  <c r="JG112" i="18"/>
  <c r="IU112" i="18"/>
  <c r="IG112" i="18"/>
  <c r="HS112" i="18"/>
  <c r="HG112" i="18"/>
  <c r="GS112" i="18"/>
  <c r="IH112" i="18"/>
  <c r="GT112" i="18"/>
  <c r="KD112" i="18"/>
  <c r="JP112" i="18"/>
  <c r="JB112" i="18"/>
  <c r="IP112" i="18"/>
  <c r="IB112" i="18"/>
  <c r="HN112" i="18"/>
  <c r="HB112" i="18"/>
  <c r="N112" i="18"/>
  <c r="AP112" i="18" s="1"/>
  <c r="JV112" i="18"/>
  <c r="JJ112" i="18"/>
  <c r="IV112" i="18"/>
  <c r="HV112" i="18"/>
  <c r="HH112" i="18"/>
  <c r="U111" i="18"/>
  <c r="A112" i="18" a="1"/>
  <c r="A112" i="18" s="1"/>
  <c r="BF111" i="18"/>
  <c r="CS106" i="16" l="1"/>
  <c r="CT106" i="16" s="1"/>
  <c r="CV106" i="16" s="1"/>
  <c r="CU107" i="16" s="1"/>
  <c r="AF105" i="16"/>
  <c r="AW104" i="16"/>
  <c r="AG104" i="16"/>
  <c r="AV105" i="16"/>
  <c r="AN103" i="16"/>
  <c r="AO102" i="16"/>
  <c r="X111" i="18"/>
  <c r="Y111" i="18"/>
  <c r="W111" i="18"/>
  <c r="Z111" i="18"/>
  <c r="V111" i="18"/>
  <c r="U112" i="18"/>
  <c r="A113" i="18" a="1"/>
  <c r="A113" i="18" s="1"/>
  <c r="B114" i="18"/>
  <c r="C113" i="18"/>
  <c r="KF113" i="18"/>
  <c r="KA113" i="18"/>
  <c r="JV113" i="18"/>
  <c r="JQ113" i="18"/>
  <c r="JL113" i="18"/>
  <c r="JG113" i="18"/>
  <c r="JB113" i="18"/>
  <c r="IW113" i="18"/>
  <c r="IR113" i="18"/>
  <c r="IM113" i="18"/>
  <c r="IH113" i="18"/>
  <c r="IC113" i="18"/>
  <c r="HX113" i="18"/>
  <c r="HS113" i="18"/>
  <c r="HN113" i="18"/>
  <c r="HI113" i="18"/>
  <c r="HD113" i="18"/>
  <c r="GY113" i="18"/>
  <c r="GT113" i="18"/>
  <c r="KG113" i="18"/>
  <c r="JZ113" i="18"/>
  <c r="JT113" i="18"/>
  <c r="JM113" i="18"/>
  <c r="JF113" i="18"/>
  <c r="IZ113" i="18"/>
  <c r="IS113" i="18"/>
  <c r="IL113" i="18"/>
  <c r="IF113" i="18"/>
  <c r="HY113" i="18"/>
  <c r="HR113" i="18"/>
  <c r="HL113" i="18"/>
  <c r="HE113" i="18"/>
  <c r="GX113" i="18"/>
  <c r="GR113" i="18"/>
  <c r="N113" i="18"/>
  <c r="AP113" i="18" s="1"/>
  <c r="KE113" i="18"/>
  <c r="JY113" i="18"/>
  <c r="JR113" i="18"/>
  <c r="JK113" i="18"/>
  <c r="JE113" i="18"/>
  <c r="IX113" i="18"/>
  <c r="IQ113" i="18"/>
  <c r="IK113" i="18"/>
  <c r="ID113" i="18"/>
  <c r="HW113" i="18"/>
  <c r="HQ113" i="18"/>
  <c r="HJ113" i="18"/>
  <c r="HC113" i="18"/>
  <c r="GW113" i="18"/>
  <c r="Q113" i="18"/>
  <c r="M113" i="18"/>
  <c r="KD113" i="18"/>
  <c r="JP113" i="18"/>
  <c r="JC113" i="18"/>
  <c r="IP113" i="18"/>
  <c r="IB113" i="18"/>
  <c r="HO113" i="18"/>
  <c r="HB113" i="18"/>
  <c r="JW113" i="18"/>
  <c r="JJ113" i="18"/>
  <c r="IV113" i="18"/>
  <c r="II113" i="18"/>
  <c r="HV113" i="18"/>
  <c r="HH113" i="18"/>
  <c r="GU113" i="18"/>
  <c r="JO113" i="18"/>
  <c r="IN113" i="18"/>
  <c r="IA113" i="18"/>
  <c r="GZ113" i="18"/>
  <c r="K114" i="18"/>
  <c r="JU113" i="18"/>
  <c r="JH113" i="18"/>
  <c r="IU113" i="18"/>
  <c r="IG113" i="18"/>
  <c r="HT113" i="18"/>
  <c r="HG113" i="18"/>
  <c r="GS113" i="18"/>
  <c r="P113" i="18"/>
  <c r="KB113" i="18"/>
  <c r="JA113" i="18"/>
  <c r="HM113" i="18"/>
  <c r="L113" i="18"/>
  <c r="I114" i="18" s="1" a="1"/>
  <c r="I114" i="18" s="1"/>
  <c r="I113" i="18" a="1"/>
  <c r="I113" i="18" s="1"/>
  <c r="CS107" i="16" l="1"/>
  <c r="CT107" i="16" s="1"/>
  <c r="CV107" i="16" s="1"/>
  <c r="CU108" i="16" s="1"/>
  <c r="AN104" i="16"/>
  <c r="AO103" i="16"/>
  <c r="AW105" i="16"/>
  <c r="AF106" i="16"/>
  <c r="AV106" i="16"/>
  <c r="AG105" i="16"/>
  <c r="BF113" i="18"/>
  <c r="U113" i="18"/>
  <c r="W112" i="18"/>
  <c r="Z112" i="18"/>
  <c r="Y112" i="18"/>
  <c r="X112" i="18"/>
  <c r="V112" i="18"/>
  <c r="KE114" i="18"/>
  <c r="JZ114" i="18"/>
  <c r="JU114" i="18"/>
  <c r="JP114" i="18"/>
  <c r="JK114" i="18"/>
  <c r="JF114" i="18"/>
  <c r="JA114" i="18"/>
  <c r="IV114" i="18"/>
  <c r="IQ114" i="18"/>
  <c r="IL114" i="18"/>
  <c r="IG114" i="18"/>
  <c r="IB114" i="18"/>
  <c r="HW114" i="18"/>
  <c r="HR114" i="18"/>
  <c r="HM114" i="18"/>
  <c r="HH114" i="18"/>
  <c r="HC114" i="18"/>
  <c r="GX114" i="18"/>
  <c r="GS114" i="18"/>
  <c r="N114" i="18"/>
  <c r="AP114" i="18" s="1"/>
  <c r="K115" i="18"/>
  <c r="KB114" i="18"/>
  <c r="JV114" i="18"/>
  <c r="JO114" i="18"/>
  <c r="JH114" i="18"/>
  <c r="JB114" i="18"/>
  <c r="IU114" i="18"/>
  <c r="IN114" i="18"/>
  <c r="IH114" i="18"/>
  <c r="IA114" i="18"/>
  <c r="HT114" i="18"/>
  <c r="HN114" i="18"/>
  <c r="HG114" i="18"/>
  <c r="GZ114" i="18"/>
  <c r="GT114" i="18"/>
  <c r="KG114" i="18"/>
  <c r="KA114" i="18"/>
  <c r="JT114" i="18"/>
  <c r="JM114" i="18"/>
  <c r="JG114" i="18"/>
  <c r="IZ114" i="18"/>
  <c r="IS114" i="18"/>
  <c r="IM114" i="18"/>
  <c r="IF114" i="18"/>
  <c r="HY114" i="18"/>
  <c r="HS114" i="18"/>
  <c r="HL114" i="18"/>
  <c r="HE114" i="18"/>
  <c r="GY114" i="18"/>
  <c r="GR114" i="18"/>
  <c r="M114" i="18"/>
  <c r="KF114" i="18"/>
  <c r="JR114" i="18"/>
  <c r="JE114" i="18"/>
  <c r="IR114" i="18"/>
  <c r="ID114" i="18"/>
  <c r="HQ114" i="18"/>
  <c r="HD114" i="18"/>
  <c r="P114" i="18"/>
  <c r="JY114" i="18"/>
  <c r="JL114" i="18"/>
  <c r="IX114" i="18"/>
  <c r="IK114" i="18"/>
  <c r="HX114" i="18"/>
  <c r="HJ114" i="18"/>
  <c r="GW114" i="18"/>
  <c r="L114" i="18"/>
  <c r="JW114" i="18"/>
  <c r="JJ114" i="18"/>
  <c r="IW114" i="18"/>
  <c r="II114" i="18"/>
  <c r="HV114" i="18"/>
  <c r="HI114" i="18"/>
  <c r="GU114" i="18"/>
  <c r="Q114" i="18"/>
  <c r="KD114" i="18"/>
  <c r="JQ114" i="18"/>
  <c r="JC114" i="18"/>
  <c r="IP114" i="18"/>
  <c r="IC114" i="18"/>
  <c r="HO114" i="18"/>
  <c r="HB114" i="18"/>
  <c r="BF114" i="18"/>
  <c r="C114" i="18"/>
  <c r="B115" i="18"/>
  <c r="A114" i="18" a="1"/>
  <c r="A114" i="18" s="1"/>
  <c r="CS108" i="16" l="1"/>
  <c r="CT108" i="16" s="1"/>
  <c r="CV108" i="16" s="1"/>
  <c r="CU109" i="16" s="1"/>
  <c r="AG106" i="16"/>
  <c r="AV107" i="16"/>
  <c r="AF107" i="16"/>
  <c r="AW106" i="16"/>
  <c r="AN105" i="16"/>
  <c r="AO104" i="16"/>
  <c r="KD115" i="18"/>
  <c r="JY115" i="18"/>
  <c r="JT115" i="18"/>
  <c r="JO115" i="18"/>
  <c r="JJ115" i="18"/>
  <c r="JE115" i="18"/>
  <c r="IZ115" i="18"/>
  <c r="IU115" i="18"/>
  <c r="IP115" i="18"/>
  <c r="IK115" i="18"/>
  <c r="IF115" i="18"/>
  <c r="IA115" i="18"/>
  <c r="HV115" i="18"/>
  <c r="HQ115" i="18"/>
  <c r="HL115" i="18"/>
  <c r="HG115" i="18"/>
  <c r="HB115" i="18"/>
  <c r="GW115" i="18"/>
  <c r="GR115" i="18"/>
  <c r="Q115" i="18"/>
  <c r="M115" i="18"/>
  <c r="KE115" i="18"/>
  <c r="JW115" i="18"/>
  <c r="JQ115" i="18"/>
  <c r="JK115" i="18"/>
  <c r="JC115" i="18"/>
  <c r="IW115" i="18"/>
  <c r="IQ115" i="18"/>
  <c r="II115" i="18"/>
  <c r="IC115" i="18"/>
  <c r="HW115" i="18"/>
  <c r="HO115" i="18"/>
  <c r="HI115" i="18"/>
  <c r="HC115" i="18"/>
  <c r="GU115" i="18"/>
  <c r="P115" i="18"/>
  <c r="K116" i="18"/>
  <c r="KB115" i="18"/>
  <c r="JV115" i="18"/>
  <c r="JP115" i="18"/>
  <c r="JH115" i="18"/>
  <c r="JB115" i="18"/>
  <c r="IV115" i="18"/>
  <c r="IN115" i="18"/>
  <c r="IH115" i="18"/>
  <c r="IB115" i="18"/>
  <c r="HT115" i="18"/>
  <c r="HN115" i="18"/>
  <c r="HH115" i="18"/>
  <c r="GZ115" i="18"/>
  <c r="GT115" i="18"/>
  <c r="KA115" i="18"/>
  <c r="JM115" i="18"/>
  <c r="JA115" i="18"/>
  <c r="IM115" i="18"/>
  <c r="HY115" i="18"/>
  <c r="HM115" i="18"/>
  <c r="GY115" i="18"/>
  <c r="KG115" i="18"/>
  <c r="JU115" i="18"/>
  <c r="JG115" i="18"/>
  <c r="IS115" i="18"/>
  <c r="IG115" i="18"/>
  <c r="HS115" i="18"/>
  <c r="HE115" i="18"/>
  <c r="GS115" i="18"/>
  <c r="N115" i="18"/>
  <c r="AP115" i="18" s="1"/>
  <c r="KF115" i="18"/>
  <c r="JR115" i="18"/>
  <c r="JF115" i="18"/>
  <c r="IR115" i="18"/>
  <c r="ID115" i="18"/>
  <c r="HR115" i="18"/>
  <c r="HD115" i="18"/>
  <c r="L115" i="18"/>
  <c r="BF115" i="18" s="1"/>
  <c r="JZ115" i="18"/>
  <c r="JL115" i="18"/>
  <c r="IX115" i="18"/>
  <c r="IL115" i="18"/>
  <c r="HX115" i="18"/>
  <c r="HJ115" i="18"/>
  <c r="GX115" i="18"/>
  <c r="Z113" i="18"/>
  <c r="V113" i="18"/>
  <c r="Y113" i="18"/>
  <c r="W113" i="18"/>
  <c r="X113" i="18"/>
  <c r="I115" i="18" a="1"/>
  <c r="I115" i="18" s="1"/>
  <c r="B116" i="18"/>
  <c r="C115" i="18"/>
  <c r="U114" i="18"/>
  <c r="A115" i="18" a="1"/>
  <c r="A115" i="18" s="1"/>
  <c r="CS109" i="16" l="1"/>
  <c r="CT109" i="16" s="1"/>
  <c r="CV109" i="16" s="1"/>
  <c r="CU110" i="16" s="1"/>
  <c r="AO105" i="16"/>
  <c r="AN106" i="16"/>
  <c r="AW107" i="16"/>
  <c r="AV108" i="16"/>
  <c r="AG107" i="16"/>
  <c r="AF108" i="16"/>
  <c r="KF116" i="18"/>
  <c r="KA116" i="18"/>
  <c r="JV116" i="18"/>
  <c r="JQ116" i="18"/>
  <c r="JL116" i="18"/>
  <c r="JG116" i="18"/>
  <c r="JB116" i="18"/>
  <c r="IW116" i="18"/>
  <c r="IR116" i="18"/>
  <c r="IM116" i="18"/>
  <c r="IH116" i="18"/>
  <c r="IC116" i="18"/>
  <c r="HX116" i="18"/>
  <c r="HS116" i="18"/>
  <c r="HN116" i="18"/>
  <c r="HI116" i="18"/>
  <c r="HD116" i="18"/>
  <c r="GY116" i="18"/>
  <c r="GT116" i="18"/>
  <c r="P116" i="18"/>
  <c r="L116" i="18"/>
  <c r="KE116" i="18"/>
  <c r="JY116" i="18"/>
  <c r="JR116" i="18"/>
  <c r="JK116" i="18"/>
  <c r="JE116" i="18"/>
  <c r="IX116" i="18"/>
  <c r="IQ116" i="18"/>
  <c r="IK116" i="18"/>
  <c r="ID116" i="18"/>
  <c r="HW116" i="18"/>
  <c r="HQ116" i="18"/>
  <c r="HJ116" i="18"/>
  <c r="HC116" i="18"/>
  <c r="GW116" i="18"/>
  <c r="M116" i="18"/>
  <c r="KD116" i="18"/>
  <c r="JW116" i="18"/>
  <c r="JP116" i="18"/>
  <c r="JJ116" i="18"/>
  <c r="JC116" i="18"/>
  <c r="IV116" i="18"/>
  <c r="IP116" i="18"/>
  <c r="II116" i="18"/>
  <c r="IB116" i="18"/>
  <c r="HV116" i="18"/>
  <c r="HO116" i="18"/>
  <c r="HH116" i="18"/>
  <c r="HB116" i="18"/>
  <c r="GU116" i="18"/>
  <c r="Q116" i="18"/>
  <c r="KB116" i="18"/>
  <c r="JO116" i="18"/>
  <c r="JA116" i="18"/>
  <c r="IN116" i="18"/>
  <c r="IA116" i="18"/>
  <c r="HM116" i="18"/>
  <c r="GZ116" i="18"/>
  <c r="K117" i="18"/>
  <c r="JU116" i="18"/>
  <c r="JH116" i="18"/>
  <c r="IU116" i="18"/>
  <c r="IG116" i="18"/>
  <c r="HT116" i="18"/>
  <c r="HG116" i="18"/>
  <c r="GS116" i="18"/>
  <c r="KG116" i="18"/>
  <c r="JT116" i="18"/>
  <c r="JF116" i="18"/>
  <c r="IS116" i="18"/>
  <c r="IF116" i="18"/>
  <c r="HR116" i="18"/>
  <c r="HE116" i="18"/>
  <c r="GR116" i="18"/>
  <c r="JZ116" i="18"/>
  <c r="JM116" i="18"/>
  <c r="IZ116" i="18"/>
  <c r="IL116" i="18"/>
  <c r="HY116" i="18"/>
  <c r="HL116" i="18"/>
  <c r="GX116" i="18"/>
  <c r="N116" i="18"/>
  <c r="AP116" i="18" s="1"/>
  <c r="Y114" i="18"/>
  <c r="W114" i="18"/>
  <c r="V114" i="18"/>
  <c r="X114" i="18"/>
  <c r="Z114" i="18"/>
  <c r="I116" i="18" a="1"/>
  <c r="I116" i="18" s="1"/>
  <c r="U115" i="18"/>
  <c r="A116" i="18" a="1"/>
  <c r="A116" i="18" s="1"/>
  <c r="B117" i="18"/>
  <c r="C116" i="18"/>
  <c r="BF116" i="18"/>
  <c r="CS110" i="16" l="1"/>
  <c r="CT110" i="16" s="1"/>
  <c r="CV110" i="16" s="1"/>
  <c r="CU111" i="16" s="1"/>
  <c r="AW108" i="16"/>
  <c r="AG108" i="16"/>
  <c r="AV109" i="16"/>
  <c r="AF109" i="16"/>
  <c r="AN107" i="16"/>
  <c r="AO106" i="16"/>
  <c r="U116" i="18"/>
  <c r="A117" i="18" a="1"/>
  <c r="A117" i="18" s="1"/>
  <c r="KD117" i="18"/>
  <c r="JY117" i="18"/>
  <c r="JT117" i="18"/>
  <c r="JO117" i="18"/>
  <c r="JJ117" i="18"/>
  <c r="JE117" i="18"/>
  <c r="IZ117" i="18"/>
  <c r="IU117" i="18"/>
  <c r="IP117" i="18"/>
  <c r="IK117" i="18"/>
  <c r="IF117" i="18"/>
  <c r="IA117" i="18"/>
  <c r="HV117" i="18"/>
  <c r="HQ117" i="18"/>
  <c r="HL117" i="18"/>
  <c r="HG117" i="18"/>
  <c r="HB117" i="18"/>
  <c r="GW117" i="18"/>
  <c r="GR117" i="18"/>
  <c r="N117" i="18"/>
  <c r="AP117" i="18" s="1"/>
  <c r="KF117" i="18"/>
  <c r="JZ117" i="18"/>
  <c r="JR117" i="18"/>
  <c r="JL117" i="18"/>
  <c r="JF117" i="18"/>
  <c r="IX117" i="18"/>
  <c r="IR117" i="18"/>
  <c r="IL117" i="18"/>
  <c r="ID117" i="18"/>
  <c r="HX117" i="18"/>
  <c r="HR117" i="18"/>
  <c r="HJ117" i="18"/>
  <c r="HD117" i="18"/>
  <c r="GX117" i="18"/>
  <c r="M117" i="18"/>
  <c r="KE117" i="18"/>
  <c r="JW117" i="18"/>
  <c r="JQ117" i="18"/>
  <c r="JK117" i="18"/>
  <c r="JC117" i="18"/>
  <c r="IW117" i="18"/>
  <c r="IQ117" i="18"/>
  <c r="II117" i="18"/>
  <c r="IC117" i="18"/>
  <c r="HW117" i="18"/>
  <c r="HO117" i="18"/>
  <c r="HI117" i="18"/>
  <c r="HC117" i="18"/>
  <c r="GU117" i="18"/>
  <c r="Q117" i="18"/>
  <c r="L117" i="18"/>
  <c r="I118" i="18" s="1" a="1"/>
  <c r="I118" i="18" s="1"/>
  <c r="KB117" i="18"/>
  <c r="JP117" i="18"/>
  <c r="JB117" i="18"/>
  <c r="IN117" i="18"/>
  <c r="IB117" i="18"/>
  <c r="HN117" i="18"/>
  <c r="GZ117" i="18"/>
  <c r="P117" i="18"/>
  <c r="K118" i="18"/>
  <c r="JV117" i="18"/>
  <c r="JH117" i="18"/>
  <c r="IV117" i="18"/>
  <c r="IH117" i="18"/>
  <c r="HT117" i="18"/>
  <c r="HH117" i="18"/>
  <c r="GT117" i="18"/>
  <c r="KG117" i="18"/>
  <c r="JU117" i="18"/>
  <c r="JG117" i="18"/>
  <c r="IS117" i="18"/>
  <c r="IG117" i="18"/>
  <c r="HS117" i="18"/>
  <c r="HE117" i="18"/>
  <c r="GS117" i="18"/>
  <c r="KA117" i="18"/>
  <c r="JM117" i="18"/>
  <c r="JA117" i="18"/>
  <c r="IM117" i="18"/>
  <c r="HY117" i="18"/>
  <c r="HM117" i="18"/>
  <c r="GY117" i="18"/>
  <c r="BF117" i="18"/>
  <c r="C117" i="18"/>
  <c r="B118" i="18"/>
  <c r="I117" i="18" a="1"/>
  <c r="I117" i="18" s="1"/>
  <c r="X115" i="18"/>
  <c r="Y115" i="18"/>
  <c r="W115" i="18"/>
  <c r="Z115" i="18"/>
  <c r="V115" i="18"/>
  <c r="CS111" i="16" l="1"/>
  <c r="CT111" i="16" s="1"/>
  <c r="CV111" i="16" s="1"/>
  <c r="CU112" i="16" s="1"/>
  <c r="AG109" i="16"/>
  <c r="AF110" i="16"/>
  <c r="AW109" i="16"/>
  <c r="AV110" i="16"/>
  <c r="AN108" i="16"/>
  <c r="AO107" i="16"/>
  <c r="B119" i="18"/>
  <c r="C118" i="18"/>
  <c r="KF118" i="18"/>
  <c r="KA118" i="18"/>
  <c r="JV118" i="18"/>
  <c r="JQ118" i="18"/>
  <c r="JL118" i="18"/>
  <c r="JG118" i="18"/>
  <c r="JB118" i="18"/>
  <c r="IW118" i="18"/>
  <c r="IR118" i="18"/>
  <c r="IM118" i="18"/>
  <c r="IH118" i="18"/>
  <c r="IC118" i="18"/>
  <c r="HX118" i="18"/>
  <c r="HS118" i="18"/>
  <c r="HN118" i="18"/>
  <c r="HI118" i="18"/>
  <c r="HD118" i="18"/>
  <c r="GY118" i="18"/>
  <c r="GT118" i="18"/>
  <c r="P118" i="18"/>
  <c r="L118" i="18"/>
  <c r="KG118" i="18"/>
  <c r="JZ118" i="18"/>
  <c r="JT118" i="18"/>
  <c r="JM118" i="18"/>
  <c r="JF118" i="18"/>
  <c r="IZ118" i="18"/>
  <c r="IS118" i="18"/>
  <c r="IL118" i="18"/>
  <c r="IF118" i="18"/>
  <c r="HY118" i="18"/>
  <c r="HR118" i="18"/>
  <c r="HL118" i="18"/>
  <c r="HE118" i="18"/>
  <c r="GX118" i="18"/>
  <c r="GR118" i="18"/>
  <c r="N118" i="18"/>
  <c r="AP118" i="18" s="1"/>
  <c r="KE118" i="18"/>
  <c r="JY118" i="18"/>
  <c r="JR118" i="18"/>
  <c r="JK118" i="18"/>
  <c r="JE118" i="18"/>
  <c r="IX118" i="18"/>
  <c r="IQ118" i="18"/>
  <c r="IK118" i="18"/>
  <c r="ID118" i="18"/>
  <c r="HW118" i="18"/>
  <c r="HQ118" i="18"/>
  <c r="HJ118" i="18"/>
  <c r="HC118" i="18"/>
  <c r="GW118" i="18"/>
  <c r="M118" i="18"/>
  <c r="K119" i="18"/>
  <c r="JU118" i="18"/>
  <c r="JH118" i="18"/>
  <c r="IU118" i="18"/>
  <c r="IG118" i="18"/>
  <c r="HT118" i="18"/>
  <c r="HG118" i="18"/>
  <c r="GS118" i="18"/>
  <c r="Q118" i="18"/>
  <c r="KB118" i="18"/>
  <c r="JO118" i="18"/>
  <c r="JA118" i="18"/>
  <c r="IN118" i="18"/>
  <c r="IA118" i="18"/>
  <c r="HM118" i="18"/>
  <c r="GZ118" i="18"/>
  <c r="JW118" i="18"/>
  <c r="JJ118" i="18"/>
  <c r="IV118" i="18"/>
  <c r="II118" i="18"/>
  <c r="HV118" i="18"/>
  <c r="HH118" i="18"/>
  <c r="GU118" i="18"/>
  <c r="KD118" i="18"/>
  <c r="JP118" i="18"/>
  <c r="JC118" i="18"/>
  <c r="IP118" i="18"/>
  <c r="IB118" i="18"/>
  <c r="HO118" i="18"/>
  <c r="HB118" i="18"/>
  <c r="U117" i="18"/>
  <c r="W116" i="18"/>
  <c r="Z116" i="18"/>
  <c r="Y116" i="18"/>
  <c r="X116" i="18"/>
  <c r="V116" i="18"/>
  <c r="A118" i="18" a="1"/>
  <c r="A118" i="18" s="1"/>
  <c r="CS112" i="16" l="1"/>
  <c r="CT112" i="16" s="1"/>
  <c r="CV112" i="16" s="1"/>
  <c r="CU113" i="16" s="1"/>
  <c r="CS113" i="16" s="1"/>
  <c r="CT113" i="16" s="1"/>
  <c r="CV113" i="16" s="1"/>
  <c r="CU114" i="16" s="1"/>
  <c r="AO108" i="16"/>
  <c r="AN109" i="16"/>
  <c r="AV111" i="16"/>
  <c r="AF111" i="16"/>
  <c r="AW110" i="16"/>
  <c r="AG110" i="16"/>
  <c r="Y117" i="18"/>
  <c r="V117" i="18"/>
  <c r="Z117" i="18"/>
  <c r="X117" i="18"/>
  <c r="W117" i="18"/>
  <c r="KD119" i="18"/>
  <c r="JY119" i="18"/>
  <c r="JT119" i="18"/>
  <c r="JO119" i="18"/>
  <c r="JJ119" i="18"/>
  <c r="JE119" i="18"/>
  <c r="IZ119" i="18"/>
  <c r="IU119" i="18"/>
  <c r="IP119" i="18"/>
  <c r="IK119" i="18"/>
  <c r="IF119" i="18"/>
  <c r="IA119" i="18"/>
  <c r="HV119" i="18"/>
  <c r="HQ119" i="18"/>
  <c r="HL119" i="18"/>
  <c r="HG119" i="18"/>
  <c r="HB119" i="18"/>
  <c r="GW119" i="18"/>
  <c r="GR119" i="18"/>
  <c r="N119" i="18"/>
  <c r="AP119" i="18" s="1"/>
  <c r="KG119" i="18"/>
  <c r="KA119" i="18"/>
  <c r="JU119" i="18"/>
  <c r="JM119" i="18"/>
  <c r="JG119" i="18"/>
  <c r="JA119" i="18"/>
  <c r="IS119" i="18"/>
  <c r="IM119" i="18"/>
  <c r="IG119" i="18"/>
  <c r="HY119" i="18"/>
  <c r="HS119" i="18"/>
  <c r="HM119" i="18"/>
  <c r="HE119" i="18"/>
  <c r="GY119" i="18"/>
  <c r="GS119" i="18"/>
  <c r="KF119" i="18"/>
  <c r="JZ119" i="18"/>
  <c r="JR119" i="18"/>
  <c r="JL119" i="18"/>
  <c r="JF119" i="18"/>
  <c r="IX119" i="18"/>
  <c r="IR119" i="18"/>
  <c r="IL119" i="18"/>
  <c r="ID119" i="18"/>
  <c r="HX119" i="18"/>
  <c r="HR119" i="18"/>
  <c r="HJ119" i="18"/>
  <c r="HD119" i="18"/>
  <c r="GX119" i="18"/>
  <c r="M119" i="18"/>
  <c r="K120" i="18"/>
  <c r="JV119" i="18"/>
  <c r="JH119" i="18"/>
  <c r="IV119" i="18"/>
  <c r="IH119" i="18"/>
  <c r="HT119" i="18"/>
  <c r="HH119" i="18"/>
  <c r="GT119" i="18"/>
  <c r="Q119" i="18"/>
  <c r="KB119" i="18"/>
  <c r="JP119" i="18"/>
  <c r="JB119" i="18"/>
  <c r="IN119" i="18"/>
  <c r="IB119" i="18"/>
  <c r="HN119" i="18"/>
  <c r="GZ119" i="18"/>
  <c r="JW119" i="18"/>
  <c r="JK119" i="18"/>
  <c r="IW119" i="18"/>
  <c r="II119" i="18"/>
  <c r="HW119" i="18"/>
  <c r="HI119" i="18"/>
  <c r="GU119" i="18"/>
  <c r="L119" i="18"/>
  <c r="BF119" i="18" s="1"/>
  <c r="KE119" i="18"/>
  <c r="JQ119" i="18"/>
  <c r="JC119" i="18"/>
  <c r="IQ119" i="18"/>
  <c r="IC119" i="18"/>
  <c r="HO119" i="18"/>
  <c r="HC119" i="18"/>
  <c r="P119" i="18"/>
  <c r="I119" i="18" a="1"/>
  <c r="I119" i="18" s="1"/>
  <c r="BF118" i="18"/>
  <c r="U118" i="18"/>
  <c r="A119" i="18" a="1"/>
  <c r="A119" i="18" s="1"/>
  <c r="C119" i="18"/>
  <c r="B120" i="18"/>
  <c r="CS114" i="16" l="1"/>
  <c r="CT114" i="16" s="1"/>
  <c r="CV114" i="16" s="1"/>
  <c r="CU115" i="16" s="1"/>
  <c r="AN110" i="16"/>
  <c r="AO109" i="16"/>
  <c r="AF112" i="16"/>
  <c r="AV112" i="16"/>
  <c r="AG111" i="16"/>
  <c r="AW111" i="16"/>
  <c r="KF120" i="18"/>
  <c r="KA120" i="18"/>
  <c r="JV120" i="18"/>
  <c r="JQ120" i="18"/>
  <c r="JL120" i="18"/>
  <c r="JG120" i="18"/>
  <c r="JB120" i="18"/>
  <c r="IW120" i="18"/>
  <c r="IR120" i="18"/>
  <c r="IM120" i="18"/>
  <c r="IH120" i="18"/>
  <c r="IC120" i="18"/>
  <c r="HX120" i="18"/>
  <c r="HS120" i="18"/>
  <c r="HN120" i="18"/>
  <c r="HI120" i="18"/>
  <c r="HD120" i="18"/>
  <c r="GY120" i="18"/>
  <c r="GT120" i="18"/>
  <c r="P120" i="18"/>
  <c r="L120" i="18"/>
  <c r="BF120" i="18" s="1"/>
  <c r="KE120" i="18"/>
  <c r="JY120" i="18"/>
  <c r="JR120" i="18"/>
  <c r="JK120" i="18"/>
  <c r="JE120" i="18"/>
  <c r="IX120" i="18"/>
  <c r="IQ120" i="18"/>
  <c r="IK120" i="18"/>
  <c r="ID120" i="18"/>
  <c r="HQ120" i="18"/>
  <c r="HJ120" i="18"/>
  <c r="HC120" i="18"/>
  <c r="GW120" i="18"/>
  <c r="K121" i="18"/>
  <c r="KB120" i="18"/>
  <c r="JU120" i="18"/>
  <c r="JO120" i="18"/>
  <c r="JH120" i="18"/>
  <c r="JA120" i="18"/>
  <c r="IU120" i="18"/>
  <c r="IN120" i="18"/>
  <c r="IG120" i="18"/>
  <c r="IA120" i="18"/>
  <c r="HT120" i="18"/>
  <c r="HM120" i="18"/>
  <c r="HG120" i="18"/>
  <c r="GZ120" i="18"/>
  <c r="GS120" i="18"/>
  <c r="KG120" i="18"/>
  <c r="JZ120" i="18"/>
  <c r="JT120" i="18"/>
  <c r="JM120" i="18"/>
  <c r="JF120" i="18"/>
  <c r="IZ120" i="18"/>
  <c r="IS120" i="18"/>
  <c r="IL120" i="18"/>
  <c r="IF120" i="18"/>
  <c r="HY120" i="18"/>
  <c r="HR120" i="18"/>
  <c r="HL120" i="18"/>
  <c r="HE120" i="18"/>
  <c r="GX120" i="18"/>
  <c r="GR120" i="18"/>
  <c r="N120" i="18"/>
  <c r="AP120" i="18" s="1"/>
  <c r="HW120" i="18"/>
  <c r="JW120" i="18"/>
  <c r="IV120" i="18"/>
  <c r="HV120" i="18"/>
  <c r="GU120" i="18"/>
  <c r="JJ120" i="18"/>
  <c r="II120" i="18"/>
  <c r="HH120" i="18"/>
  <c r="KD120" i="18"/>
  <c r="JC120" i="18"/>
  <c r="IB120" i="18"/>
  <c r="HB120" i="18"/>
  <c r="M120" i="18"/>
  <c r="JP120" i="18"/>
  <c r="IP120" i="18"/>
  <c r="HO120" i="18"/>
  <c r="Q120" i="18"/>
  <c r="B121" i="18"/>
  <c r="C120" i="18"/>
  <c r="A121" i="18" s="1" a="1"/>
  <c r="A121" i="18" s="1"/>
  <c r="U119" i="18"/>
  <c r="W118" i="18"/>
  <c r="V118" i="18"/>
  <c r="Z118" i="18"/>
  <c r="Y118" i="18"/>
  <c r="X118" i="18"/>
  <c r="I120" i="18" a="1"/>
  <c r="I120" i="18" s="1"/>
  <c r="A120" i="18" a="1"/>
  <c r="A120" i="18" s="1"/>
  <c r="I121" i="18" l="1" a="1"/>
  <c r="I121" i="18" s="1"/>
  <c r="CS115" i="16"/>
  <c r="CT115" i="16" s="1"/>
  <c r="CV115" i="16" s="1"/>
  <c r="CU116" i="16" s="1"/>
  <c r="AF113" i="16"/>
  <c r="AG112" i="16"/>
  <c r="AV113" i="16"/>
  <c r="AW112" i="16"/>
  <c r="AO110" i="16"/>
  <c r="AN111" i="16"/>
  <c r="Y119" i="18"/>
  <c r="W119" i="18"/>
  <c r="V119" i="18"/>
  <c r="Z119" i="18"/>
  <c r="X119" i="18"/>
  <c r="C121" i="18"/>
  <c r="B122" i="18"/>
  <c r="KD121" i="18"/>
  <c r="JY121" i="18"/>
  <c r="JT121" i="18"/>
  <c r="JO121" i="18"/>
  <c r="JJ121" i="18"/>
  <c r="JE121" i="18"/>
  <c r="IZ121" i="18"/>
  <c r="IU121" i="18"/>
  <c r="IP121" i="18"/>
  <c r="IK121" i="18"/>
  <c r="IF121" i="18"/>
  <c r="IA121" i="18"/>
  <c r="HV121" i="18"/>
  <c r="HQ121" i="18"/>
  <c r="HL121" i="18"/>
  <c r="HG121" i="18"/>
  <c r="HB121" i="18"/>
  <c r="GW121" i="18"/>
  <c r="GR121" i="18"/>
  <c r="N121" i="18"/>
  <c r="AP121" i="18" s="1"/>
  <c r="KF121" i="18"/>
  <c r="JZ121" i="18"/>
  <c r="JR121" i="18"/>
  <c r="JL121" i="18"/>
  <c r="JF121" i="18"/>
  <c r="IX121" i="18"/>
  <c r="IR121" i="18"/>
  <c r="IL121" i="18"/>
  <c r="ID121" i="18"/>
  <c r="HX121" i="18"/>
  <c r="HR121" i="18"/>
  <c r="HJ121" i="18"/>
  <c r="HD121" i="18"/>
  <c r="GX121" i="18"/>
  <c r="M121" i="18"/>
  <c r="K122" i="18"/>
  <c r="KB121" i="18"/>
  <c r="JV121" i="18"/>
  <c r="JP121" i="18"/>
  <c r="JH121" i="18"/>
  <c r="JB121" i="18"/>
  <c r="IV121" i="18"/>
  <c r="IN121" i="18"/>
  <c r="IH121" i="18"/>
  <c r="IB121" i="18"/>
  <c r="HT121" i="18"/>
  <c r="HN121" i="18"/>
  <c r="HH121" i="18"/>
  <c r="GZ121" i="18"/>
  <c r="GT121" i="18"/>
  <c r="P121" i="18"/>
  <c r="KG121" i="18"/>
  <c r="KA121" i="18"/>
  <c r="JU121" i="18"/>
  <c r="JM121" i="18"/>
  <c r="JG121" i="18"/>
  <c r="JA121" i="18"/>
  <c r="IS121" i="18"/>
  <c r="IM121" i="18"/>
  <c r="IG121" i="18"/>
  <c r="HY121" i="18"/>
  <c r="HS121" i="18"/>
  <c r="HM121" i="18"/>
  <c r="HE121" i="18"/>
  <c r="GY121" i="18"/>
  <c r="GS121" i="18"/>
  <c r="KE121" i="18"/>
  <c r="JC121" i="18"/>
  <c r="IC121" i="18"/>
  <c r="HC121" i="18"/>
  <c r="L121" i="18"/>
  <c r="BF121" i="18" s="1"/>
  <c r="JQ121" i="18"/>
  <c r="IQ121" i="18"/>
  <c r="HO121" i="18"/>
  <c r="Q121" i="18"/>
  <c r="JK121" i="18"/>
  <c r="II121" i="18"/>
  <c r="HI121" i="18"/>
  <c r="JW121" i="18"/>
  <c r="IW121" i="18"/>
  <c r="HW121" i="18"/>
  <c r="GU121" i="18"/>
  <c r="U120" i="18"/>
  <c r="CS116" i="16" l="1"/>
  <c r="CT116" i="16" s="1"/>
  <c r="CV116" i="16" s="1"/>
  <c r="CX80" i="16" s="1"/>
  <c r="AN112" i="16"/>
  <c r="AO111" i="16"/>
  <c r="AF114" i="16"/>
  <c r="AW113" i="16"/>
  <c r="AG113" i="16"/>
  <c r="AV114" i="16"/>
  <c r="I122" i="18" a="1"/>
  <c r="I122" i="18" s="1"/>
  <c r="U121" i="18"/>
  <c r="W120" i="18"/>
  <c r="X120" i="18"/>
  <c r="V120" i="18"/>
  <c r="Z120" i="18"/>
  <c r="Y120" i="18"/>
  <c r="K123" i="18"/>
  <c r="KG122" i="18"/>
  <c r="KB122" i="18"/>
  <c r="JW122" i="18"/>
  <c r="JR122" i="18"/>
  <c r="JM122" i="18"/>
  <c r="JH122" i="18"/>
  <c r="JC122" i="18"/>
  <c r="IX122" i="18"/>
  <c r="IS122" i="18"/>
  <c r="IN122" i="18"/>
  <c r="II122" i="18"/>
  <c r="ID122" i="18"/>
  <c r="HY122" i="18"/>
  <c r="HT122" i="18"/>
  <c r="HO122" i="18"/>
  <c r="HJ122" i="18"/>
  <c r="HE122" i="18"/>
  <c r="GZ122" i="18"/>
  <c r="GU122" i="18"/>
  <c r="P122" i="18"/>
  <c r="L122" i="18"/>
  <c r="KE122" i="18"/>
  <c r="JY122" i="18"/>
  <c r="JQ122" i="18"/>
  <c r="JK122" i="18"/>
  <c r="JE122" i="18"/>
  <c r="IW122" i="18"/>
  <c r="IQ122" i="18"/>
  <c r="IK122" i="18"/>
  <c r="IC122" i="18"/>
  <c r="HW122" i="18"/>
  <c r="HQ122" i="18"/>
  <c r="HI122" i="18"/>
  <c r="HC122" i="18"/>
  <c r="GW122" i="18"/>
  <c r="Q122" i="18"/>
  <c r="KD122" i="18"/>
  <c r="JV122" i="18"/>
  <c r="JP122" i="18"/>
  <c r="JJ122" i="18"/>
  <c r="JB122" i="18"/>
  <c r="IV122" i="18"/>
  <c r="IP122" i="18"/>
  <c r="IH122" i="18"/>
  <c r="IB122" i="18"/>
  <c r="HV122" i="18"/>
  <c r="HN122" i="18"/>
  <c r="HH122" i="18"/>
  <c r="HB122" i="18"/>
  <c r="GT122" i="18"/>
  <c r="KA122" i="18"/>
  <c r="JU122" i="18"/>
  <c r="JO122" i="18"/>
  <c r="JG122" i="18"/>
  <c r="JA122" i="18"/>
  <c r="IU122" i="18"/>
  <c r="IM122" i="18"/>
  <c r="IG122" i="18"/>
  <c r="IA122" i="18"/>
  <c r="HS122" i="18"/>
  <c r="HM122" i="18"/>
  <c r="HG122" i="18"/>
  <c r="GY122" i="18"/>
  <c r="GS122" i="18"/>
  <c r="N122" i="18"/>
  <c r="AP122" i="18" s="1"/>
  <c r="KF122" i="18"/>
  <c r="JF122" i="18"/>
  <c r="IF122" i="18"/>
  <c r="HD122" i="18"/>
  <c r="JT122" i="18"/>
  <c r="IR122" i="18"/>
  <c r="HR122" i="18"/>
  <c r="GR122" i="18"/>
  <c r="JL122" i="18"/>
  <c r="IL122" i="18"/>
  <c r="HL122" i="18"/>
  <c r="JZ122" i="18"/>
  <c r="IZ122" i="18"/>
  <c r="HX122" i="18"/>
  <c r="GX122" i="18"/>
  <c r="M122" i="18"/>
  <c r="C122" i="18"/>
  <c r="A123" i="18" s="1" a="1"/>
  <c r="A123" i="18" s="1"/>
  <c r="B123" i="18"/>
  <c r="A122" i="18" a="1"/>
  <c r="A122" i="18" s="1"/>
  <c r="BF122" i="18"/>
  <c r="CX104" i="16" l="1"/>
  <c r="CX83" i="16"/>
  <c r="CX95" i="16"/>
  <c r="CX92" i="16"/>
  <c r="CX94" i="16"/>
  <c r="CX112" i="16"/>
  <c r="DA80" i="16"/>
  <c r="CX111" i="16"/>
  <c r="CX84" i="16"/>
  <c r="CX97" i="16"/>
  <c r="CX116" i="16"/>
  <c r="CX102" i="16"/>
  <c r="CX106" i="16"/>
  <c r="CX81" i="16"/>
  <c r="CX98" i="16"/>
  <c r="CX82" i="16"/>
  <c r="CX103" i="16"/>
  <c r="CX114" i="16"/>
  <c r="CX108" i="16"/>
  <c r="CX86" i="16"/>
  <c r="CX107" i="16"/>
  <c r="CX87" i="16"/>
  <c r="CX99" i="16"/>
  <c r="CX113" i="16"/>
  <c r="CX93" i="16"/>
  <c r="CX105" i="16"/>
  <c r="CX90" i="16"/>
  <c r="CX101" i="16"/>
  <c r="CX100" i="16"/>
  <c r="CX85" i="16"/>
  <c r="CX110" i="16"/>
  <c r="CX91" i="16"/>
  <c r="CX109" i="16"/>
  <c r="CX88" i="16"/>
  <c r="CX96" i="16"/>
  <c r="CX115" i="16"/>
  <c r="CX89" i="16"/>
  <c r="AF115" i="16"/>
  <c r="AG114" i="16"/>
  <c r="AV115" i="16"/>
  <c r="AW114" i="16"/>
  <c r="AN113" i="16"/>
  <c r="AO112" i="16"/>
  <c r="KF123" i="18"/>
  <c r="KA123" i="18"/>
  <c r="JV123" i="18"/>
  <c r="JQ123" i="18"/>
  <c r="JL123" i="18"/>
  <c r="JG123" i="18"/>
  <c r="JB123" i="18"/>
  <c r="IW123" i="18"/>
  <c r="IR123" i="18"/>
  <c r="IM123" i="18"/>
  <c r="IH123" i="18"/>
  <c r="IC123" i="18"/>
  <c r="HX123" i="18"/>
  <c r="HS123" i="18"/>
  <c r="HN123" i="18"/>
  <c r="HI123" i="18"/>
  <c r="HD123" i="18"/>
  <c r="GY123" i="18"/>
  <c r="GT123" i="18"/>
  <c r="K124" i="18"/>
  <c r="KE123" i="18"/>
  <c r="JY123" i="18"/>
  <c r="JR123" i="18"/>
  <c r="JK123" i="18"/>
  <c r="JE123" i="18"/>
  <c r="IX123" i="18"/>
  <c r="IQ123" i="18"/>
  <c r="IK123" i="18"/>
  <c r="ID123" i="18"/>
  <c r="HW123" i="18"/>
  <c r="HQ123" i="18"/>
  <c r="HJ123" i="18"/>
  <c r="HC123" i="18"/>
  <c r="GW123" i="18"/>
  <c r="Q123" i="18"/>
  <c r="M123" i="18"/>
  <c r="KD123" i="18"/>
  <c r="JW123" i="18"/>
  <c r="JP123" i="18"/>
  <c r="JJ123" i="18"/>
  <c r="JC123" i="18"/>
  <c r="IV123" i="18"/>
  <c r="IP123" i="18"/>
  <c r="II123" i="18"/>
  <c r="IB123" i="18"/>
  <c r="HV123" i="18"/>
  <c r="HO123" i="18"/>
  <c r="HH123" i="18"/>
  <c r="HB123" i="18"/>
  <c r="GU123" i="18"/>
  <c r="P123" i="18"/>
  <c r="L123" i="18"/>
  <c r="I124" i="18" s="1" a="1"/>
  <c r="I124" i="18" s="1"/>
  <c r="KB123" i="18"/>
  <c r="JU123" i="18"/>
  <c r="JO123" i="18"/>
  <c r="JH123" i="18"/>
  <c r="JA123" i="18"/>
  <c r="IU123" i="18"/>
  <c r="IN123" i="18"/>
  <c r="IG123" i="18"/>
  <c r="IA123" i="18"/>
  <c r="HT123" i="18"/>
  <c r="HM123" i="18"/>
  <c r="HG123" i="18"/>
  <c r="GZ123" i="18"/>
  <c r="GS123" i="18"/>
  <c r="KG123" i="18"/>
  <c r="JF123" i="18"/>
  <c r="IF123" i="18"/>
  <c r="HE123" i="18"/>
  <c r="JT123" i="18"/>
  <c r="IS123" i="18"/>
  <c r="HR123" i="18"/>
  <c r="GR123" i="18"/>
  <c r="JM123" i="18"/>
  <c r="IL123" i="18"/>
  <c r="HL123" i="18"/>
  <c r="JZ123" i="18"/>
  <c r="IZ123" i="18"/>
  <c r="HY123" i="18"/>
  <c r="GX123" i="18"/>
  <c r="N123" i="18"/>
  <c r="AP123" i="18" s="1"/>
  <c r="B124" i="18"/>
  <c r="C123" i="18"/>
  <c r="I123" i="18" a="1"/>
  <c r="I123" i="18" s="1"/>
  <c r="U122" i="18"/>
  <c r="Y121" i="18"/>
  <c r="V121" i="18"/>
  <c r="X121" i="18"/>
  <c r="W121" i="18"/>
  <c r="Z121" i="18"/>
  <c r="BF123" i="18" l="1"/>
  <c r="CZ81" i="16"/>
  <c r="CY81" i="16" s="1"/>
  <c r="AO113" i="16"/>
  <c r="AN114" i="16"/>
  <c r="AW115" i="16"/>
  <c r="AF116" i="16"/>
  <c r="AV116" i="16"/>
  <c r="AG115" i="16"/>
  <c r="W122" i="18"/>
  <c r="Y122" i="18"/>
  <c r="X122" i="18"/>
  <c r="V122" i="18"/>
  <c r="Z122" i="18"/>
  <c r="B125" i="18"/>
  <c r="C124" i="18"/>
  <c r="A124" i="18" a="1"/>
  <c r="A124" i="18" s="1"/>
  <c r="U123" i="18"/>
  <c r="KE124" i="18"/>
  <c r="JZ124" i="18"/>
  <c r="JU124" i="18"/>
  <c r="JP124" i="18"/>
  <c r="JK124" i="18"/>
  <c r="JF124" i="18"/>
  <c r="JA124" i="18"/>
  <c r="IV124" i="18"/>
  <c r="IQ124" i="18"/>
  <c r="IL124" i="18"/>
  <c r="IG124" i="18"/>
  <c r="IB124" i="18"/>
  <c r="HW124" i="18"/>
  <c r="HR124" i="18"/>
  <c r="HM124" i="18"/>
  <c r="HH124" i="18"/>
  <c r="HC124" i="18"/>
  <c r="GX124" i="18"/>
  <c r="GS124" i="18"/>
  <c r="N124" i="18"/>
  <c r="AP124" i="18" s="1"/>
  <c r="KD124" i="18"/>
  <c r="JY124" i="18"/>
  <c r="JT124" i="18"/>
  <c r="JO124" i="18"/>
  <c r="JJ124" i="18"/>
  <c r="JE124" i="18"/>
  <c r="IZ124" i="18"/>
  <c r="IU124" i="18"/>
  <c r="IP124" i="18"/>
  <c r="IK124" i="18"/>
  <c r="IF124" i="18"/>
  <c r="KA124" i="18"/>
  <c r="JQ124" i="18"/>
  <c r="JG124" i="18"/>
  <c r="IW124" i="18"/>
  <c r="IM124" i="18"/>
  <c r="IC124" i="18"/>
  <c r="HV124" i="18"/>
  <c r="HO124" i="18"/>
  <c r="HI124" i="18"/>
  <c r="HB124" i="18"/>
  <c r="GU124" i="18"/>
  <c r="P124" i="18"/>
  <c r="KF124" i="18"/>
  <c r="JV124" i="18"/>
  <c r="JL124" i="18"/>
  <c r="JB124" i="18"/>
  <c r="IR124" i="18"/>
  <c r="IH124" i="18"/>
  <c r="HY124" i="18"/>
  <c r="HS124" i="18"/>
  <c r="HL124" i="18"/>
  <c r="HE124" i="18"/>
  <c r="GY124" i="18"/>
  <c r="GR124" i="18"/>
  <c r="M124" i="18"/>
  <c r="K125" i="18"/>
  <c r="KB124" i="18"/>
  <c r="JR124" i="18"/>
  <c r="JH124" i="18"/>
  <c r="IX124" i="18"/>
  <c r="IN124" i="18"/>
  <c r="ID124" i="18"/>
  <c r="HX124" i="18"/>
  <c r="HQ124" i="18"/>
  <c r="HJ124" i="18"/>
  <c r="HD124" i="18"/>
  <c r="GW124" i="18"/>
  <c r="Q124" i="18"/>
  <c r="L124" i="18"/>
  <c r="JC124" i="18"/>
  <c r="HT124" i="18"/>
  <c r="GT124" i="18"/>
  <c r="JW124" i="18"/>
  <c r="II124" i="18"/>
  <c r="HG124" i="18"/>
  <c r="JM124" i="18"/>
  <c r="IA124" i="18"/>
  <c r="GZ124" i="18"/>
  <c r="KG124" i="18"/>
  <c r="IS124" i="18"/>
  <c r="HN124" i="18"/>
  <c r="DA81" i="16" l="1"/>
  <c r="CZ82" i="16" s="1"/>
  <c r="CY82" i="16" s="1"/>
  <c r="DA82" i="16" s="1"/>
  <c r="CZ83" i="16" s="1"/>
  <c r="CY83" i="16" s="1"/>
  <c r="DA83" i="16" s="1"/>
  <c r="CZ84" i="16" s="1"/>
  <c r="CY84" i="16" s="1"/>
  <c r="DA84" i="16" s="1"/>
  <c r="CZ85" i="16" s="1"/>
  <c r="CY85" i="16" s="1"/>
  <c r="DA85" i="16" s="1"/>
  <c r="CZ86" i="16" s="1"/>
  <c r="CY86" i="16" s="1"/>
  <c r="DA86" i="16" s="1"/>
  <c r="CZ87" i="16" s="1"/>
  <c r="CY87" i="16" s="1"/>
  <c r="DA87" i="16" s="1"/>
  <c r="CZ88" i="16" s="1"/>
  <c r="CY88" i="16" s="1"/>
  <c r="DA88" i="16" s="1"/>
  <c r="CZ89" i="16" s="1"/>
  <c r="CY89" i="16" s="1"/>
  <c r="DA89" i="16" s="1"/>
  <c r="CZ90" i="16" s="1"/>
  <c r="CY90" i="16" s="1"/>
  <c r="DA90" i="16" s="1"/>
  <c r="CZ91" i="16" s="1"/>
  <c r="CY91" i="16" s="1"/>
  <c r="DA91" i="16" s="1"/>
  <c r="CZ92" i="16" s="1"/>
  <c r="CY92" i="16" s="1"/>
  <c r="DA92" i="16" s="1"/>
  <c r="CZ93" i="16" s="1"/>
  <c r="CY93" i="16" s="1"/>
  <c r="DA93" i="16" s="1"/>
  <c r="CZ94" i="16" s="1"/>
  <c r="CY94" i="16" s="1"/>
  <c r="DA94" i="16" s="1"/>
  <c r="CZ95" i="16" s="1"/>
  <c r="CY95" i="16" s="1"/>
  <c r="DA95" i="16" s="1"/>
  <c r="CZ96" i="16" s="1"/>
  <c r="CY96" i="16" s="1"/>
  <c r="DA96" i="16" s="1"/>
  <c r="CZ97" i="16" s="1"/>
  <c r="CY97" i="16" s="1"/>
  <c r="DA97" i="16" s="1"/>
  <c r="CZ98" i="16" s="1"/>
  <c r="CY98" i="16" s="1"/>
  <c r="DA98" i="16" s="1"/>
  <c r="CZ99" i="16" s="1"/>
  <c r="CY99" i="16" s="1"/>
  <c r="DA99" i="16" s="1"/>
  <c r="CZ100" i="16" s="1"/>
  <c r="CY100" i="16" s="1"/>
  <c r="DA100" i="16" s="1"/>
  <c r="AF117" i="16"/>
  <c r="AG116" i="16"/>
  <c r="AV117" i="16"/>
  <c r="AW116" i="16"/>
  <c r="AN115" i="16"/>
  <c r="AO114" i="16"/>
  <c r="I125" i="18" a="1"/>
  <c r="I125" i="18" s="1"/>
  <c r="BF124" i="18"/>
  <c r="KD125" i="18"/>
  <c r="JY125" i="18"/>
  <c r="JT125" i="18"/>
  <c r="JO125" i="18"/>
  <c r="JJ125" i="18"/>
  <c r="JE125" i="18"/>
  <c r="IZ125" i="18"/>
  <c r="IU125" i="18"/>
  <c r="IP125" i="18"/>
  <c r="IK125" i="18"/>
  <c r="IF125" i="18"/>
  <c r="IA125" i="18"/>
  <c r="HV125" i="18"/>
  <c r="HQ125" i="18"/>
  <c r="HL125" i="18"/>
  <c r="HG125" i="18"/>
  <c r="HB125" i="18"/>
  <c r="GW125" i="18"/>
  <c r="GR125" i="18"/>
  <c r="Q125" i="18"/>
  <c r="M125" i="18"/>
  <c r="K126" i="18"/>
  <c r="KG125" i="18"/>
  <c r="KB125" i="18"/>
  <c r="JW125" i="18"/>
  <c r="JR125" i="18"/>
  <c r="JM125" i="18"/>
  <c r="JH125" i="18"/>
  <c r="JC125" i="18"/>
  <c r="IX125" i="18"/>
  <c r="IS125" i="18"/>
  <c r="IN125" i="18"/>
  <c r="II125" i="18"/>
  <c r="ID125" i="18"/>
  <c r="HY125" i="18"/>
  <c r="HT125" i="18"/>
  <c r="HO125" i="18"/>
  <c r="HJ125" i="18"/>
  <c r="HE125" i="18"/>
  <c r="GZ125" i="18"/>
  <c r="GU125" i="18"/>
  <c r="P125" i="18"/>
  <c r="L125" i="18"/>
  <c r="BF125" i="18" s="1"/>
  <c r="JZ125" i="18"/>
  <c r="JP125" i="18"/>
  <c r="JF125" i="18"/>
  <c r="IV125" i="18"/>
  <c r="IL125" i="18"/>
  <c r="IB125" i="18"/>
  <c r="HR125" i="18"/>
  <c r="HH125" i="18"/>
  <c r="GX125" i="18"/>
  <c r="KE125" i="18"/>
  <c r="JU125" i="18"/>
  <c r="JK125" i="18"/>
  <c r="JA125" i="18"/>
  <c r="IQ125" i="18"/>
  <c r="IG125" i="18"/>
  <c r="HW125" i="18"/>
  <c r="HM125" i="18"/>
  <c r="HC125" i="18"/>
  <c r="GS125" i="18"/>
  <c r="N125" i="18"/>
  <c r="AP125" i="18" s="1"/>
  <c r="KA125" i="18"/>
  <c r="JQ125" i="18"/>
  <c r="JG125" i="18"/>
  <c r="IW125" i="18"/>
  <c r="IM125" i="18"/>
  <c r="IC125" i="18"/>
  <c r="HS125" i="18"/>
  <c r="HI125" i="18"/>
  <c r="GY125" i="18"/>
  <c r="JV125" i="18"/>
  <c r="IH125" i="18"/>
  <c r="GT125" i="18"/>
  <c r="JB125" i="18"/>
  <c r="HN125" i="18"/>
  <c r="KF125" i="18"/>
  <c r="IR125" i="18"/>
  <c r="HD125" i="18"/>
  <c r="JL125" i="18"/>
  <c r="HX125" i="18"/>
  <c r="B126" i="18"/>
  <c r="C125" i="18"/>
  <c r="A126" i="18" s="1" a="1"/>
  <c r="A126" i="18" s="1"/>
  <c r="Z123" i="18"/>
  <c r="V123" i="18"/>
  <c r="W123" i="18"/>
  <c r="Y123" i="18"/>
  <c r="X123" i="18"/>
  <c r="U124" i="18"/>
  <c r="A125" i="18" a="1"/>
  <c r="A125" i="18" s="1"/>
  <c r="DD81" i="16" l="1"/>
  <c r="CZ101" i="16"/>
  <c r="CY101" i="16" s="1"/>
  <c r="DA101" i="16" s="1"/>
  <c r="AO115" i="16"/>
  <c r="AN116" i="16"/>
  <c r="AW117" i="16"/>
  <c r="AG117" i="16"/>
  <c r="AV118" i="16"/>
  <c r="AF118" i="16"/>
  <c r="B127" i="18"/>
  <c r="C126" i="18"/>
  <c r="Y124" i="18"/>
  <c r="X124" i="18"/>
  <c r="V124" i="18"/>
  <c r="Z124" i="18"/>
  <c r="W124" i="18"/>
  <c r="U125" i="18"/>
  <c r="K127" i="18"/>
  <c r="KG126" i="18"/>
  <c r="KB126" i="18"/>
  <c r="JW126" i="18"/>
  <c r="JR126" i="18"/>
  <c r="JM126" i="18"/>
  <c r="JH126" i="18"/>
  <c r="JC126" i="18"/>
  <c r="IX126" i="18"/>
  <c r="IS126" i="18"/>
  <c r="IN126" i="18"/>
  <c r="II126" i="18"/>
  <c r="ID126" i="18"/>
  <c r="HY126" i="18"/>
  <c r="HT126" i="18"/>
  <c r="HO126" i="18"/>
  <c r="HJ126" i="18"/>
  <c r="HE126" i="18"/>
  <c r="GZ126" i="18"/>
  <c r="GU126" i="18"/>
  <c r="P126" i="18"/>
  <c r="L126" i="18"/>
  <c r="KF126" i="18"/>
  <c r="KA126" i="18"/>
  <c r="JV126" i="18"/>
  <c r="JQ126" i="18"/>
  <c r="JL126" i="18"/>
  <c r="JG126" i="18"/>
  <c r="JB126" i="18"/>
  <c r="IW126" i="18"/>
  <c r="IR126" i="18"/>
  <c r="IM126" i="18"/>
  <c r="IH126" i="18"/>
  <c r="IC126" i="18"/>
  <c r="HX126" i="18"/>
  <c r="HS126" i="18"/>
  <c r="HN126" i="18"/>
  <c r="HI126" i="18"/>
  <c r="HD126" i="18"/>
  <c r="GY126" i="18"/>
  <c r="GT126" i="18"/>
  <c r="KE126" i="18"/>
  <c r="JU126" i="18"/>
  <c r="JK126" i="18"/>
  <c r="JA126" i="18"/>
  <c r="IQ126" i="18"/>
  <c r="IG126" i="18"/>
  <c r="HW126" i="18"/>
  <c r="HM126" i="18"/>
  <c r="HC126" i="18"/>
  <c r="GS126" i="18"/>
  <c r="JZ126" i="18"/>
  <c r="JP126" i="18"/>
  <c r="JF126" i="18"/>
  <c r="IV126" i="18"/>
  <c r="IL126" i="18"/>
  <c r="IB126" i="18"/>
  <c r="HR126" i="18"/>
  <c r="HH126" i="18"/>
  <c r="GX126" i="18"/>
  <c r="M126" i="18"/>
  <c r="JY126" i="18"/>
  <c r="JO126" i="18"/>
  <c r="JE126" i="18"/>
  <c r="IU126" i="18"/>
  <c r="IK126" i="18"/>
  <c r="IA126" i="18"/>
  <c r="HQ126" i="18"/>
  <c r="HG126" i="18"/>
  <c r="GW126" i="18"/>
  <c r="Q126" i="18"/>
  <c r="JJ126" i="18"/>
  <c r="HV126" i="18"/>
  <c r="KD126" i="18"/>
  <c r="IP126" i="18"/>
  <c r="HB126" i="18"/>
  <c r="JT126" i="18"/>
  <c r="IF126" i="18"/>
  <c r="GR126" i="18"/>
  <c r="IZ126" i="18"/>
  <c r="HL126" i="18"/>
  <c r="N126" i="18"/>
  <c r="AP126" i="18" s="1"/>
  <c r="I126" i="18" a="1"/>
  <c r="I126" i="18" s="1"/>
  <c r="DF81" i="16" l="1"/>
  <c r="DE82" i="16" s="1"/>
  <c r="DC81" i="16"/>
  <c r="DC82" i="16" s="1"/>
  <c r="DC83" i="16" s="1"/>
  <c r="DC84" i="16" s="1"/>
  <c r="DC85" i="16" s="1"/>
  <c r="DC86" i="16" s="1"/>
  <c r="DC87" i="16" s="1"/>
  <c r="DC88" i="16" s="1"/>
  <c r="DC89" i="16" s="1"/>
  <c r="DC90" i="16" s="1"/>
  <c r="DC91" i="16" s="1"/>
  <c r="DC92" i="16" s="1"/>
  <c r="DC93" i="16" s="1"/>
  <c r="DC94" i="16" s="1"/>
  <c r="DC95" i="16" s="1"/>
  <c r="DC96" i="16" s="1"/>
  <c r="DC97" i="16" s="1"/>
  <c r="DC98" i="16" s="1"/>
  <c r="DC99" i="16" s="1"/>
  <c r="DC100" i="16" s="1"/>
  <c r="DC101" i="16" s="1"/>
  <c r="CZ102" i="16"/>
  <c r="CY102" i="16" s="1"/>
  <c r="DA102" i="16" s="1"/>
  <c r="AO116" i="16"/>
  <c r="AN117" i="16"/>
  <c r="AF119" i="16"/>
  <c r="AW118" i="16"/>
  <c r="AV119" i="16"/>
  <c r="AG118" i="16"/>
  <c r="I127" i="18" a="1"/>
  <c r="I127" i="18" s="1"/>
  <c r="X125" i="18"/>
  <c r="W125" i="18"/>
  <c r="Y125" i="18"/>
  <c r="V125" i="18"/>
  <c r="Z125" i="18"/>
  <c r="U126" i="18"/>
  <c r="A127" i="18" a="1"/>
  <c r="A127" i="18" s="1"/>
  <c r="B128" i="18"/>
  <c r="C127" i="18"/>
  <c r="KF127" i="18"/>
  <c r="KA127" i="18"/>
  <c r="JV127" i="18"/>
  <c r="JQ127" i="18"/>
  <c r="JL127" i="18"/>
  <c r="JG127" i="18"/>
  <c r="JB127" i="18"/>
  <c r="IW127" i="18"/>
  <c r="IR127" i="18"/>
  <c r="IM127" i="18"/>
  <c r="IH127" i="18"/>
  <c r="IC127" i="18"/>
  <c r="HX127" i="18"/>
  <c r="HS127" i="18"/>
  <c r="HN127" i="18"/>
  <c r="HI127" i="18"/>
  <c r="HD127" i="18"/>
  <c r="GY127" i="18"/>
  <c r="GT127" i="18"/>
  <c r="KE127" i="18"/>
  <c r="JZ127" i="18"/>
  <c r="JU127" i="18"/>
  <c r="JP127" i="18"/>
  <c r="JK127" i="18"/>
  <c r="JF127" i="18"/>
  <c r="JA127" i="18"/>
  <c r="IV127" i="18"/>
  <c r="IQ127" i="18"/>
  <c r="IL127" i="18"/>
  <c r="IG127" i="18"/>
  <c r="IB127" i="18"/>
  <c r="HW127" i="18"/>
  <c r="HR127" i="18"/>
  <c r="HM127" i="18"/>
  <c r="HH127" i="18"/>
  <c r="HC127" i="18"/>
  <c r="GX127" i="18"/>
  <c r="GS127" i="18"/>
  <c r="N127" i="18"/>
  <c r="AP127" i="18" s="1"/>
  <c r="K128" i="18"/>
  <c r="KB127" i="18"/>
  <c r="JR127" i="18"/>
  <c r="JH127" i="18"/>
  <c r="IX127" i="18"/>
  <c r="IN127" i="18"/>
  <c r="ID127" i="18"/>
  <c r="HT127" i="18"/>
  <c r="HJ127" i="18"/>
  <c r="GZ127" i="18"/>
  <c r="M127" i="18"/>
  <c r="KG127" i="18"/>
  <c r="JW127" i="18"/>
  <c r="JM127" i="18"/>
  <c r="JC127" i="18"/>
  <c r="IS127" i="18"/>
  <c r="II127" i="18"/>
  <c r="HY127" i="18"/>
  <c r="HO127" i="18"/>
  <c r="HE127" i="18"/>
  <c r="GU127" i="18"/>
  <c r="P127" i="18"/>
  <c r="KD127" i="18"/>
  <c r="JT127" i="18"/>
  <c r="JJ127" i="18"/>
  <c r="IZ127" i="18"/>
  <c r="IP127" i="18"/>
  <c r="IF127" i="18"/>
  <c r="HV127" i="18"/>
  <c r="HL127" i="18"/>
  <c r="HB127" i="18"/>
  <c r="GR127" i="18"/>
  <c r="JO127" i="18"/>
  <c r="IA127" i="18"/>
  <c r="L127" i="18"/>
  <c r="I128" i="18" s="1" a="1"/>
  <c r="I128" i="18" s="1"/>
  <c r="IU127" i="18"/>
  <c r="HG127" i="18"/>
  <c r="Q127" i="18"/>
  <c r="JY127" i="18"/>
  <c r="IK127" i="18"/>
  <c r="GW127" i="18"/>
  <c r="JE127" i="18"/>
  <c r="HQ127" i="18"/>
  <c r="BF126" i="18"/>
  <c r="DD82" i="16" l="1"/>
  <c r="DF82" i="16" s="1"/>
  <c r="DE83" i="16" s="1"/>
  <c r="DD83" i="16" s="1"/>
  <c r="DF83" i="16" s="1"/>
  <c r="DE84" i="16" s="1"/>
  <c r="DD84" i="16" s="1"/>
  <c r="DF84" i="16" s="1"/>
  <c r="DE85" i="16" s="1"/>
  <c r="DD85" i="16" s="1"/>
  <c r="DF85" i="16" s="1"/>
  <c r="DE86" i="16" s="1"/>
  <c r="DD86" i="16" s="1"/>
  <c r="DF86" i="16" s="1"/>
  <c r="DE87" i="16" s="1"/>
  <c r="DD87" i="16" s="1"/>
  <c r="DF87" i="16" s="1"/>
  <c r="DE88" i="16" s="1"/>
  <c r="DD88" i="16" s="1"/>
  <c r="DF88" i="16" s="1"/>
  <c r="DE89" i="16" s="1"/>
  <c r="DD89" i="16" s="1"/>
  <c r="DF89" i="16" s="1"/>
  <c r="DE90" i="16" s="1"/>
  <c r="DD90" i="16" s="1"/>
  <c r="DF90" i="16" s="1"/>
  <c r="DE91" i="16" s="1"/>
  <c r="DD91" i="16" s="1"/>
  <c r="DF91" i="16" s="1"/>
  <c r="DE92" i="16" s="1"/>
  <c r="DD92" i="16" s="1"/>
  <c r="DF92" i="16" s="1"/>
  <c r="DE93" i="16" s="1"/>
  <c r="DD93" i="16" s="1"/>
  <c r="DF93" i="16" s="1"/>
  <c r="DE94" i="16" s="1"/>
  <c r="DD94" i="16" s="1"/>
  <c r="DF94" i="16" s="1"/>
  <c r="DE95" i="16" s="1"/>
  <c r="DD95" i="16" s="1"/>
  <c r="DF95" i="16" s="1"/>
  <c r="DE96" i="16" s="1"/>
  <c r="DD96" i="16" s="1"/>
  <c r="DF96" i="16" s="1"/>
  <c r="CZ103" i="16"/>
  <c r="CY103" i="16" s="1"/>
  <c r="DA103" i="16" s="1"/>
  <c r="DC102" i="16"/>
  <c r="AF120" i="16"/>
  <c r="AW119" i="16"/>
  <c r="AG119" i="16"/>
  <c r="AV120" i="16"/>
  <c r="AO117" i="16"/>
  <c r="AN118" i="16"/>
  <c r="BF127" i="18"/>
  <c r="U127" i="18"/>
  <c r="KE128" i="18"/>
  <c r="JZ128" i="18"/>
  <c r="JU128" i="18"/>
  <c r="JP128" i="18"/>
  <c r="JK128" i="18"/>
  <c r="JF128" i="18"/>
  <c r="JA128" i="18"/>
  <c r="IV128" i="18"/>
  <c r="IQ128" i="18"/>
  <c r="IL128" i="18"/>
  <c r="IG128" i="18"/>
  <c r="IB128" i="18"/>
  <c r="HW128" i="18"/>
  <c r="HR128" i="18"/>
  <c r="HM128" i="18"/>
  <c r="HH128" i="18"/>
  <c r="HC128" i="18"/>
  <c r="GX128" i="18"/>
  <c r="GS128" i="18"/>
  <c r="N128" i="18"/>
  <c r="AP128" i="18" s="1"/>
  <c r="KD128" i="18"/>
  <c r="JY128" i="18"/>
  <c r="JT128" i="18"/>
  <c r="JO128" i="18"/>
  <c r="JJ128" i="18"/>
  <c r="JE128" i="18"/>
  <c r="IZ128" i="18"/>
  <c r="IU128" i="18"/>
  <c r="IP128" i="18"/>
  <c r="IK128" i="18"/>
  <c r="IF128" i="18"/>
  <c r="IA128" i="18"/>
  <c r="HV128" i="18"/>
  <c r="HQ128" i="18"/>
  <c r="HL128" i="18"/>
  <c r="HG128" i="18"/>
  <c r="HB128" i="18"/>
  <c r="GW128" i="18"/>
  <c r="GR128" i="18"/>
  <c r="Q128" i="18"/>
  <c r="M128" i="18"/>
  <c r="KA128" i="18"/>
  <c r="JQ128" i="18"/>
  <c r="JG128" i="18"/>
  <c r="IW128" i="18"/>
  <c r="IM128" i="18"/>
  <c r="IC128" i="18"/>
  <c r="HS128" i="18"/>
  <c r="HI128" i="18"/>
  <c r="GY128" i="18"/>
  <c r="KF128" i="18"/>
  <c r="JV128" i="18"/>
  <c r="JL128" i="18"/>
  <c r="JB128" i="18"/>
  <c r="IR128" i="18"/>
  <c r="IH128" i="18"/>
  <c r="HX128" i="18"/>
  <c r="HN128" i="18"/>
  <c r="HD128" i="18"/>
  <c r="GT128" i="18"/>
  <c r="K129" i="18"/>
  <c r="KB128" i="18"/>
  <c r="JR128" i="18"/>
  <c r="JH128" i="18"/>
  <c r="IX128" i="18"/>
  <c r="IN128" i="18"/>
  <c r="ID128" i="18"/>
  <c r="HT128" i="18"/>
  <c r="HJ128" i="18"/>
  <c r="GZ128" i="18"/>
  <c r="L128" i="18"/>
  <c r="BF128" i="18" s="1"/>
  <c r="JW128" i="18"/>
  <c r="II128" i="18"/>
  <c r="GU128" i="18"/>
  <c r="JC128" i="18"/>
  <c r="HO128" i="18"/>
  <c r="KG128" i="18"/>
  <c r="IS128" i="18"/>
  <c r="HE128" i="18"/>
  <c r="P128" i="18"/>
  <c r="JM128" i="18"/>
  <c r="HY128" i="18"/>
  <c r="B129" i="18"/>
  <c r="C128" i="18"/>
  <c r="A129" i="18" s="1" a="1"/>
  <c r="A129" i="18" s="1"/>
  <c r="W126" i="18"/>
  <c r="Z126" i="18"/>
  <c r="V126" i="18"/>
  <c r="Y126" i="18"/>
  <c r="X126" i="18"/>
  <c r="A128" i="18" a="1"/>
  <c r="A128" i="18" s="1"/>
  <c r="I129" i="18" a="1"/>
  <c r="I129" i="18" s="1"/>
  <c r="DE97" i="16" l="1"/>
  <c r="DD97" i="16" s="1"/>
  <c r="DF97" i="16" s="1"/>
  <c r="CZ104" i="16"/>
  <c r="CY104" i="16" s="1"/>
  <c r="DA104" i="16" s="1"/>
  <c r="DC103" i="16"/>
  <c r="AN119" i="16"/>
  <c r="AO118" i="16"/>
  <c r="AG120" i="16"/>
  <c r="AW120" i="16"/>
  <c r="AV121" i="16"/>
  <c r="AF121" i="16"/>
  <c r="DB129" i="18"/>
  <c r="GL129" i="18"/>
  <c r="GB129" i="18"/>
  <c r="FR129" i="18"/>
  <c r="FH129" i="18"/>
  <c r="EX129" i="18"/>
  <c r="EN129" i="18"/>
  <c r="ED129" i="18"/>
  <c r="DT129" i="18"/>
  <c r="DJ129" i="18"/>
  <c r="CZ129" i="18"/>
  <c r="F129" i="18"/>
  <c r="B130" i="18"/>
  <c r="GM129" i="18"/>
  <c r="G129" i="18" s="1"/>
  <c r="GC129" i="18"/>
  <c r="FS129" i="18"/>
  <c r="FI129" i="18"/>
  <c r="EY129" i="18"/>
  <c r="EO129" i="18"/>
  <c r="EE129" i="18"/>
  <c r="DU129" i="18"/>
  <c r="DK129" i="18"/>
  <c r="DA129" i="18"/>
  <c r="C129" i="18"/>
  <c r="U128" i="18"/>
  <c r="Z127" i="18"/>
  <c r="V127" i="18"/>
  <c r="Y127" i="18"/>
  <c r="W127" i="18"/>
  <c r="X127" i="18"/>
  <c r="KD129" i="18"/>
  <c r="JY129" i="18"/>
  <c r="JT129" i="18"/>
  <c r="JO129" i="18"/>
  <c r="JJ129" i="18"/>
  <c r="JE129" i="18"/>
  <c r="IZ129" i="18"/>
  <c r="IU129" i="18"/>
  <c r="IP129" i="18"/>
  <c r="IK129" i="18"/>
  <c r="IF129" i="18"/>
  <c r="IA129" i="18"/>
  <c r="HV129" i="18"/>
  <c r="HQ129" i="18"/>
  <c r="HL129" i="18"/>
  <c r="HG129" i="18"/>
  <c r="HB129" i="18"/>
  <c r="GW129" i="18"/>
  <c r="GR129" i="18"/>
  <c r="Q129" i="18"/>
  <c r="M129" i="18"/>
  <c r="K130" i="18"/>
  <c r="KG129" i="18"/>
  <c r="KB129" i="18"/>
  <c r="JW129" i="18"/>
  <c r="JR129" i="18"/>
  <c r="JM129" i="18"/>
  <c r="JH129" i="18"/>
  <c r="JC129" i="18"/>
  <c r="IX129" i="18"/>
  <c r="IS129" i="18"/>
  <c r="IN129" i="18"/>
  <c r="II129" i="18"/>
  <c r="ID129" i="18"/>
  <c r="HY129" i="18"/>
  <c r="HT129" i="18"/>
  <c r="HO129" i="18"/>
  <c r="HJ129" i="18"/>
  <c r="HE129" i="18"/>
  <c r="GZ129" i="18"/>
  <c r="GU129" i="18"/>
  <c r="P129" i="18"/>
  <c r="L129" i="18"/>
  <c r="JZ129" i="18"/>
  <c r="JP129" i="18"/>
  <c r="JF129" i="18"/>
  <c r="IV129" i="18"/>
  <c r="IL129" i="18"/>
  <c r="IB129" i="18"/>
  <c r="HR129" i="18"/>
  <c r="GX129" i="18"/>
  <c r="KE129" i="18"/>
  <c r="JU129" i="18"/>
  <c r="JK129" i="18"/>
  <c r="JA129" i="18"/>
  <c r="IQ129" i="18"/>
  <c r="IG129" i="18"/>
  <c r="HW129" i="18"/>
  <c r="HM129" i="18"/>
  <c r="HC129" i="18"/>
  <c r="GS129" i="18"/>
  <c r="N129" i="18"/>
  <c r="AP129" i="18" s="1"/>
  <c r="KA129" i="18"/>
  <c r="JQ129" i="18"/>
  <c r="JG129" i="18"/>
  <c r="IW129" i="18"/>
  <c r="IM129" i="18"/>
  <c r="IC129" i="18"/>
  <c r="HS129" i="18"/>
  <c r="HI129" i="18"/>
  <c r="GY129" i="18"/>
  <c r="HH129" i="18"/>
  <c r="JB129" i="18"/>
  <c r="HN129" i="18"/>
  <c r="JV129" i="18"/>
  <c r="IH129" i="18"/>
  <c r="GT129" i="18"/>
  <c r="JL129" i="18"/>
  <c r="HX129" i="18"/>
  <c r="KF129" i="18"/>
  <c r="IR129" i="18"/>
  <c r="HD129" i="18"/>
  <c r="DE98" i="16" l="1"/>
  <c r="DD98" i="16" s="1"/>
  <c r="DF98" i="16" s="1"/>
  <c r="DE99" i="16" s="1"/>
  <c r="DD99" i="16" s="1"/>
  <c r="DF99" i="16" s="1"/>
  <c r="DE100" i="16" s="1"/>
  <c r="DD100" i="16" s="1"/>
  <c r="DF100" i="16" s="1"/>
  <c r="DE101" i="16" s="1"/>
  <c r="DD101" i="16" s="1"/>
  <c r="DF101" i="16" s="1"/>
  <c r="DE102" i="16" s="1"/>
  <c r="DD102" i="16" s="1"/>
  <c r="DF102" i="16" s="1"/>
  <c r="DE103" i="16" s="1"/>
  <c r="DD103" i="16" s="1"/>
  <c r="DF103" i="16" s="1"/>
  <c r="CZ105" i="16"/>
  <c r="CY105" i="16" s="1"/>
  <c r="DA105" i="16" s="1"/>
  <c r="DC104" i="16"/>
  <c r="AG121" i="16"/>
  <c r="AV122" i="16"/>
  <c r="AF122" i="16"/>
  <c r="AW121" i="16"/>
  <c r="AN120" i="16"/>
  <c r="AO119" i="16"/>
  <c r="U129" i="18"/>
  <c r="A130" i="18" a="1"/>
  <c r="A130" i="18" s="1"/>
  <c r="Y128" i="18"/>
  <c r="X128" i="18"/>
  <c r="V128" i="18"/>
  <c r="Z128" i="18"/>
  <c r="W128" i="18"/>
  <c r="I130" i="18" a="1"/>
  <c r="I130" i="18" s="1"/>
  <c r="DB130" i="18"/>
  <c r="B131" i="18"/>
  <c r="GM130" i="18"/>
  <c r="G130" i="18" s="1"/>
  <c r="GC130" i="18"/>
  <c r="FS130" i="18"/>
  <c r="FI130" i="18"/>
  <c r="EY130" i="18"/>
  <c r="EO130" i="18"/>
  <c r="EE130" i="18"/>
  <c r="DU130" i="18"/>
  <c r="DK130" i="18"/>
  <c r="DA130" i="18"/>
  <c r="C130" i="18"/>
  <c r="GB130" i="18"/>
  <c r="FR130" i="18"/>
  <c r="FH130" i="18"/>
  <c r="EX130" i="18"/>
  <c r="EN130" i="18"/>
  <c r="ED130" i="18"/>
  <c r="DT130" i="18"/>
  <c r="DJ130" i="18"/>
  <c r="CZ130" i="18"/>
  <c r="K131" i="18"/>
  <c r="KG130" i="18"/>
  <c r="KB130" i="18"/>
  <c r="JW130" i="18"/>
  <c r="JR130" i="18"/>
  <c r="JM130" i="18"/>
  <c r="JH130" i="18"/>
  <c r="JC130" i="18"/>
  <c r="IX130" i="18"/>
  <c r="IS130" i="18"/>
  <c r="IN130" i="18"/>
  <c r="II130" i="18"/>
  <c r="ID130" i="18"/>
  <c r="HY130" i="18"/>
  <c r="HT130" i="18"/>
  <c r="HO130" i="18"/>
  <c r="HJ130" i="18"/>
  <c r="HE130" i="18"/>
  <c r="GZ130" i="18"/>
  <c r="GU130" i="18"/>
  <c r="P130" i="18"/>
  <c r="L130" i="18"/>
  <c r="KF130" i="18"/>
  <c r="KA130" i="18"/>
  <c r="JV130" i="18"/>
  <c r="JQ130" i="18"/>
  <c r="JL130" i="18"/>
  <c r="JG130" i="18"/>
  <c r="JB130" i="18"/>
  <c r="IW130" i="18"/>
  <c r="IR130" i="18"/>
  <c r="IM130" i="18"/>
  <c r="IH130" i="18"/>
  <c r="IC130" i="18"/>
  <c r="HX130" i="18"/>
  <c r="HS130" i="18"/>
  <c r="HN130" i="18"/>
  <c r="HI130" i="18"/>
  <c r="HD130" i="18"/>
  <c r="GY130" i="18"/>
  <c r="GT130" i="18"/>
  <c r="KE130" i="18"/>
  <c r="JU130" i="18"/>
  <c r="JK130" i="18"/>
  <c r="JA130" i="18"/>
  <c r="IQ130" i="18"/>
  <c r="IG130" i="18"/>
  <c r="HW130" i="18"/>
  <c r="HM130" i="18"/>
  <c r="HC130" i="18"/>
  <c r="GS130" i="18"/>
  <c r="JZ130" i="18"/>
  <c r="JP130" i="18"/>
  <c r="JF130" i="18"/>
  <c r="IV130" i="18"/>
  <c r="IL130" i="18"/>
  <c r="IB130" i="18"/>
  <c r="HR130" i="18"/>
  <c r="HH130" i="18"/>
  <c r="GX130" i="18"/>
  <c r="M130" i="18"/>
  <c r="JY130" i="18"/>
  <c r="JO130" i="18"/>
  <c r="JE130" i="18"/>
  <c r="IU130" i="18"/>
  <c r="IK130" i="18"/>
  <c r="IA130" i="18"/>
  <c r="HQ130" i="18"/>
  <c r="HG130" i="18"/>
  <c r="GW130" i="18"/>
  <c r="Q130" i="18"/>
  <c r="KD130" i="18"/>
  <c r="IP130" i="18"/>
  <c r="HB130" i="18"/>
  <c r="JJ130" i="18"/>
  <c r="HV130" i="18"/>
  <c r="IZ130" i="18"/>
  <c r="HL130" i="18"/>
  <c r="N130" i="18"/>
  <c r="AP130" i="18" s="1"/>
  <c r="JT130" i="18"/>
  <c r="IF130" i="18"/>
  <c r="GR130" i="18"/>
  <c r="BF129" i="18"/>
  <c r="DE104" i="16" l="1"/>
  <c r="DD104" i="16" s="1"/>
  <c r="DF104" i="16" s="1"/>
  <c r="CZ106" i="16"/>
  <c r="CY106" i="16" s="1"/>
  <c r="DA106" i="16" s="1"/>
  <c r="DC105" i="16"/>
  <c r="AN121" i="16"/>
  <c r="AO120" i="16"/>
  <c r="AW122" i="16"/>
  <c r="AF123" i="16"/>
  <c r="AV123" i="16"/>
  <c r="AG122" i="16"/>
  <c r="A131" i="18" a="1"/>
  <c r="A131" i="18" s="1"/>
  <c r="U130" i="18"/>
  <c r="I131" i="18" a="1"/>
  <c r="I131" i="18" s="1"/>
  <c r="X129" i="18"/>
  <c r="W129" i="18"/>
  <c r="Y129" i="18"/>
  <c r="V129" i="18"/>
  <c r="Z129" i="18"/>
  <c r="BF130" i="18"/>
  <c r="KF131" i="18"/>
  <c r="KA131" i="18"/>
  <c r="JV131" i="18"/>
  <c r="JQ131" i="18"/>
  <c r="JL131" i="18"/>
  <c r="JG131" i="18"/>
  <c r="JB131" i="18"/>
  <c r="IW131" i="18"/>
  <c r="IR131" i="18"/>
  <c r="IM131" i="18"/>
  <c r="IH131" i="18"/>
  <c r="IC131" i="18"/>
  <c r="HX131" i="18"/>
  <c r="HS131" i="18"/>
  <c r="HN131" i="18"/>
  <c r="HI131" i="18"/>
  <c r="HD131" i="18"/>
  <c r="GY131" i="18"/>
  <c r="GT131" i="18"/>
  <c r="KE131" i="18"/>
  <c r="JZ131" i="18"/>
  <c r="JU131" i="18"/>
  <c r="JP131" i="18"/>
  <c r="JK131" i="18"/>
  <c r="JF131" i="18"/>
  <c r="JA131" i="18"/>
  <c r="IV131" i="18"/>
  <c r="IQ131" i="18"/>
  <c r="IL131" i="18"/>
  <c r="IG131" i="18"/>
  <c r="IB131" i="18"/>
  <c r="HW131" i="18"/>
  <c r="HR131" i="18"/>
  <c r="HM131" i="18"/>
  <c r="HH131" i="18"/>
  <c r="HC131" i="18"/>
  <c r="GX131" i="18"/>
  <c r="GS131" i="18"/>
  <c r="N131" i="18"/>
  <c r="AP131" i="18" s="1"/>
  <c r="K132" i="18"/>
  <c r="KB131" i="18"/>
  <c r="JR131" i="18"/>
  <c r="JH131" i="18"/>
  <c r="IX131" i="18"/>
  <c r="IN131" i="18"/>
  <c r="ID131" i="18"/>
  <c r="HT131" i="18"/>
  <c r="HJ131" i="18"/>
  <c r="GZ131" i="18"/>
  <c r="M131" i="18"/>
  <c r="KG131" i="18"/>
  <c r="JW131" i="18"/>
  <c r="JM131" i="18"/>
  <c r="JC131" i="18"/>
  <c r="IS131" i="18"/>
  <c r="II131" i="18"/>
  <c r="HY131" i="18"/>
  <c r="HO131" i="18"/>
  <c r="HE131" i="18"/>
  <c r="GU131" i="18"/>
  <c r="P131" i="18"/>
  <c r="KD131" i="18"/>
  <c r="JT131" i="18"/>
  <c r="JJ131" i="18"/>
  <c r="IZ131" i="18"/>
  <c r="IP131" i="18"/>
  <c r="IF131" i="18"/>
  <c r="HV131" i="18"/>
  <c r="HL131" i="18"/>
  <c r="HB131" i="18"/>
  <c r="GR131" i="18"/>
  <c r="IU131" i="18"/>
  <c r="HG131" i="18"/>
  <c r="Q131" i="18"/>
  <c r="JO131" i="18"/>
  <c r="IA131" i="18"/>
  <c r="L131" i="18"/>
  <c r="JE131" i="18"/>
  <c r="HQ131" i="18"/>
  <c r="JY131" i="18"/>
  <c r="IK131" i="18"/>
  <c r="GW131" i="18"/>
  <c r="B132" i="18"/>
  <c r="GM131" i="18"/>
  <c r="G131" i="18" s="1"/>
  <c r="GC131" i="18"/>
  <c r="FS131" i="18"/>
  <c r="FI131" i="18"/>
  <c r="EY131" i="18"/>
  <c r="EO131" i="18"/>
  <c r="EE131" i="18"/>
  <c r="DU131" i="18"/>
  <c r="DK131" i="18"/>
  <c r="DA131" i="18"/>
  <c r="C131" i="18"/>
  <c r="GL131" i="18"/>
  <c r="GB131" i="18"/>
  <c r="FR131" i="18"/>
  <c r="FH131" i="18"/>
  <c r="EX131" i="18"/>
  <c r="EN131" i="18"/>
  <c r="ED131" i="18"/>
  <c r="DT131" i="18"/>
  <c r="DJ131" i="18"/>
  <c r="CZ131" i="18"/>
  <c r="F131" i="18"/>
  <c r="DB131" i="18"/>
  <c r="DE105" i="16" l="1"/>
  <c r="DD105" i="16" s="1"/>
  <c r="DF105" i="16" s="1"/>
  <c r="DC106" i="16"/>
  <c r="CZ107" i="16"/>
  <c r="CY107" i="16" s="1"/>
  <c r="DA107" i="16" s="1"/>
  <c r="AN122" i="16"/>
  <c r="AO121" i="16"/>
  <c r="AV124" i="16"/>
  <c r="AW123" i="16"/>
  <c r="AF124" i="16"/>
  <c r="AG123" i="16"/>
  <c r="U131" i="18"/>
  <c r="KE132" i="18"/>
  <c r="JZ132" i="18"/>
  <c r="JU132" i="18"/>
  <c r="JP132" i="18"/>
  <c r="JK132" i="18"/>
  <c r="JF132" i="18"/>
  <c r="JA132" i="18"/>
  <c r="IV132" i="18"/>
  <c r="IQ132" i="18"/>
  <c r="IL132" i="18"/>
  <c r="IG132" i="18"/>
  <c r="IB132" i="18"/>
  <c r="HW132" i="18"/>
  <c r="HR132" i="18"/>
  <c r="HM132" i="18"/>
  <c r="HH132" i="18"/>
  <c r="HC132" i="18"/>
  <c r="GX132" i="18"/>
  <c r="GS132" i="18"/>
  <c r="N132" i="18"/>
  <c r="AP132" i="18" s="1"/>
  <c r="KD132" i="18"/>
  <c r="JY132" i="18"/>
  <c r="JT132" i="18"/>
  <c r="JO132" i="18"/>
  <c r="JJ132" i="18"/>
  <c r="JE132" i="18"/>
  <c r="IZ132" i="18"/>
  <c r="IU132" i="18"/>
  <c r="IP132" i="18"/>
  <c r="IK132" i="18"/>
  <c r="IF132" i="18"/>
  <c r="IA132" i="18"/>
  <c r="HV132" i="18"/>
  <c r="HQ132" i="18"/>
  <c r="HL132" i="18"/>
  <c r="HG132" i="18"/>
  <c r="HB132" i="18"/>
  <c r="GW132" i="18"/>
  <c r="GR132" i="18"/>
  <c r="Q132" i="18"/>
  <c r="M132" i="18"/>
  <c r="KA132" i="18"/>
  <c r="JQ132" i="18"/>
  <c r="JG132" i="18"/>
  <c r="IW132" i="18"/>
  <c r="IM132" i="18"/>
  <c r="IC132" i="18"/>
  <c r="HS132" i="18"/>
  <c r="HI132" i="18"/>
  <c r="GY132" i="18"/>
  <c r="KF132" i="18"/>
  <c r="JV132" i="18"/>
  <c r="JL132" i="18"/>
  <c r="JB132" i="18"/>
  <c r="IR132" i="18"/>
  <c r="IH132" i="18"/>
  <c r="HX132" i="18"/>
  <c r="HN132" i="18"/>
  <c r="HD132" i="18"/>
  <c r="GT132" i="18"/>
  <c r="K133" i="18"/>
  <c r="KB132" i="18"/>
  <c r="JR132" i="18"/>
  <c r="JH132" i="18"/>
  <c r="IX132" i="18"/>
  <c r="IN132" i="18"/>
  <c r="ID132" i="18"/>
  <c r="HT132" i="18"/>
  <c r="HJ132" i="18"/>
  <c r="GZ132" i="18"/>
  <c r="L132" i="18"/>
  <c r="BF132" i="18" s="1"/>
  <c r="JC132" i="18"/>
  <c r="HO132" i="18"/>
  <c r="JW132" i="18"/>
  <c r="II132" i="18"/>
  <c r="GU132" i="18"/>
  <c r="JM132" i="18"/>
  <c r="HY132" i="18"/>
  <c r="KG132" i="18"/>
  <c r="IS132" i="18"/>
  <c r="HE132" i="18"/>
  <c r="P132" i="18"/>
  <c r="I132" i="18" a="1"/>
  <c r="I132" i="18" s="1"/>
  <c r="GL132" i="18"/>
  <c r="GB132" i="18"/>
  <c r="FR132" i="18"/>
  <c r="FH132" i="18"/>
  <c r="EX132" i="18"/>
  <c r="EN132" i="18"/>
  <c r="ED132" i="18"/>
  <c r="DT132" i="18"/>
  <c r="DJ132" i="18"/>
  <c r="CZ132" i="18"/>
  <c r="F132" i="18"/>
  <c r="B133" i="18"/>
  <c r="GM132" i="18"/>
  <c r="G132" i="18" s="1"/>
  <c r="GC132" i="18"/>
  <c r="FS132" i="18"/>
  <c r="FI132" i="18"/>
  <c r="EY132" i="18"/>
  <c r="EO132" i="18"/>
  <c r="EE132" i="18"/>
  <c r="DU132" i="18"/>
  <c r="DK132" i="18"/>
  <c r="DA132" i="18"/>
  <c r="C132" i="18"/>
  <c r="DB132" i="18"/>
  <c r="BF131" i="18"/>
  <c r="W130" i="18"/>
  <c r="Z130" i="18"/>
  <c r="V130" i="18"/>
  <c r="Y130" i="18"/>
  <c r="X130" i="18"/>
  <c r="A132" i="18" a="1"/>
  <c r="A132" i="18" s="1"/>
  <c r="CZ108" i="16" l="1"/>
  <c r="CY108" i="16" s="1"/>
  <c r="DA108" i="16" s="1"/>
  <c r="DE106" i="16"/>
  <c r="DD106" i="16" s="1"/>
  <c r="DF106" i="16" s="1"/>
  <c r="DC107" i="16"/>
  <c r="AF125" i="16"/>
  <c r="AG124" i="16"/>
  <c r="AV125" i="16"/>
  <c r="AW124" i="16"/>
  <c r="AN123" i="16"/>
  <c r="AO122" i="16"/>
  <c r="U132" i="18"/>
  <c r="KD133" i="18"/>
  <c r="JY133" i="18"/>
  <c r="JT133" i="18"/>
  <c r="JO133" i="18"/>
  <c r="JJ133" i="18"/>
  <c r="JE133" i="18"/>
  <c r="IZ133" i="18"/>
  <c r="IU133" i="18"/>
  <c r="IP133" i="18"/>
  <c r="IK133" i="18"/>
  <c r="IF133" i="18"/>
  <c r="IA133" i="18"/>
  <c r="HV133" i="18"/>
  <c r="HQ133" i="18"/>
  <c r="HL133" i="18"/>
  <c r="HG133" i="18"/>
  <c r="HB133" i="18"/>
  <c r="GW133" i="18"/>
  <c r="GR133" i="18"/>
  <c r="Q133" i="18"/>
  <c r="M133" i="18"/>
  <c r="K134" i="18"/>
  <c r="KG133" i="18"/>
  <c r="KB133" i="18"/>
  <c r="JW133" i="18"/>
  <c r="JR133" i="18"/>
  <c r="JM133" i="18"/>
  <c r="JH133" i="18"/>
  <c r="JC133" i="18"/>
  <c r="IX133" i="18"/>
  <c r="IS133" i="18"/>
  <c r="IN133" i="18"/>
  <c r="II133" i="18"/>
  <c r="ID133" i="18"/>
  <c r="HY133" i="18"/>
  <c r="HT133" i="18"/>
  <c r="HO133" i="18"/>
  <c r="HJ133" i="18"/>
  <c r="HE133" i="18"/>
  <c r="GZ133" i="18"/>
  <c r="GU133" i="18"/>
  <c r="P133" i="18"/>
  <c r="L133" i="18"/>
  <c r="BF133" i="18" s="1"/>
  <c r="JZ133" i="18"/>
  <c r="JP133" i="18"/>
  <c r="JF133" i="18"/>
  <c r="IV133" i="18"/>
  <c r="IL133" i="18"/>
  <c r="IB133" i="18"/>
  <c r="HR133" i="18"/>
  <c r="HH133" i="18"/>
  <c r="GX133" i="18"/>
  <c r="KE133" i="18"/>
  <c r="JU133" i="18"/>
  <c r="JK133" i="18"/>
  <c r="JA133" i="18"/>
  <c r="IQ133" i="18"/>
  <c r="IG133" i="18"/>
  <c r="HW133" i="18"/>
  <c r="HM133" i="18"/>
  <c r="HC133" i="18"/>
  <c r="GS133" i="18"/>
  <c r="N133" i="18"/>
  <c r="AP133" i="18" s="1"/>
  <c r="KA133" i="18"/>
  <c r="JQ133" i="18"/>
  <c r="JG133" i="18"/>
  <c r="IW133" i="18"/>
  <c r="IM133" i="18"/>
  <c r="IC133" i="18"/>
  <c r="HS133" i="18"/>
  <c r="HI133" i="18"/>
  <c r="GY133" i="18"/>
  <c r="JV133" i="18"/>
  <c r="IH133" i="18"/>
  <c r="GT133" i="18"/>
  <c r="JB133" i="18"/>
  <c r="HN133" i="18"/>
  <c r="KF133" i="18"/>
  <c r="IR133" i="18"/>
  <c r="HD133" i="18"/>
  <c r="JL133" i="18"/>
  <c r="HX133" i="18"/>
  <c r="I133" i="18" a="1"/>
  <c r="I133" i="18" s="1"/>
  <c r="Z131" i="18"/>
  <c r="V131" i="18"/>
  <c r="Y131" i="18"/>
  <c r="W131" i="18"/>
  <c r="X131" i="18"/>
  <c r="A133" i="18" a="1"/>
  <c r="A133" i="18" s="1"/>
  <c r="DB133" i="18"/>
  <c r="GL133" i="18"/>
  <c r="GB133" i="18"/>
  <c r="FR133" i="18"/>
  <c r="FH133" i="18"/>
  <c r="EX133" i="18"/>
  <c r="EN133" i="18"/>
  <c r="ED133" i="18"/>
  <c r="DT133" i="18"/>
  <c r="DJ133" i="18"/>
  <c r="CZ133" i="18"/>
  <c r="F133" i="18"/>
  <c r="B134" i="18"/>
  <c r="GM133" i="18"/>
  <c r="G133" i="18" s="1"/>
  <c r="GC133" i="18"/>
  <c r="FS133" i="18"/>
  <c r="FI133" i="18"/>
  <c r="EY133" i="18"/>
  <c r="EO133" i="18"/>
  <c r="EE133" i="18"/>
  <c r="DU133" i="18"/>
  <c r="DK133" i="18"/>
  <c r="DA133" i="18"/>
  <c r="C133" i="18"/>
  <c r="A134" i="18" s="1" a="1"/>
  <c r="A134" i="18" s="1"/>
  <c r="DE107" i="16" l="1"/>
  <c r="DD107" i="16" s="1"/>
  <c r="DF107" i="16" s="1"/>
  <c r="CZ109" i="16"/>
  <c r="CY109" i="16" s="1"/>
  <c r="DA109" i="16" s="1"/>
  <c r="DC108" i="16"/>
  <c r="AO123" i="16"/>
  <c r="AN124" i="16"/>
  <c r="AV126" i="16"/>
  <c r="AG125" i="16"/>
  <c r="AW125" i="16"/>
  <c r="AF126" i="16"/>
  <c r="U133" i="18"/>
  <c r="Y132" i="18"/>
  <c r="X132" i="18"/>
  <c r="V132" i="18"/>
  <c r="Z132" i="18"/>
  <c r="W132" i="18"/>
  <c r="K135" i="18"/>
  <c r="KG134" i="18"/>
  <c r="KB134" i="18"/>
  <c r="JW134" i="18"/>
  <c r="JR134" i="18"/>
  <c r="JM134" i="18"/>
  <c r="JH134" i="18"/>
  <c r="JC134" i="18"/>
  <c r="IX134" i="18"/>
  <c r="IS134" i="18"/>
  <c r="IN134" i="18"/>
  <c r="II134" i="18"/>
  <c r="ID134" i="18"/>
  <c r="HY134" i="18"/>
  <c r="HT134" i="18"/>
  <c r="HO134" i="18"/>
  <c r="HJ134" i="18"/>
  <c r="HE134" i="18"/>
  <c r="GZ134" i="18"/>
  <c r="GU134" i="18"/>
  <c r="P134" i="18"/>
  <c r="L134" i="18"/>
  <c r="BF134" i="18" s="1"/>
  <c r="KF134" i="18"/>
  <c r="KA134" i="18"/>
  <c r="JV134" i="18"/>
  <c r="JQ134" i="18"/>
  <c r="JL134" i="18"/>
  <c r="JG134" i="18"/>
  <c r="JB134" i="18"/>
  <c r="IW134" i="18"/>
  <c r="IR134" i="18"/>
  <c r="IM134" i="18"/>
  <c r="IH134" i="18"/>
  <c r="IC134" i="18"/>
  <c r="HX134" i="18"/>
  <c r="HS134" i="18"/>
  <c r="HN134" i="18"/>
  <c r="HI134" i="18"/>
  <c r="HD134" i="18"/>
  <c r="GY134" i="18"/>
  <c r="GT134" i="18"/>
  <c r="KE134" i="18"/>
  <c r="JU134" i="18"/>
  <c r="JK134" i="18"/>
  <c r="JA134" i="18"/>
  <c r="IQ134" i="18"/>
  <c r="IG134" i="18"/>
  <c r="HW134" i="18"/>
  <c r="HM134" i="18"/>
  <c r="HC134" i="18"/>
  <c r="GS134" i="18"/>
  <c r="JZ134" i="18"/>
  <c r="JP134" i="18"/>
  <c r="JF134" i="18"/>
  <c r="IV134" i="18"/>
  <c r="IL134" i="18"/>
  <c r="IB134" i="18"/>
  <c r="HR134" i="18"/>
  <c r="HH134" i="18"/>
  <c r="GX134" i="18"/>
  <c r="M134" i="18"/>
  <c r="JY134" i="18"/>
  <c r="JO134" i="18"/>
  <c r="JE134" i="18"/>
  <c r="IU134" i="18"/>
  <c r="IK134" i="18"/>
  <c r="IA134" i="18"/>
  <c r="HQ134" i="18"/>
  <c r="HG134" i="18"/>
  <c r="GW134" i="18"/>
  <c r="Q134" i="18"/>
  <c r="JJ134" i="18"/>
  <c r="HV134" i="18"/>
  <c r="KD134" i="18"/>
  <c r="IP134" i="18"/>
  <c r="HB134" i="18"/>
  <c r="JT134" i="18"/>
  <c r="IF134" i="18"/>
  <c r="GR134" i="18"/>
  <c r="IZ134" i="18"/>
  <c r="HL134" i="18"/>
  <c r="N134" i="18"/>
  <c r="AP134" i="18" s="1"/>
  <c r="I134" i="18" a="1"/>
  <c r="I134" i="18" s="1"/>
  <c r="DB134" i="18"/>
  <c r="B135" i="18"/>
  <c r="GM134" i="18"/>
  <c r="G134" i="18" s="1"/>
  <c r="GC134" i="18"/>
  <c r="FS134" i="18"/>
  <c r="FI134" i="18"/>
  <c r="EY134" i="18"/>
  <c r="EO134" i="18"/>
  <c r="EE134" i="18"/>
  <c r="DU134" i="18"/>
  <c r="DK134" i="18"/>
  <c r="DA134" i="18"/>
  <c r="C134" i="18"/>
  <c r="GL134" i="18"/>
  <c r="GB134" i="18"/>
  <c r="FR134" i="18"/>
  <c r="FH134" i="18"/>
  <c r="EX134" i="18"/>
  <c r="EN134" i="18"/>
  <c r="ED134" i="18"/>
  <c r="DT134" i="18"/>
  <c r="DJ134" i="18"/>
  <c r="CZ134" i="18"/>
  <c r="F134" i="18"/>
  <c r="DE108" i="16" l="1"/>
  <c r="DD108" i="16" s="1"/>
  <c r="DF108" i="16" s="1"/>
  <c r="CZ110" i="16"/>
  <c r="CY110" i="16" s="1"/>
  <c r="DA110" i="16" s="1"/>
  <c r="DC109" i="16"/>
  <c r="AF127" i="16"/>
  <c r="AG126" i="16"/>
  <c r="AV127" i="16"/>
  <c r="AW126" i="16"/>
  <c r="AO124" i="16"/>
  <c r="AN125" i="16"/>
  <c r="I135" i="18" a="1"/>
  <c r="I135" i="18" s="1"/>
  <c r="X133" i="18"/>
  <c r="W133" i="18"/>
  <c r="Y133" i="18"/>
  <c r="V133" i="18"/>
  <c r="Z133" i="18"/>
  <c r="U134" i="18"/>
  <c r="B136" i="18"/>
  <c r="GM135" i="18"/>
  <c r="G135" i="18" s="1"/>
  <c r="GC135" i="18"/>
  <c r="FS135" i="18"/>
  <c r="FI135" i="18"/>
  <c r="EY135" i="18"/>
  <c r="EO135" i="18"/>
  <c r="EE135" i="18"/>
  <c r="DU135" i="18"/>
  <c r="DK135" i="18"/>
  <c r="DA135" i="18"/>
  <c r="C135" i="18"/>
  <c r="GL135" i="18"/>
  <c r="GB135" i="18"/>
  <c r="FR135" i="18"/>
  <c r="FH135" i="18"/>
  <c r="EX135" i="18"/>
  <c r="EN135" i="18"/>
  <c r="ED135" i="18"/>
  <c r="DT135" i="18"/>
  <c r="DJ135" i="18"/>
  <c r="CZ135" i="18"/>
  <c r="F135" i="18"/>
  <c r="DB135" i="18"/>
  <c r="KF135" i="18"/>
  <c r="KA135" i="18"/>
  <c r="JV135" i="18"/>
  <c r="JQ135" i="18"/>
  <c r="JL135" i="18"/>
  <c r="JG135" i="18"/>
  <c r="JB135" i="18"/>
  <c r="IW135" i="18"/>
  <c r="IR135" i="18"/>
  <c r="IM135" i="18"/>
  <c r="IH135" i="18"/>
  <c r="IC135" i="18"/>
  <c r="HX135" i="18"/>
  <c r="HS135" i="18"/>
  <c r="HN135" i="18"/>
  <c r="HI135" i="18"/>
  <c r="HD135" i="18"/>
  <c r="GY135" i="18"/>
  <c r="GT135" i="18"/>
  <c r="KE135" i="18"/>
  <c r="JZ135" i="18"/>
  <c r="JU135" i="18"/>
  <c r="JP135" i="18"/>
  <c r="JK135" i="18"/>
  <c r="JF135" i="18"/>
  <c r="JA135" i="18"/>
  <c r="IV135" i="18"/>
  <c r="IQ135" i="18"/>
  <c r="IL135" i="18"/>
  <c r="IG135" i="18"/>
  <c r="IB135" i="18"/>
  <c r="HW135" i="18"/>
  <c r="HR135" i="18"/>
  <c r="HM135" i="18"/>
  <c r="HH135" i="18"/>
  <c r="HC135" i="18"/>
  <c r="GX135" i="18"/>
  <c r="GS135" i="18"/>
  <c r="N135" i="18"/>
  <c r="AP135" i="18" s="1"/>
  <c r="K136" i="18"/>
  <c r="KB135" i="18"/>
  <c r="JR135" i="18"/>
  <c r="JH135" i="18"/>
  <c r="IX135" i="18"/>
  <c r="IN135" i="18"/>
  <c r="ID135" i="18"/>
  <c r="HT135" i="18"/>
  <c r="HJ135" i="18"/>
  <c r="GZ135" i="18"/>
  <c r="M135" i="18"/>
  <c r="KG135" i="18"/>
  <c r="JW135" i="18"/>
  <c r="JM135" i="18"/>
  <c r="JC135" i="18"/>
  <c r="IS135" i="18"/>
  <c r="II135" i="18"/>
  <c r="HY135" i="18"/>
  <c r="HO135" i="18"/>
  <c r="HE135" i="18"/>
  <c r="GU135" i="18"/>
  <c r="P135" i="18"/>
  <c r="KD135" i="18"/>
  <c r="JT135" i="18"/>
  <c r="JJ135" i="18"/>
  <c r="IZ135" i="18"/>
  <c r="IP135" i="18"/>
  <c r="IF135" i="18"/>
  <c r="HV135" i="18"/>
  <c r="HL135" i="18"/>
  <c r="HB135" i="18"/>
  <c r="GR135" i="18"/>
  <c r="JO135" i="18"/>
  <c r="IA135" i="18"/>
  <c r="L135" i="18"/>
  <c r="I136" i="18" s="1" a="1"/>
  <c r="I136" i="18" s="1"/>
  <c r="IU135" i="18"/>
  <c r="HG135" i="18"/>
  <c r="Q135" i="18"/>
  <c r="JY135" i="18"/>
  <c r="IK135" i="18"/>
  <c r="GW135" i="18"/>
  <c r="JE135" i="18"/>
  <c r="HQ135" i="18"/>
  <c r="A135" i="18" a="1"/>
  <c r="A135" i="18" s="1"/>
  <c r="DE109" i="16" l="1"/>
  <c r="DD109" i="16" s="1"/>
  <c r="DF109" i="16" s="1"/>
  <c r="CZ111" i="16"/>
  <c r="CY111" i="16" s="1"/>
  <c r="DA111" i="16" s="1"/>
  <c r="DC110" i="16"/>
  <c r="AO125" i="16"/>
  <c r="AN126" i="16"/>
  <c r="AV128" i="16"/>
  <c r="AW127" i="16"/>
  <c r="AF128" i="16"/>
  <c r="AG127" i="16"/>
  <c r="BF135" i="18"/>
  <c r="KE136" i="18"/>
  <c r="JZ136" i="18"/>
  <c r="JU136" i="18"/>
  <c r="JP136" i="18"/>
  <c r="JK136" i="18"/>
  <c r="JF136" i="18"/>
  <c r="JA136" i="18"/>
  <c r="IV136" i="18"/>
  <c r="IQ136" i="18"/>
  <c r="IL136" i="18"/>
  <c r="IG136" i="18"/>
  <c r="IB136" i="18"/>
  <c r="HW136" i="18"/>
  <c r="HR136" i="18"/>
  <c r="HM136" i="18"/>
  <c r="HH136" i="18"/>
  <c r="HC136" i="18"/>
  <c r="GX136" i="18"/>
  <c r="GS136" i="18"/>
  <c r="N136" i="18"/>
  <c r="AP136" i="18" s="1"/>
  <c r="KD136" i="18"/>
  <c r="JY136" i="18"/>
  <c r="JT136" i="18"/>
  <c r="JO136" i="18"/>
  <c r="JJ136" i="18"/>
  <c r="JE136" i="18"/>
  <c r="IZ136" i="18"/>
  <c r="IU136" i="18"/>
  <c r="IP136" i="18"/>
  <c r="IK136" i="18"/>
  <c r="IF136" i="18"/>
  <c r="IA136" i="18"/>
  <c r="HV136" i="18"/>
  <c r="HQ136" i="18"/>
  <c r="HL136" i="18"/>
  <c r="HG136" i="18"/>
  <c r="HB136" i="18"/>
  <c r="GW136" i="18"/>
  <c r="GR136" i="18"/>
  <c r="Q136" i="18"/>
  <c r="M136" i="18"/>
  <c r="KA136" i="18"/>
  <c r="JQ136" i="18"/>
  <c r="JG136" i="18"/>
  <c r="IW136" i="18"/>
  <c r="IM136" i="18"/>
  <c r="IC136" i="18"/>
  <c r="HS136" i="18"/>
  <c r="HI136" i="18"/>
  <c r="GY136" i="18"/>
  <c r="KF136" i="18"/>
  <c r="JV136" i="18"/>
  <c r="JL136" i="18"/>
  <c r="JB136" i="18"/>
  <c r="IR136" i="18"/>
  <c r="IH136" i="18"/>
  <c r="HX136" i="18"/>
  <c r="HN136" i="18"/>
  <c r="HD136" i="18"/>
  <c r="GT136" i="18"/>
  <c r="K137" i="18"/>
  <c r="KB136" i="18"/>
  <c r="JR136" i="18"/>
  <c r="JH136" i="18"/>
  <c r="IX136" i="18"/>
  <c r="IN136" i="18"/>
  <c r="ID136" i="18"/>
  <c r="HT136" i="18"/>
  <c r="HJ136" i="18"/>
  <c r="GZ136" i="18"/>
  <c r="L136" i="18"/>
  <c r="JW136" i="18"/>
  <c r="II136" i="18"/>
  <c r="GU136" i="18"/>
  <c r="JC136" i="18"/>
  <c r="HO136" i="18"/>
  <c r="KG136" i="18"/>
  <c r="IS136" i="18"/>
  <c r="HE136" i="18"/>
  <c r="P136" i="18"/>
  <c r="JM136" i="18"/>
  <c r="HY136" i="18"/>
  <c r="U135" i="18"/>
  <c r="A136" i="18" a="1"/>
  <c r="A136" i="18" s="1"/>
  <c r="GL136" i="18"/>
  <c r="GB136" i="18"/>
  <c r="FR136" i="18"/>
  <c r="FH136" i="18"/>
  <c r="EX136" i="18"/>
  <c r="EN136" i="18"/>
  <c r="ED136" i="18"/>
  <c r="DT136" i="18"/>
  <c r="DJ136" i="18"/>
  <c r="CZ136" i="18"/>
  <c r="F136" i="18"/>
  <c r="B137" i="18"/>
  <c r="GM136" i="18"/>
  <c r="G136" i="18" s="1"/>
  <c r="GC136" i="18"/>
  <c r="FS136" i="18"/>
  <c r="FI136" i="18"/>
  <c r="EY136" i="18"/>
  <c r="EO136" i="18"/>
  <c r="EE136" i="18"/>
  <c r="DU136" i="18"/>
  <c r="DK136" i="18"/>
  <c r="DA136" i="18"/>
  <c r="C136" i="18"/>
  <c r="DB136" i="18"/>
  <c r="W134" i="18"/>
  <c r="Z134" i="18"/>
  <c r="V134" i="18"/>
  <c r="Y134" i="18"/>
  <c r="X134" i="18"/>
  <c r="DE110" i="16" l="1"/>
  <c r="DD110" i="16" s="1"/>
  <c r="DF110" i="16" s="1"/>
  <c r="CZ112" i="16"/>
  <c r="CY112" i="16" s="1"/>
  <c r="DA112" i="16" s="1"/>
  <c r="DC111" i="16"/>
  <c r="AN127" i="16"/>
  <c r="AO126" i="16"/>
  <c r="AW128" i="16"/>
  <c r="AF129" i="16"/>
  <c r="AG128" i="16"/>
  <c r="AV129" i="16"/>
  <c r="DB137" i="18"/>
  <c r="GL137" i="18"/>
  <c r="GB137" i="18"/>
  <c r="FR137" i="18"/>
  <c r="FH137" i="18"/>
  <c r="EX137" i="18"/>
  <c r="EN137" i="18"/>
  <c r="ED137" i="18"/>
  <c r="DT137" i="18"/>
  <c r="DJ137" i="18"/>
  <c r="CZ137" i="18"/>
  <c r="F137" i="18"/>
  <c r="B138" i="18"/>
  <c r="GM137" i="18"/>
  <c r="G137" i="18" s="1"/>
  <c r="GC137" i="18"/>
  <c r="FS137" i="18"/>
  <c r="FI137" i="18"/>
  <c r="EY137" i="18"/>
  <c r="EO137" i="18"/>
  <c r="EE137" i="18"/>
  <c r="DU137" i="18"/>
  <c r="DK137" i="18"/>
  <c r="DA137" i="18"/>
  <c r="C137" i="18"/>
  <c r="A138" i="18" s="1" a="1"/>
  <c r="A138" i="18" s="1"/>
  <c r="Z135" i="18"/>
  <c r="V135" i="18"/>
  <c r="Y135" i="18"/>
  <c r="W135" i="18"/>
  <c r="X135" i="18"/>
  <c r="U136" i="18"/>
  <c r="A137" i="18" a="1"/>
  <c r="A137" i="18" s="1"/>
  <c r="KD137" i="18"/>
  <c r="JY137" i="18"/>
  <c r="JT137" i="18"/>
  <c r="JO137" i="18"/>
  <c r="JJ137" i="18"/>
  <c r="JE137" i="18"/>
  <c r="IZ137" i="18"/>
  <c r="IU137" i="18"/>
  <c r="IP137" i="18"/>
  <c r="IK137" i="18"/>
  <c r="IF137" i="18"/>
  <c r="IA137" i="18"/>
  <c r="HV137" i="18"/>
  <c r="HQ137" i="18"/>
  <c r="HL137" i="18"/>
  <c r="HG137" i="18"/>
  <c r="HB137" i="18"/>
  <c r="GW137" i="18"/>
  <c r="GR137" i="18"/>
  <c r="Q137" i="18"/>
  <c r="M137" i="18"/>
  <c r="K138" i="18"/>
  <c r="KG137" i="18"/>
  <c r="KB137" i="18"/>
  <c r="JW137" i="18"/>
  <c r="JR137" i="18"/>
  <c r="JM137" i="18"/>
  <c r="JH137" i="18"/>
  <c r="JC137" i="18"/>
  <c r="IX137" i="18"/>
  <c r="IS137" i="18"/>
  <c r="IN137" i="18"/>
  <c r="II137" i="18"/>
  <c r="ID137" i="18"/>
  <c r="HY137" i="18"/>
  <c r="HT137" i="18"/>
  <c r="HO137" i="18"/>
  <c r="HJ137" i="18"/>
  <c r="HE137" i="18"/>
  <c r="GZ137" i="18"/>
  <c r="GU137" i="18"/>
  <c r="P137" i="18"/>
  <c r="L137" i="18"/>
  <c r="JZ137" i="18"/>
  <c r="JP137" i="18"/>
  <c r="JF137" i="18"/>
  <c r="IV137" i="18"/>
  <c r="IL137" i="18"/>
  <c r="IB137" i="18"/>
  <c r="HR137" i="18"/>
  <c r="HH137" i="18"/>
  <c r="GX137" i="18"/>
  <c r="KE137" i="18"/>
  <c r="JU137" i="18"/>
  <c r="JK137" i="18"/>
  <c r="JA137" i="18"/>
  <c r="IQ137" i="18"/>
  <c r="IG137" i="18"/>
  <c r="HW137" i="18"/>
  <c r="HM137" i="18"/>
  <c r="HC137" i="18"/>
  <c r="GS137" i="18"/>
  <c r="N137" i="18"/>
  <c r="AP137" i="18" s="1"/>
  <c r="KA137" i="18"/>
  <c r="JQ137" i="18"/>
  <c r="JG137" i="18"/>
  <c r="IW137" i="18"/>
  <c r="IM137" i="18"/>
  <c r="IC137" i="18"/>
  <c r="HS137" i="18"/>
  <c r="HI137" i="18"/>
  <c r="GY137" i="18"/>
  <c r="JB137" i="18"/>
  <c r="HN137" i="18"/>
  <c r="JV137" i="18"/>
  <c r="IH137" i="18"/>
  <c r="GT137" i="18"/>
  <c r="JL137" i="18"/>
  <c r="HX137" i="18"/>
  <c r="KF137" i="18"/>
  <c r="IR137" i="18"/>
  <c r="HD137" i="18"/>
  <c r="I137" i="18" a="1"/>
  <c r="I137" i="18" s="1"/>
  <c r="BF136" i="18"/>
  <c r="CZ113" i="16" l="1"/>
  <c r="CY113" i="16" s="1"/>
  <c r="DA113" i="16" s="1"/>
  <c r="DE111" i="16"/>
  <c r="DD111" i="16" s="1"/>
  <c r="DF111" i="16" s="1"/>
  <c r="DC112" i="16"/>
  <c r="AN128" i="16"/>
  <c r="AO127" i="16"/>
  <c r="AV130" i="16"/>
  <c r="AG129" i="16"/>
  <c r="AW129" i="16"/>
  <c r="AF130" i="16"/>
  <c r="BF137" i="18"/>
  <c r="U137" i="18"/>
  <c r="K139" i="18"/>
  <c r="KG138" i="18"/>
  <c r="KB138" i="18"/>
  <c r="JW138" i="18"/>
  <c r="JR138" i="18"/>
  <c r="JM138" i="18"/>
  <c r="JH138" i="18"/>
  <c r="JC138" i="18"/>
  <c r="IX138" i="18"/>
  <c r="IS138" i="18"/>
  <c r="IN138" i="18"/>
  <c r="II138" i="18"/>
  <c r="ID138" i="18"/>
  <c r="HY138" i="18"/>
  <c r="HT138" i="18"/>
  <c r="HO138" i="18"/>
  <c r="HJ138" i="18"/>
  <c r="HE138" i="18"/>
  <c r="GZ138" i="18"/>
  <c r="GU138" i="18"/>
  <c r="P138" i="18"/>
  <c r="L138" i="18"/>
  <c r="KF138" i="18"/>
  <c r="KA138" i="18"/>
  <c r="JV138" i="18"/>
  <c r="JQ138" i="18"/>
  <c r="JL138" i="18"/>
  <c r="JG138" i="18"/>
  <c r="JB138" i="18"/>
  <c r="IW138" i="18"/>
  <c r="IR138" i="18"/>
  <c r="IM138" i="18"/>
  <c r="IH138" i="18"/>
  <c r="IC138" i="18"/>
  <c r="HX138" i="18"/>
  <c r="HS138" i="18"/>
  <c r="HN138" i="18"/>
  <c r="HI138" i="18"/>
  <c r="HD138" i="18"/>
  <c r="GY138" i="18"/>
  <c r="GT138" i="18"/>
  <c r="KE138" i="18"/>
  <c r="JU138" i="18"/>
  <c r="JK138" i="18"/>
  <c r="JA138" i="18"/>
  <c r="IQ138" i="18"/>
  <c r="IG138" i="18"/>
  <c r="HW138" i="18"/>
  <c r="HM138" i="18"/>
  <c r="HC138" i="18"/>
  <c r="GS138" i="18"/>
  <c r="JZ138" i="18"/>
  <c r="JP138" i="18"/>
  <c r="JF138" i="18"/>
  <c r="IV138" i="18"/>
  <c r="IL138" i="18"/>
  <c r="IB138" i="18"/>
  <c r="HR138" i="18"/>
  <c r="HH138" i="18"/>
  <c r="GX138" i="18"/>
  <c r="M138" i="18"/>
  <c r="JY138" i="18"/>
  <c r="JO138" i="18"/>
  <c r="JE138" i="18"/>
  <c r="IU138" i="18"/>
  <c r="IK138" i="18"/>
  <c r="IA138" i="18"/>
  <c r="HQ138" i="18"/>
  <c r="HG138" i="18"/>
  <c r="GW138" i="18"/>
  <c r="Q138" i="18"/>
  <c r="KD138" i="18"/>
  <c r="IP138" i="18"/>
  <c r="HB138" i="18"/>
  <c r="JJ138" i="18"/>
  <c r="HV138" i="18"/>
  <c r="IZ138" i="18"/>
  <c r="HL138" i="18"/>
  <c r="N138" i="18"/>
  <c r="AP138" i="18" s="1"/>
  <c r="JT138" i="18"/>
  <c r="IF138" i="18"/>
  <c r="GR138" i="18"/>
  <c r="I138" i="18" a="1"/>
  <c r="I138" i="18" s="1"/>
  <c r="Y136" i="18"/>
  <c r="X136" i="18"/>
  <c r="V136" i="18"/>
  <c r="Z136" i="18"/>
  <c r="W136" i="18"/>
  <c r="DB138" i="18"/>
  <c r="B139" i="18"/>
  <c r="GM138" i="18"/>
  <c r="G138" i="18" s="1"/>
  <c r="GC138" i="18"/>
  <c r="FS138" i="18"/>
  <c r="FI138" i="18"/>
  <c r="EY138" i="18"/>
  <c r="EO138" i="18"/>
  <c r="EE138" i="18"/>
  <c r="DU138" i="18"/>
  <c r="DK138" i="18"/>
  <c r="DA138" i="18"/>
  <c r="C138" i="18"/>
  <c r="GL138" i="18"/>
  <c r="GB138" i="18"/>
  <c r="FR138" i="18"/>
  <c r="FH138" i="18"/>
  <c r="EX138" i="18"/>
  <c r="EN138" i="18"/>
  <c r="ED138" i="18"/>
  <c r="DT138" i="18"/>
  <c r="DJ138" i="18"/>
  <c r="CZ138" i="18"/>
  <c r="F138" i="18"/>
  <c r="CZ114" i="16" l="1"/>
  <c r="CY114" i="16" s="1"/>
  <c r="DA114" i="16" s="1"/>
  <c r="DE112" i="16"/>
  <c r="DD112" i="16" s="1"/>
  <c r="DF112" i="16" s="1"/>
  <c r="DC113" i="16"/>
  <c r="AV131" i="16"/>
  <c r="AW130" i="16"/>
  <c r="AF131" i="16"/>
  <c r="AG130" i="16"/>
  <c r="AO128" i="16"/>
  <c r="AN129" i="16"/>
  <c r="U138" i="18"/>
  <c r="A139" i="18" a="1"/>
  <c r="A139" i="18" s="1"/>
  <c r="BF138" i="18"/>
  <c r="B140" i="18"/>
  <c r="GM139" i="18"/>
  <c r="G139" i="18" s="1"/>
  <c r="GC139" i="18"/>
  <c r="FS139" i="18"/>
  <c r="FI139" i="18"/>
  <c r="EY139" i="18"/>
  <c r="EO139" i="18"/>
  <c r="EE139" i="18"/>
  <c r="DU139" i="18"/>
  <c r="DK139" i="18"/>
  <c r="DA139" i="18"/>
  <c r="C139" i="18"/>
  <c r="GL139" i="18"/>
  <c r="GB139" i="18"/>
  <c r="FR139" i="18"/>
  <c r="FH139" i="18"/>
  <c r="EX139" i="18"/>
  <c r="EN139" i="18"/>
  <c r="ED139" i="18"/>
  <c r="DT139" i="18"/>
  <c r="DJ139" i="18"/>
  <c r="CZ139" i="18"/>
  <c r="F139" i="18"/>
  <c r="DB139" i="18"/>
  <c r="X137" i="18"/>
  <c r="W137" i="18"/>
  <c r="Y137" i="18"/>
  <c r="V137" i="18"/>
  <c r="Z137" i="18"/>
  <c r="KF139" i="18"/>
  <c r="KA139" i="18"/>
  <c r="JV139" i="18"/>
  <c r="JQ139" i="18"/>
  <c r="JL139" i="18"/>
  <c r="JG139" i="18"/>
  <c r="JB139" i="18"/>
  <c r="IW139" i="18"/>
  <c r="IR139" i="18"/>
  <c r="IM139" i="18"/>
  <c r="IH139" i="18"/>
  <c r="IC139" i="18"/>
  <c r="HX139" i="18"/>
  <c r="HS139" i="18"/>
  <c r="HN139" i="18"/>
  <c r="HI139" i="18"/>
  <c r="HD139" i="18"/>
  <c r="GY139" i="18"/>
  <c r="GT139" i="18"/>
  <c r="KE139" i="18"/>
  <c r="JZ139" i="18"/>
  <c r="JU139" i="18"/>
  <c r="JP139" i="18"/>
  <c r="JK139" i="18"/>
  <c r="JF139" i="18"/>
  <c r="JA139" i="18"/>
  <c r="IV139" i="18"/>
  <c r="IQ139" i="18"/>
  <c r="IL139" i="18"/>
  <c r="IG139" i="18"/>
  <c r="IB139" i="18"/>
  <c r="HW139" i="18"/>
  <c r="HR139" i="18"/>
  <c r="HM139" i="18"/>
  <c r="HH139" i="18"/>
  <c r="HC139" i="18"/>
  <c r="GX139" i="18"/>
  <c r="GS139" i="18"/>
  <c r="N139" i="18"/>
  <c r="AP139" i="18" s="1"/>
  <c r="K140" i="18"/>
  <c r="KB139" i="18"/>
  <c r="JR139" i="18"/>
  <c r="JH139" i="18"/>
  <c r="IX139" i="18"/>
  <c r="IN139" i="18"/>
  <c r="ID139" i="18"/>
  <c r="HT139" i="18"/>
  <c r="HJ139" i="18"/>
  <c r="GZ139" i="18"/>
  <c r="M139" i="18"/>
  <c r="KG139" i="18"/>
  <c r="JW139" i="18"/>
  <c r="JM139" i="18"/>
  <c r="JC139" i="18"/>
  <c r="IS139" i="18"/>
  <c r="II139" i="18"/>
  <c r="HY139" i="18"/>
  <c r="HO139" i="18"/>
  <c r="HE139" i="18"/>
  <c r="GU139" i="18"/>
  <c r="P139" i="18"/>
  <c r="KD139" i="18"/>
  <c r="JT139" i="18"/>
  <c r="JJ139" i="18"/>
  <c r="IZ139" i="18"/>
  <c r="IP139" i="18"/>
  <c r="IF139" i="18"/>
  <c r="HV139" i="18"/>
  <c r="HL139" i="18"/>
  <c r="HB139" i="18"/>
  <c r="GR139" i="18"/>
  <c r="IU139" i="18"/>
  <c r="HG139" i="18"/>
  <c r="Q139" i="18"/>
  <c r="JO139" i="18"/>
  <c r="IA139" i="18"/>
  <c r="L139" i="18"/>
  <c r="BF139" i="18" s="1"/>
  <c r="JE139" i="18"/>
  <c r="HQ139" i="18"/>
  <c r="JY139" i="18"/>
  <c r="IK139" i="18"/>
  <c r="GW139" i="18"/>
  <c r="I139" i="18" a="1"/>
  <c r="I139" i="18" s="1"/>
  <c r="DE113" i="16" l="1"/>
  <c r="DD113" i="16" s="1"/>
  <c r="DF113" i="16" s="1"/>
  <c r="CZ115" i="16"/>
  <c r="CY115" i="16" s="1"/>
  <c r="DA115" i="16" s="1"/>
  <c r="DC114" i="16"/>
  <c r="AW131" i="16"/>
  <c r="AF132" i="16"/>
  <c r="AG131" i="16"/>
  <c r="AV132" i="16"/>
  <c r="AO129" i="16"/>
  <c r="AN130" i="16"/>
  <c r="I140" i="18" a="1"/>
  <c r="I140" i="18" s="1"/>
  <c r="U139" i="18"/>
  <c r="W138" i="18"/>
  <c r="Z138" i="18"/>
  <c r="V138" i="18"/>
  <c r="Y138" i="18"/>
  <c r="X138" i="18"/>
  <c r="GB140" i="18"/>
  <c r="FR140" i="18"/>
  <c r="FH140" i="18"/>
  <c r="EX140" i="18"/>
  <c r="EN140" i="18"/>
  <c r="ED140" i="18"/>
  <c r="DT140" i="18"/>
  <c r="DJ140" i="18"/>
  <c r="CZ140" i="18"/>
  <c r="B141" i="18"/>
  <c r="GM140" i="18"/>
  <c r="G140" i="18" s="1"/>
  <c r="GC140" i="18"/>
  <c r="FS140" i="18"/>
  <c r="FI140" i="18"/>
  <c r="EY140" i="18"/>
  <c r="EO140" i="18"/>
  <c r="EE140" i="18"/>
  <c r="DU140" i="18"/>
  <c r="DK140" i="18"/>
  <c r="DA140" i="18"/>
  <c r="C140" i="18"/>
  <c r="A141" i="18" s="1" a="1"/>
  <c r="A141" i="18" s="1"/>
  <c r="DB140" i="18"/>
  <c r="KE140" i="18"/>
  <c r="JZ140" i="18"/>
  <c r="JU140" i="18"/>
  <c r="JP140" i="18"/>
  <c r="JK140" i="18"/>
  <c r="JF140" i="18"/>
  <c r="JA140" i="18"/>
  <c r="IV140" i="18"/>
  <c r="IQ140" i="18"/>
  <c r="IL140" i="18"/>
  <c r="IG140" i="18"/>
  <c r="IB140" i="18"/>
  <c r="HW140" i="18"/>
  <c r="HR140" i="18"/>
  <c r="HM140" i="18"/>
  <c r="HH140" i="18"/>
  <c r="HC140" i="18"/>
  <c r="GX140" i="18"/>
  <c r="GS140" i="18"/>
  <c r="N140" i="18"/>
  <c r="AP140" i="18" s="1"/>
  <c r="KD140" i="18"/>
  <c r="JY140" i="18"/>
  <c r="JT140" i="18"/>
  <c r="JO140" i="18"/>
  <c r="JJ140" i="18"/>
  <c r="JE140" i="18"/>
  <c r="IZ140" i="18"/>
  <c r="IU140" i="18"/>
  <c r="IP140" i="18"/>
  <c r="IK140" i="18"/>
  <c r="IF140" i="18"/>
  <c r="IA140" i="18"/>
  <c r="HV140" i="18"/>
  <c r="HQ140" i="18"/>
  <c r="HL140" i="18"/>
  <c r="HG140" i="18"/>
  <c r="HB140" i="18"/>
  <c r="GW140" i="18"/>
  <c r="GR140" i="18"/>
  <c r="Q140" i="18"/>
  <c r="M140" i="18"/>
  <c r="KA140" i="18"/>
  <c r="JQ140" i="18"/>
  <c r="JG140" i="18"/>
  <c r="IW140" i="18"/>
  <c r="IM140" i="18"/>
  <c r="IC140" i="18"/>
  <c r="HS140" i="18"/>
  <c r="HI140" i="18"/>
  <c r="GY140" i="18"/>
  <c r="KF140" i="18"/>
  <c r="JV140" i="18"/>
  <c r="JL140" i="18"/>
  <c r="JB140" i="18"/>
  <c r="IR140" i="18"/>
  <c r="IH140" i="18"/>
  <c r="HX140" i="18"/>
  <c r="HN140" i="18"/>
  <c r="HD140" i="18"/>
  <c r="GT140" i="18"/>
  <c r="K141" i="18"/>
  <c r="KB140" i="18"/>
  <c r="JR140" i="18"/>
  <c r="JH140" i="18"/>
  <c r="IX140" i="18"/>
  <c r="IN140" i="18"/>
  <c r="ID140" i="18"/>
  <c r="HT140" i="18"/>
  <c r="HJ140" i="18"/>
  <c r="GZ140" i="18"/>
  <c r="L140" i="18"/>
  <c r="JC140" i="18"/>
  <c r="HO140" i="18"/>
  <c r="JW140" i="18"/>
  <c r="II140" i="18"/>
  <c r="GU140" i="18"/>
  <c r="JM140" i="18"/>
  <c r="HY140" i="18"/>
  <c r="KG140" i="18"/>
  <c r="IS140" i="18"/>
  <c r="HE140" i="18"/>
  <c r="P140" i="18"/>
  <c r="A140" i="18" a="1"/>
  <c r="A140" i="18" s="1"/>
  <c r="DE114" i="16" l="1"/>
  <c r="DD114" i="16" s="1"/>
  <c r="DF114" i="16" s="1"/>
  <c r="DC115" i="16"/>
  <c r="CZ116" i="16"/>
  <c r="CY116" i="16" s="1"/>
  <c r="DA116" i="16" s="1"/>
  <c r="AO130" i="16"/>
  <c r="AN131" i="16"/>
  <c r="AV133" i="16"/>
  <c r="AW132" i="16"/>
  <c r="AG132" i="16"/>
  <c r="AF133" i="16"/>
  <c r="KD141" i="18"/>
  <c r="JY141" i="18"/>
  <c r="JT141" i="18"/>
  <c r="JO141" i="18"/>
  <c r="JJ141" i="18"/>
  <c r="JE141" i="18"/>
  <c r="IZ141" i="18"/>
  <c r="IU141" i="18"/>
  <c r="IP141" i="18"/>
  <c r="IK141" i="18"/>
  <c r="IF141" i="18"/>
  <c r="IA141" i="18"/>
  <c r="HV141" i="18"/>
  <c r="HQ141" i="18"/>
  <c r="HL141" i="18"/>
  <c r="HG141" i="18"/>
  <c r="HB141" i="18"/>
  <c r="GW141" i="18"/>
  <c r="GR141" i="18"/>
  <c r="Q141" i="18"/>
  <c r="M141" i="18"/>
  <c r="K142" i="18"/>
  <c r="KG141" i="18"/>
  <c r="KB141" i="18"/>
  <c r="JW141" i="18"/>
  <c r="JR141" i="18"/>
  <c r="JM141" i="18"/>
  <c r="JH141" i="18"/>
  <c r="JC141" i="18"/>
  <c r="IX141" i="18"/>
  <c r="IS141" i="18"/>
  <c r="IN141" i="18"/>
  <c r="II141" i="18"/>
  <c r="ID141" i="18"/>
  <c r="HY141" i="18"/>
  <c r="HT141" i="18"/>
  <c r="HO141" i="18"/>
  <c r="HJ141" i="18"/>
  <c r="HE141" i="18"/>
  <c r="GZ141" i="18"/>
  <c r="GU141" i="18"/>
  <c r="P141" i="18"/>
  <c r="L141" i="18"/>
  <c r="I142" i="18" s="1" a="1"/>
  <c r="I142" i="18" s="1"/>
  <c r="JZ141" i="18"/>
  <c r="JP141" i="18"/>
  <c r="JF141" i="18"/>
  <c r="IV141" i="18"/>
  <c r="IL141" i="18"/>
  <c r="IB141" i="18"/>
  <c r="HR141" i="18"/>
  <c r="HH141" i="18"/>
  <c r="GX141" i="18"/>
  <c r="KE141" i="18"/>
  <c r="JU141" i="18"/>
  <c r="JK141" i="18"/>
  <c r="JA141" i="18"/>
  <c r="IQ141" i="18"/>
  <c r="IG141" i="18"/>
  <c r="HW141" i="18"/>
  <c r="HM141" i="18"/>
  <c r="HC141" i="18"/>
  <c r="GS141" i="18"/>
  <c r="N141" i="18"/>
  <c r="AP141" i="18" s="1"/>
  <c r="KA141" i="18"/>
  <c r="JQ141" i="18"/>
  <c r="JG141" i="18"/>
  <c r="IW141" i="18"/>
  <c r="IM141" i="18"/>
  <c r="IC141" i="18"/>
  <c r="HS141" i="18"/>
  <c r="HI141" i="18"/>
  <c r="GY141" i="18"/>
  <c r="JV141" i="18"/>
  <c r="IH141" i="18"/>
  <c r="GT141" i="18"/>
  <c r="JB141" i="18"/>
  <c r="HN141" i="18"/>
  <c r="KF141" i="18"/>
  <c r="IR141" i="18"/>
  <c r="HD141" i="18"/>
  <c r="JL141" i="18"/>
  <c r="HX141" i="18"/>
  <c r="BF141" i="18"/>
  <c r="DB141" i="18"/>
  <c r="GB141" i="18"/>
  <c r="FR141" i="18"/>
  <c r="FH141" i="18"/>
  <c r="EX141" i="18"/>
  <c r="EN141" i="18"/>
  <c r="ED141" i="18"/>
  <c r="DT141" i="18"/>
  <c r="DJ141" i="18"/>
  <c r="CZ141" i="18"/>
  <c r="B142" i="18"/>
  <c r="GM141" i="18"/>
  <c r="G141" i="18" s="1"/>
  <c r="GC141" i="18"/>
  <c r="FS141" i="18"/>
  <c r="FI141" i="18"/>
  <c r="EY141" i="18"/>
  <c r="EO141" i="18"/>
  <c r="EE141" i="18"/>
  <c r="DU141" i="18"/>
  <c r="DK141" i="18"/>
  <c r="DA141" i="18"/>
  <c r="C141" i="18"/>
  <c r="A142" i="18" s="1" a="1"/>
  <c r="A142" i="18" s="1"/>
  <c r="Z139" i="18"/>
  <c r="V139" i="18"/>
  <c r="Y139" i="18"/>
  <c r="W139" i="18"/>
  <c r="X139" i="18"/>
  <c r="U140" i="18"/>
  <c r="BF140" i="18"/>
  <c r="I141" i="18" a="1"/>
  <c r="I141" i="18" s="1"/>
  <c r="DE115" i="16" l="1"/>
  <c r="DD115" i="16" s="1"/>
  <c r="DF115" i="16" s="1"/>
  <c r="DC116" i="16"/>
  <c r="AW133" i="16"/>
  <c r="AG133" i="16"/>
  <c r="AV134" i="16"/>
  <c r="AF134" i="16"/>
  <c r="AN132" i="16"/>
  <c r="AO131" i="16"/>
  <c r="KD142" i="18"/>
  <c r="JY142" i="18"/>
  <c r="JT142" i="18"/>
  <c r="JO142" i="18"/>
  <c r="JJ142" i="18"/>
  <c r="JE142" i="18"/>
  <c r="IZ142" i="18"/>
  <c r="IU142" i="18"/>
  <c r="IP142" i="18"/>
  <c r="IK142" i="18"/>
  <c r="IF142" i="18"/>
  <c r="IA142" i="18"/>
  <c r="HV142" i="18"/>
  <c r="HQ142" i="18"/>
  <c r="HL142" i="18"/>
  <c r="HG142" i="18"/>
  <c r="HB142" i="18"/>
  <c r="GW142" i="18"/>
  <c r="GR142" i="18"/>
  <c r="KG142" i="18"/>
  <c r="KA142" i="18"/>
  <c r="JU142" i="18"/>
  <c r="JM142" i="18"/>
  <c r="JG142" i="18"/>
  <c r="JA142" i="18"/>
  <c r="IS142" i="18"/>
  <c r="IM142" i="18"/>
  <c r="IG142" i="18"/>
  <c r="HY142" i="18"/>
  <c r="HS142" i="18"/>
  <c r="HM142" i="18"/>
  <c r="HE142" i="18"/>
  <c r="GY142" i="18"/>
  <c r="GS142" i="18"/>
  <c r="P142" i="18"/>
  <c r="L142" i="18"/>
  <c r="BF142" i="18" s="1"/>
  <c r="KF142" i="18"/>
  <c r="JZ142" i="18"/>
  <c r="JR142" i="18"/>
  <c r="JL142" i="18"/>
  <c r="JF142" i="18"/>
  <c r="IX142" i="18"/>
  <c r="IR142" i="18"/>
  <c r="IL142" i="18"/>
  <c r="ID142" i="18"/>
  <c r="HX142" i="18"/>
  <c r="HR142" i="18"/>
  <c r="HJ142" i="18"/>
  <c r="HD142" i="18"/>
  <c r="GX142" i="18"/>
  <c r="KE142" i="18"/>
  <c r="JQ142" i="18"/>
  <c r="JC142" i="18"/>
  <c r="IQ142" i="18"/>
  <c r="IC142" i="18"/>
  <c r="HO142" i="18"/>
  <c r="HC142" i="18"/>
  <c r="JW142" i="18"/>
  <c r="JK142" i="18"/>
  <c r="IW142" i="18"/>
  <c r="II142" i="18"/>
  <c r="HW142" i="18"/>
  <c r="HI142" i="18"/>
  <c r="GU142" i="18"/>
  <c r="M142" i="18"/>
  <c r="K143" i="18"/>
  <c r="JV142" i="18"/>
  <c r="JH142" i="18"/>
  <c r="IV142" i="18"/>
  <c r="IH142" i="18"/>
  <c r="HT142" i="18"/>
  <c r="HH142" i="18"/>
  <c r="GT142" i="18"/>
  <c r="Q142" i="18"/>
  <c r="JP142" i="18"/>
  <c r="HN142" i="18"/>
  <c r="IN142" i="18"/>
  <c r="KB142" i="18"/>
  <c r="IB142" i="18"/>
  <c r="JB142" i="18"/>
  <c r="GZ142" i="18"/>
  <c r="N142" i="18"/>
  <c r="AP142" i="18" s="1"/>
  <c r="GK142" i="18"/>
  <c r="GF142" i="18"/>
  <c r="GA142" i="18"/>
  <c r="FV142" i="18"/>
  <c r="FQ142" i="18"/>
  <c r="FL142" i="18"/>
  <c r="FG142" i="18"/>
  <c r="FB142" i="18"/>
  <c r="EW142" i="18"/>
  <c r="ER142" i="18"/>
  <c r="EM142" i="18"/>
  <c r="EH142" i="18"/>
  <c r="EC142" i="18"/>
  <c r="DX142" i="18"/>
  <c r="DS142" i="18"/>
  <c r="DN142" i="18"/>
  <c r="DI142" i="18"/>
  <c r="DD142" i="18"/>
  <c r="CY142" i="18"/>
  <c r="GI142" i="18"/>
  <c r="GC142" i="18"/>
  <c r="FW142" i="18"/>
  <c r="FO142" i="18"/>
  <c r="FI142" i="18"/>
  <c r="FC142" i="18"/>
  <c r="EU142" i="18"/>
  <c r="EO142" i="18"/>
  <c r="EI142" i="18"/>
  <c r="EA142" i="18"/>
  <c r="DU142" i="18"/>
  <c r="DO142" i="18"/>
  <c r="DG142" i="18"/>
  <c r="DA142" i="18"/>
  <c r="H142" i="18"/>
  <c r="D142" i="18"/>
  <c r="GN142" i="18"/>
  <c r="GH142" i="18"/>
  <c r="GB142" i="18"/>
  <c r="FT142" i="18"/>
  <c r="FN142" i="18"/>
  <c r="FH142" i="18"/>
  <c r="EZ142" i="18"/>
  <c r="ET142" i="18"/>
  <c r="EN142" i="18"/>
  <c r="EF142" i="18"/>
  <c r="DZ142" i="18"/>
  <c r="DT142" i="18"/>
  <c r="DL142" i="18"/>
  <c r="DF142" i="18"/>
  <c r="CZ142" i="18"/>
  <c r="G142" i="18"/>
  <c r="C142" i="18"/>
  <c r="GM142" i="18"/>
  <c r="FY142" i="18"/>
  <c r="FM142" i="18"/>
  <c r="EY142" i="18"/>
  <c r="EK142" i="18"/>
  <c r="DY142" i="18"/>
  <c r="DK142" i="18"/>
  <c r="B143" i="18"/>
  <c r="GG142" i="18"/>
  <c r="FS142" i="18"/>
  <c r="FE142" i="18"/>
  <c r="ES142" i="18"/>
  <c r="EE142" i="18"/>
  <c r="DQ142" i="18"/>
  <c r="DE142" i="18"/>
  <c r="E142" i="18"/>
  <c r="AH142" i="18" s="1"/>
  <c r="AX142" i="18" s="1"/>
  <c r="GD142" i="18"/>
  <c r="FR142" i="18"/>
  <c r="FD142" i="18"/>
  <c r="EP142" i="18"/>
  <c r="ED142" i="18"/>
  <c r="DP142" i="18"/>
  <c r="DB142" i="18"/>
  <c r="FJ142" i="18"/>
  <c r="DJ142" i="18"/>
  <c r="GL142" i="18"/>
  <c r="EJ142" i="18"/>
  <c r="F142" i="18"/>
  <c r="FX142" i="18"/>
  <c r="DV142" i="18"/>
  <c r="EX142" i="18"/>
  <c r="Y140" i="18"/>
  <c r="X140" i="18"/>
  <c r="V140" i="18"/>
  <c r="Z140" i="18"/>
  <c r="W140" i="18"/>
  <c r="U141" i="18"/>
  <c r="DE116" i="16" l="1"/>
  <c r="DD116" i="16" s="1"/>
  <c r="DF116" i="16" s="1"/>
  <c r="DH80" i="16" s="1"/>
  <c r="AW134" i="16"/>
  <c r="AV135" i="16"/>
  <c r="AF135" i="16"/>
  <c r="AG134" i="16"/>
  <c r="AO132" i="16"/>
  <c r="AN133" i="16"/>
  <c r="GN143" i="18"/>
  <c r="GI143" i="18"/>
  <c r="GD143" i="18"/>
  <c r="FY143" i="18"/>
  <c r="FT143" i="18"/>
  <c r="FO143" i="18"/>
  <c r="FJ143" i="18"/>
  <c r="FE143" i="18"/>
  <c r="EZ143" i="18"/>
  <c r="EU143" i="18"/>
  <c r="EP143" i="18"/>
  <c r="EK143" i="18"/>
  <c r="EF143" i="18"/>
  <c r="EA143" i="18"/>
  <c r="DV143" i="18"/>
  <c r="DQ143" i="18"/>
  <c r="DL143" i="18"/>
  <c r="DG143" i="18"/>
  <c r="DB143" i="18"/>
  <c r="H143" i="18"/>
  <c r="D143" i="18"/>
  <c r="GL143" i="18"/>
  <c r="GF143" i="18"/>
  <c r="FX143" i="18"/>
  <c r="FR143" i="18"/>
  <c r="FL143" i="18"/>
  <c r="FD143" i="18"/>
  <c r="EX143" i="18"/>
  <c r="ER143" i="18"/>
  <c r="EJ143" i="18"/>
  <c r="ED143" i="18"/>
  <c r="DX143" i="18"/>
  <c r="DP143" i="18"/>
  <c r="DJ143" i="18"/>
  <c r="DD143" i="18"/>
  <c r="E143" i="18"/>
  <c r="AH143" i="18" s="1"/>
  <c r="AX143" i="18" s="1"/>
  <c r="GK143" i="18"/>
  <c r="GC143" i="18"/>
  <c r="FW143" i="18"/>
  <c r="FQ143" i="18"/>
  <c r="FI143" i="18"/>
  <c r="FC143" i="18"/>
  <c r="EW143" i="18"/>
  <c r="EO143" i="18"/>
  <c r="EI143" i="18"/>
  <c r="EC143" i="18"/>
  <c r="DU143" i="18"/>
  <c r="DO143" i="18"/>
  <c r="DI143" i="18"/>
  <c r="DA143" i="18"/>
  <c r="C143" i="18"/>
  <c r="A144" i="18" s="1" a="1"/>
  <c r="A144" i="18" s="1"/>
  <c r="GH143" i="18"/>
  <c r="FV143" i="18"/>
  <c r="FH143" i="18"/>
  <c r="ET143" i="18"/>
  <c r="EH143" i="18"/>
  <c r="DT143" i="18"/>
  <c r="DF143" i="18"/>
  <c r="G143" i="18"/>
  <c r="GB143" i="18"/>
  <c r="FN143" i="18"/>
  <c r="FB143" i="18"/>
  <c r="EN143" i="18"/>
  <c r="DZ143" i="18"/>
  <c r="DN143" i="18"/>
  <c r="CZ143" i="18"/>
  <c r="GM143" i="18"/>
  <c r="GA143" i="18"/>
  <c r="FM143" i="18"/>
  <c r="EY143" i="18"/>
  <c r="EM143" i="18"/>
  <c r="DY143" i="18"/>
  <c r="DK143" i="18"/>
  <c r="CY143" i="18"/>
  <c r="FS143" i="18"/>
  <c r="DS143" i="18"/>
  <c r="ES143" i="18"/>
  <c r="F143" i="18"/>
  <c r="B144" i="18"/>
  <c r="GG143" i="18"/>
  <c r="EE143" i="18"/>
  <c r="FG143" i="18"/>
  <c r="DE143" i="18"/>
  <c r="U142" i="18"/>
  <c r="A143" i="18" a="1"/>
  <c r="A143" i="18" s="1"/>
  <c r="K144" i="18"/>
  <c r="KG143" i="18"/>
  <c r="KB143" i="18"/>
  <c r="JW143" i="18"/>
  <c r="JR143" i="18"/>
  <c r="JM143" i="18"/>
  <c r="JH143" i="18"/>
  <c r="JC143" i="18"/>
  <c r="IX143" i="18"/>
  <c r="IS143" i="18"/>
  <c r="IN143" i="18"/>
  <c r="II143" i="18"/>
  <c r="ID143" i="18"/>
  <c r="HY143" i="18"/>
  <c r="HT143" i="18"/>
  <c r="HO143" i="18"/>
  <c r="HJ143" i="18"/>
  <c r="HE143" i="18"/>
  <c r="GZ143" i="18"/>
  <c r="GU143" i="18"/>
  <c r="P143" i="18"/>
  <c r="L143" i="18"/>
  <c r="BF143" i="18" s="1"/>
  <c r="KD143" i="18"/>
  <c r="JV143" i="18"/>
  <c r="JP143" i="18"/>
  <c r="JJ143" i="18"/>
  <c r="JB143" i="18"/>
  <c r="IV143" i="18"/>
  <c r="IP143" i="18"/>
  <c r="IH143" i="18"/>
  <c r="IB143" i="18"/>
  <c r="HV143" i="18"/>
  <c r="HN143" i="18"/>
  <c r="HH143" i="18"/>
  <c r="HB143" i="18"/>
  <c r="GT143" i="18"/>
  <c r="KA143" i="18"/>
  <c r="JU143" i="18"/>
  <c r="JO143" i="18"/>
  <c r="JG143" i="18"/>
  <c r="JA143" i="18"/>
  <c r="IU143" i="18"/>
  <c r="IM143" i="18"/>
  <c r="IG143" i="18"/>
  <c r="IA143" i="18"/>
  <c r="HS143" i="18"/>
  <c r="HM143" i="18"/>
  <c r="HG143" i="18"/>
  <c r="GY143" i="18"/>
  <c r="GS143" i="18"/>
  <c r="N143" i="18"/>
  <c r="AP143" i="18" s="1"/>
  <c r="JZ143" i="18"/>
  <c r="JL143" i="18"/>
  <c r="IZ143" i="18"/>
  <c r="IL143" i="18"/>
  <c r="HX143" i="18"/>
  <c r="HL143" i="18"/>
  <c r="GX143" i="18"/>
  <c r="Q143" i="18"/>
  <c r="KF143" i="18"/>
  <c r="JT143" i="18"/>
  <c r="JF143" i="18"/>
  <c r="IR143" i="18"/>
  <c r="IF143" i="18"/>
  <c r="HR143" i="18"/>
  <c r="HD143" i="18"/>
  <c r="GR143" i="18"/>
  <c r="M143" i="18"/>
  <c r="KE143" i="18"/>
  <c r="JQ143" i="18"/>
  <c r="JE143" i="18"/>
  <c r="IQ143" i="18"/>
  <c r="IC143" i="18"/>
  <c r="HQ143" i="18"/>
  <c r="HC143" i="18"/>
  <c r="JY143" i="18"/>
  <c r="HW143" i="18"/>
  <c r="IW143" i="18"/>
  <c r="GW143" i="18"/>
  <c r="IK143" i="18"/>
  <c r="JK143" i="18"/>
  <c r="HI143" i="18"/>
  <c r="AB142" i="18"/>
  <c r="AS142" i="18"/>
  <c r="AR142" i="18"/>
  <c r="AC142" i="18"/>
  <c r="X141" i="18"/>
  <c r="W141" i="18"/>
  <c r="Y141" i="18"/>
  <c r="V141" i="18"/>
  <c r="Z141" i="18"/>
  <c r="I143" i="18" a="1"/>
  <c r="I143" i="18" s="1"/>
  <c r="DH94" i="16" l="1"/>
  <c r="DH103" i="16"/>
  <c r="DH104" i="16"/>
  <c r="DH97" i="16"/>
  <c r="DH95" i="16"/>
  <c r="DH96" i="16"/>
  <c r="DH98" i="16"/>
  <c r="DH100" i="16"/>
  <c r="DH105" i="16"/>
  <c r="DH93" i="16"/>
  <c r="DH101" i="16"/>
  <c r="DH106" i="16"/>
  <c r="DH107" i="16"/>
  <c r="DH108" i="16"/>
  <c r="DH110" i="16"/>
  <c r="DH102" i="16"/>
  <c r="DH109" i="16"/>
  <c r="DH111" i="16"/>
  <c r="DH114" i="16"/>
  <c r="DH115" i="16"/>
  <c r="DH112" i="16"/>
  <c r="DH113" i="16"/>
  <c r="DH116" i="16"/>
  <c r="DH92" i="16"/>
  <c r="DH99" i="16"/>
  <c r="DH83" i="16"/>
  <c r="DH86" i="16"/>
  <c r="DH90" i="16"/>
  <c r="DH87" i="16"/>
  <c r="DH91" i="16"/>
  <c r="DH84" i="16"/>
  <c r="DH88" i="16"/>
  <c r="DH81" i="16"/>
  <c r="DH85" i="16"/>
  <c r="DH89" i="16"/>
  <c r="DK80" i="16"/>
  <c r="DH82" i="16"/>
  <c r="AF136" i="16"/>
  <c r="AV136" i="16"/>
  <c r="AG135" i="16"/>
  <c r="AW135" i="16"/>
  <c r="AO133" i="16"/>
  <c r="AN134" i="16"/>
  <c r="B145" i="18"/>
  <c r="GM144" i="18"/>
  <c r="GH144" i="18"/>
  <c r="GC144" i="18"/>
  <c r="FX144" i="18"/>
  <c r="FS144" i="18"/>
  <c r="FN144" i="18"/>
  <c r="FI144" i="18"/>
  <c r="FD144" i="18"/>
  <c r="EY144" i="18"/>
  <c r="ET144" i="18"/>
  <c r="EO144" i="18"/>
  <c r="EJ144" i="18"/>
  <c r="EE144" i="18"/>
  <c r="DZ144" i="18"/>
  <c r="DU144" i="18"/>
  <c r="DP144" i="18"/>
  <c r="DK144" i="18"/>
  <c r="DF144" i="18"/>
  <c r="DA144" i="18"/>
  <c r="G144" i="18"/>
  <c r="C144" i="18"/>
  <c r="A145" i="18" s="1" a="1"/>
  <c r="A145" i="18" s="1"/>
  <c r="GL144" i="18"/>
  <c r="GF144" i="18"/>
  <c r="FY144" i="18"/>
  <c r="FR144" i="18"/>
  <c r="FL144" i="18"/>
  <c r="FE144" i="18"/>
  <c r="EX144" i="18"/>
  <c r="ER144" i="18"/>
  <c r="EK144" i="18"/>
  <c r="ED144" i="18"/>
  <c r="DX144" i="18"/>
  <c r="DQ144" i="18"/>
  <c r="DJ144" i="18"/>
  <c r="DD144" i="18"/>
  <c r="F144" i="18"/>
  <c r="GK144" i="18"/>
  <c r="GD144" i="18"/>
  <c r="FW144" i="18"/>
  <c r="FQ144" i="18"/>
  <c r="FJ144" i="18"/>
  <c r="FC144" i="18"/>
  <c r="EW144" i="18"/>
  <c r="EP144" i="18"/>
  <c r="EI144" i="18"/>
  <c r="EC144" i="18"/>
  <c r="DV144" i="18"/>
  <c r="DO144" i="18"/>
  <c r="DI144" i="18"/>
  <c r="DB144" i="18"/>
  <c r="E144" i="18"/>
  <c r="AH144" i="18" s="1"/>
  <c r="AX144" i="18" s="1"/>
  <c r="GB144" i="18"/>
  <c r="FO144" i="18"/>
  <c r="FB144" i="18"/>
  <c r="EN144" i="18"/>
  <c r="EA144" i="18"/>
  <c r="DN144" i="18"/>
  <c r="CZ144" i="18"/>
  <c r="D144" i="18"/>
  <c r="GI144" i="18"/>
  <c r="FV144" i="18"/>
  <c r="FH144" i="18"/>
  <c r="EU144" i="18"/>
  <c r="EH144" i="18"/>
  <c r="DT144" i="18"/>
  <c r="DG144" i="18"/>
  <c r="GG144" i="18"/>
  <c r="FT144" i="18"/>
  <c r="FG144" i="18"/>
  <c r="ES144" i="18"/>
  <c r="EF144" i="18"/>
  <c r="DS144" i="18"/>
  <c r="DE144" i="18"/>
  <c r="H144" i="18"/>
  <c r="FM144" i="18"/>
  <c r="DL144" i="18"/>
  <c r="GN144" i="18"/>
  <c r="EM144" i="18"/>
  <c r="GA144" i="18"/>
  <c r="DY144" i="18"/>
  <c r="EZ144" i="18"/>
  <c r="CY144" i="18"/>
  <c r="U143" i="18"/>
  <c r="I144" i="18" a="1"/>
  <c r="I144" i="18" s="1"/>
  <c r="KF144" i="18"/>
  <c r="KA144" i="18"/>
  <c r="JV144" i="18"/>
  <c r="JQ144" i="18"/>
  <c r="JL144" i="18"/>
  <c r="JG144" i="18"/>
  <c r="JB144" i="18"/>
  <c r="IW144" i="18"/>
  <c r="IR144" i="18"/>
  <c r="IM144" i="18"/>
  <c r="IH144" i="18"/>
  <c r="IC144" i="18"/>
  <c r="HX144" i="18"/>
  <c r="HS144" i="18"/>
  <c r="HN144" i="18"/>
  <c r="HI144" i="18"/>
  <c r="HD144" i="18"/>
  <c r="GY144" i="18"/>
  <c r="GT144" i="18"/>
  <c r="KD144" i="18"/>
  <c r="JW144" i="18"/>
  <c r="JP144" i="18"/>
  <c r="JJ144" i="18"/>
  <c r="JC144" i="18"/>
  <c r="IV144" i="18"/>
  <c r="IP144" i="18"/>
  <c r="II144" i="18"/>
  <c r="IB144" i="18"/>
  <c r="HV144" i="18"/>
  <c r="HO144" i="18"/>
  <c r="HH144" i="18"/>
  <c r="HB144" i="18"/>
  <c r="GU144" i="18"/>
  <c r="P144" i="18"/>
  <c r="L144" i="18"/>
  <c r="K145" i="18"/>
  <c r="KB144" i="18"/>
  <c r="JU144" i="18"/>
  <c r="JO144" i="18"/>
  <c r="JH144" i="18"/>
  <c r="JA144" i="18"/>
  <c r="IU144" i="18"/>
  <c r="IN144" i="18"/>
  <c r="IG144" i="18"/>
  <c r="IA144" i="18"/>
  <c r="HT144" i="18"/>
  <c r="HM144" i="18"/>
  <c r="HG144" i="18"/>
  <c r="GZ144" i="18"/>
  <c r="GS144" i="18"/>
  <c r="KG144" i="18"/>
  <c r="JT144" i="18"/>
  <c r="JF144" i="18"/>
  <c r="IS144" i="18"/>
  <c r="IF144" i="18"/>
  <c r="HR144" i="18"/>
  <c r="HE144" i="18"/>
  <c r="GR144" i="18"/>
  <c r="N144" i="18"/>
  <c r="AP144" i="18" s="1"/>
  <c r="JZ144" i="18"/>
  <c r="JM144" i="18"/>
  <c r="IZ144" i="18"/>
  <c r="IL144" i="18"/>
  <c r="HY144" i="18"/>
  <c r="HL144" i="18"/>
  <c r="GX144" i="18"/>
  <c r="Q144" i="18"/>
  <c r="JY144" i="18"/>
  <c r="JK144" i="18"/>
  <c r="IX144" i="18"/>
  <c r="IK144" i="18"/>
  <c r="HW144" i="18"/>
  <c r="HJ144" i="18"/>
  <c r="GW144" i="18"/>
  <c r="JR144" i="18"/>
  <c r="HQ144" i="18"/>
  <c r="IQ144" i="18"/>
  <c r="M144" i="18"/>
  <c r="KE144" i="18"/>
  <c r="ID144" i="18"/>
  <c r="JE144" i="18"/>
  <c r="HC144" i="18"/>
  <c r="W142" i="18"/>
  <c r="Z142" i="18"/>
  <c r="V142" i="18"/>
  <c r="Y142" i="18"/>
  <c r="X142" i="18"/>
  <c r="AB143" i="18"/>
  <c r="AC143" i="18"/>
  <c r="AS143" i="18"/>
  <c r="AR143" i="18"/>
  <c r="DJ81" i="16" l="1"/>
  <c r="DI81" i="16" s="1"/>
  <c r="AN135" i="16"/>
  <c r="AO134" i="16"/>
  <c r="AG136" i="16"/>
  <c r="AV137" i="16"/>
  <c r="AW136" i="16"/>
  <c r="AF137" i="16"/>
  <c r="I145" i="18" a="1"/>
  <c r="I145" i="18" s="1"/>
  <c r="U144" i="18"/>
  <c r="W143" i="18"/>
  <c r="X143" i="18"/>
  <c r="V143" i="18"/>
  <c r="Y143" i="18"/>
  <c r="Z143" i="18"/>
  <c r="GL145" i="18"/>
  <c r="GG145" i="18"/>
  <c r="GB145" i="18"/>
  <c r="FW145" i="18"/>
  <c r="FR145" i="18"/>
  <c r="FM145" i="18"/>
  <c r="FH145" i="18"/>
  <c r="FC145" i="18"/>
  <c r="EX145" i="18"/>
  <c r="ES145" i="18"/>
  <c r="EN145" i="18"/>
  <c r="EI145" i="18"/>
  <c r="ED145" i="18"/>
  <c r="DY145" i="18"/>
  <c r="DT145" i="18"/>
  <c r="DO145" i="18"/>
  <c r="DJ145" i="18"/>
  <c r="DE145" i="18"/>
  <c r="CZ145" i="18"/>
  <c r="F145" i="18"/>
  <c r="GN145" i="18"/>
  <c r="GH145" i="18"/>
  <c r="GA145" i="18"/>
  <c r="FT145" i="18"/>
  <c r="FN145" i="18"/>
  <c r="FG145" i="18"/>
  <c r="EZ145" i="18"/>
  <c r="ET145" i="18"/>
  <c r="EM145" i="18"/>
  <c r="EF145" i="18"/>
  <c r="DZ145" i="18"/>
  <c r="DS145" i="18"/>
  <c r="DL145" i="18"/>
  <c r="DF145" i="18"/>
  <c r="CY145" i="18"/>
  <c r="G145" i="18"/>
  <c r="B146" i="18"/>
  <c r="GM145" i="18"/>
  <c r="GF145" i="18"/>
  <c r="FY145" i="18"/>
  <c r="FS145" i="18"/>
  <c r="FL145" i="18"/>
  <c r="FE145" i="18"/>
  <c r="EY145" i="18"/>
  <c r="ER145" i="18"/>
  <c r="EK145" i="18"/>
  <c r="EE145" i="18"/>
  <c r="DX145" i="18"/>
  <c r="DQ145" i="18"/>
  <c r="DK145" i="18"/>
  <c r="DD145" i="18"/>
  <c r="E145" i="18"/>
  <c r="AH145" i="18" s="1"/>
  <c r="AX145" i="18" s="1"/>
  <c r="GC145" i="18"/>
  <c r="FO145" i="18"/>
  <c r="FB145" i="18"/>
  <c r="EO145" i="18"/>
  <c r="EA145" i="18"/>
  <c r="DN145" i="18"/>
  <c r="DA145" i="18"/>
  <c r="GI145" i="18"/>
  <c r="FV145" i="18"/>
  <c r="FI145" i="18"/>
  <c r="EU145" i="18"/>
  <c r="EH145" i="18"/>
  <c r="DU145" i="18"/>
  <c r="DG145" i="18"/>
  <c r="D145" i="18"/>
  <c r="GD145" i="18"/>
  <c r="FQ145" i="18"/>
  <c r="FD145" i="18"/>
  <c r="EP145" i="18"/>
  <c r="EC145" i="18"/>
  <c r="DP145" i="18"/>
  <c r="DB145" i="18"/>
  <c r="C145" i="18"/>
  <c r="FX145" i="18"/>
  <c r="DV145" i="18"/>
  <c r="EW145" i="18"/>
  <c r="H145" i="18"/>
  <c r="GK145" i="18"/>
  <c r="EJ145" i="18"/>
  <c r="FJ145" i="18"/>
  <c r="DI145" i="18"/>
  <c r="KE145" i="18"/>
  <c r="JZ145" i="18"/>
  <c r="JU145" i="18"/>
  <c r="JP145" i="18"/>
  <c r="JK145" i="18"/>
  <c r="JF145" i="18"/>
  <c r="JA145" i="18"/>
  <c r="IV145" i="18"/>
  <c r="IQ145" i="18"/>
  <c r="IL145" i="18"/>
  <c r="IG145" i="18"/>
  <c r="IB145" i="18"/>
  <c r="HW145" i="18"/>
  <c r="HR145" i="18"/>
  <c r="HM145" i="18"/>
  <c r="HH145" i="18"/>
  <c r="HC145" i="18"/>
  <c r="GX145" i="18"/>
  <c r="GS145" i="18"/>
  <c r="N145" i="18"/>
  <c r="AP145" i="18" s="1"/>
  <c r="K146" i="18"/>
  <c r="KF145" i="18"/>
  <c r="JY145" i="18"/>
  <c r="JR145" i="18"/>
  <c r="JL145" i="18"/>
  <c r="JE145" i="18"/>
  <c r="IX145" i="18"/>
  <c r="IR145" i="18"/>
  <c r="IK145" i="18"/>
  <c r="ID145" i="18"/>
  <c r="HX145" i="18"/>
  <c r="HQ145" i="18"/>
  <c r="HJ145" i="18"/>
  <c r="HD145" i="18"/>
  <c r="GW145" i="18"/>
  <c r="Q145" i="18"/>
  <c r="L145" i="18"/>
  <c r="BF145" i="18" s="1"/>
  <c r="KD145" i="18"/>
  <c r="JW145" i="18"/>
  <c r="JQ145" i="18"/>
  <c r="JJ145" i="18"/>
  <c r="JC145" i="18"/>
  <c r="IW145" i="18"/>
  <c r="IP145" i="18"/>
  <c r="II145" i="18"/>
  <c r="IC145" i="18"/>
  <c r="HV145" i="18"/>
  <c r="HO145" i="18"/>
  <c r="HI145" i="18"/>
  <c r="HB145" i="18"/>
  <c r="GU145" i="18"/>
  <c r="P145" i="18"/>
  <c r="KG145" i="18"/>
  <c r="JT145" i="18"/>
  <c r="JG145" i="18"/>
  <c r="IS145" i="18"/>
  <c r="IF145" i="18"/>
  <c r="HS145" i="18"/>
  <c r="HE145" i="18"/>
  <c r="GR145" i="18"/>
  <c r="KA145" i="18"/>
  <c r="JM145" i="18"/>
  <c r="IZ145" i="18"/>
  <c r="IM145" i="18"/>
  <c r="HY145" i="18"/>
  <c r="HL145" i="18"/>
  <c r="GY145" i="18"/>
  <c r="JV145" i="18"/>
  <c r="JH145" i="18"/>
  <c r="IU145" i="18"/>
  <c r="IH145" i="18"/>
  <c r="HT145" i="18"/>
  <c r="HG145" i="18"/>
  <c r="GT145" i="18"/>
  <c r="M145" i="18"/>
  <c r="KB145" i="18"/>
  <c r="IA145" i="18"/>
  <c r="JB145" i="18"/>
  <c r="GZ145" i="18"/>
  <c r="IN145" i="18"/>
  <c r="JO145" i="18"/>
  <c r="HN145" i="18"/>
  <c r="AS144" i="18"/>
  <c r="AC144" i="18"/>
  <c r="AR144" i="18"/>
  <c r="AB144" i="18"/>
  <c r="BF144" i="18"/>
  <c r="DK81" i="16" l="1"/>
  <c r="DJ82" i="16" s="1"/>
  <c r="DI82" i="16" s="1"/>
  <c r="DK82" i="16" s="1"/>
  <c r="DJ83" i="16" s="1"/>
  <c r="DI83" i="16" s="1"/>
  <c r="DK83" i="16" s="1"/>
  <c r="DJ84" i="16" s="1"/>
  <c r="DI84" i="16" s="1"/>
  <c r="DK84" i="16" s="1"/>
  <c r="DJ85" i="16" s="1"/>
  <c r="DI85" i="16" s="1"/>
  <c r="DK85" i="16" s="1"/>
  <c r="DJ86" i="16" s="1"/>
  <c r="DI86" i="16" s="1"/>
  <c r="DK86" i="16" s="1"/>
  <c r="DJ87" i="16" s="1"/>
  <c r="DI87" i="16" s="1"/>
  <c r="DK87" i="16" s="1"/>
  <c r="DJ88" i="16" s="1"/>
  <c r="DI88" i="16" s="1"/>
  <c r="DK88" i="16" s="1"/>
  <c r="DJ89" i="16" s="1"/>
  <c r="DI89" i="16" s="1"/>
  <c r="DK89" i="16" s="1"/>
  <c r="DJ90" i="16" s="1"/>
  <c r="DI90" i="16" s="1"/>
  <c r="DK90" i="16" s="1"/>
  <c r="DJ91" i="16" s="1"/>
  <c r="DI91" i="16" s="1"/>
  <c r="DK91" i="16" s="1"/>
  <c r="DJ92" i="16" s="1"/>
  <c r="DI92" i="16" s="1"/>
  <c r="DK92" i="16" s="1"/>
  <c r="DJ93" i="16" s="1"/>
  <c r="DI93" i="16" s="1"/>
  <c r="DK93" i="16" s="1"/>
  <c r="AF138" i="16"/>
  <c r="AW137" i="16"/>
  <c r="AG137" i="16"/>
  <c r="AV138" i="16"/>
  <c r="AN136" i="16"/>
  <c r="AO135" i="16"/>
  <c r="GK146" i="18"/>
  <c r="GF146" i="18"/>
  <c r="GA146" i="18"/>
  <c r="FV146" i="18"/>
  <c r="FQ146" i="18"/>
  <c r="FL146" i="18"/>
  <c r="FG146" i="18"/>
  <c r="FB146" i="18"/>
  <c r="EW146" i="18"/>
  <c r="ER146" i="18"/>
  <c r="EM146" i="18"/>
  <c r="EH146" i="18"/>
  <c r="EC146" i="18"/>
  <c r="DX146" i="18"/>
  <c r="DS146" i="18"/>
  <c r="DN146" i="18"/>
  <c r="DI146" i="18"/>
  <c r="DD146" i="18"/>
  <c r="CY146" i="18"/>
  <c r="E146" i="18"/>
  <c r="AH146" i="18" s="1"/>
  <c r="AX146" i="18" s="1"/>
  <c r="B147" i="18"/>
  <c r="GM146" i="18"/>
  <c r="GG146" i="18"/>
  <c r="FY146" i="18"/>
  <c r="FS146" i="18"/>
  <c r="FM146" i="18"/>
  <c r="FE146" i="18"/>
  <c r="EY146" i="18"/>
  <c r="ES146" i="18"/>
  <c r="EK146" i="18"/>
  <c r="EE146" i="18"/>
  <c r="DY146" i="18"/>
  <c r="DQ146" i="18"/>
  <c r="DK146" i="18"/>
  <c r="DE146" i="18"/>
  <c r="F146" i="18"/>
  <c r="GI146" i="18"/>
  <c r="GC146" i="18"/>
  <c r="FW146" i="18"/>
  <c r="FO146" i="18"/>
  <c r="FI146" i="18"/>
  <c r="FC146" i="18"/>
  <c r="EU146" i="18"/>
  <c r="EO146" i="18"/>
  <c r="EI146" i="18"/>
  <c r="EA146" i="18"/>
  <c r="DU146" i="18"/>
  <c r="DO146" i="18"/>
  <c r="DG146" i="18"/>
  <c r="DA146" i="18"/>
  <c r="H146" i="18"/>
  <c r="C146" i="18"/>
  <c r="GN146" i="18"/>
  <c r="GH146" i="18"/>
  <c r="GB146" i="18"/>
  <c r="FT146" i="18"/>
  <c r="FN146" i="18"/>
  <c r="FH146" i="18"/>
  <c r="EZ146" i="18"/>
  <c r="ET146" i="18"/>
  <c r="EN146" i="18"/>
  <c r="EF146" i="18"/>
  <c r="DZ146" i="18"/>
  <c r="DT146" i="18"/>
  <c r="DL146" i="18"/>
  <c r="DF146" i="18"/>
  <c r="CZ146" i="18"/>
  <c r="G146" i="18"/>
  <c r="FX146" i="18"/>
  <c r="EX146" i="18"/>
  <c r="DV146" i="18"/>
  <c r="GL146" i="18"/>
  <c r="FJ146" i="18"/>
  <c r="EJ146" i="18"/>
  <c r="DJ146" i="18"/>
  <c r="GD146" i="18"/>
  <c r="FD146" i="18"/>
  <c r="ED146" i="18"/>
  <c r="DB146" i="18"/>
  <c r="D146" i="18"/>
  <c r="DP146" i="18"/>
  <c r="FR146" i="18"/>
  <c r="EP146" i="18"/>
  <c r="Z144" i="18"/>
  <c r="V144" i="18"/>
  <c r="X144" i="18"/>
  <c r="W144" i="18"/>
  <c r="Y144" i="18"/>
  <c r="I146" i="18" a="1"/>
  <c r="I146" i="18" s="1"/>
  <c r="KD146" i="18"/>
  <c r="JY146" i="18"/>
  <c r="JT146" i="18"/>
  <c r="JO146" i="18"/>
  <c r="JJ146" i="18"/>
  <c r="JE146" i="18"/>
  <c r="IZ146" i="18"/>
  <c r="IU146" i="18"/>
  <c r="IP146" i="18"/>
  <c r="IK146" i="18"/>
  <c r="IF146" i="18"/>
  <c r="IA146" i="18"/>
  <c r="HV146" i="18"/>
  <c r="HQ146" i="18"/>
  <c r="HL146" i="18"/>
  <c r="HG146" i="18"/>
  <c r="HB146" i="18"/>
  <c r="GW146" i="18"/>
  <c r="GR146" i="18"/>
  <c r="Q146" i="18"/>
  <c r="M146" i="18"/>
  <c r="KE146" i="18"/>
  <c r="JW146" i="18"/>
  <c r="JQ146" i="18"/>
  <c r="JK146" i="18"/>
  <c r="JC146" i="18"/>
  <c r="IW146" i="18"/>
  <c r="IQ146" i="18"/>
  <c r="II146" i="18"/>
  <c r="IC146" i="18"/>
  <c r="HW146" i="18"/>
  <c r="HO146" i="18"/>
  <c r="HI146" i="18"/>
  <c r="HC146" i="18"/>
  <c r="GU146" i="18"/>
  <c r="P146" i="18"/>
  <c r="KG146" i="18"/>
  <c r="KA146" i="18"/>
  <c r="JU146" i="18"/>
  <c r="JM146" i="18"/>
  <c r="JG146" i="18"/>
  <c r="JA146" i="18"/>
  <c r="IS146" i="18"/>
  <c r="IM146" i="18"/>
  <c r="IG146" i="18"/>
  <c r="HY146" i="18"/>
  <c r="HS146" i="18"/>
  <c r="HM146" i="18"/>
  <c r="HE146" i="18"/>
  <c r="GY146" i="18"/>
  <c r="GS146" i="18"/>
  <c r="N146" i="18"/>
  <c r="AP146" i="18" s="1"/>
  <c r="KF146" i="18"/>
  <c r="JZ146" i="18"/>
  <c r="JR146" i="18"/>
  <c r="JL146" i="18"/>
  <c r="JF146" i="18"/>
  <c r="IX146" i="18"/>
  <c r="IR146" i="18"/>
  <c r="IL146" i="18"/>
  <c r="ID146" i="18"/>
  <c r="HX146" i="18"/>
  <c r="HR146" i="18"/>
  <c r="HJ146" i="18"/>
  <c r="HD146" i="18"/>
  <c r="GX146" i="18"/>
  <c r="L146" i="18"/>
  <c r="KB146" i="18"/>
  <c r="JB146" i="18"/>
  <c r="IB146" i="18"/>
  <c r="GZ146" i="18"/>
  <c r="JP146" i="18"/>
  <c r="IN146" i="18"/>
  <c r="HN146" i="18"/>
  <c r="JH146" i="18"/>
  <c r="IH146" i="18"/>
  <c r="HH146" i="18"/>
  <c r="HT146" i="18"/>
  <c r="JV146" i="18"/>
  <c r="IV146" i="18"/>
  <c r="K147" i="18"/>
  <c r="GT146" i="18"/>
  <c r="BF146" i="18"/>
  <c r="U145" i="18"/>
  <c r="A146" i="18" a="1"/>
  <c r="A146" i="18" s="1"/>
  <c r="AR145" i="18"/>
  <c r="AC145" i="18"/>
  <c r="AS145" i="18"/>
  <c r="AB145" i="18"/>
  <c r="DN81" i="16" l="1"/>
  <c r="DJ94" i="16"/>
  <c r="DI94" i="16" s="1"/>
  <c r="DK94" i="16" s="1"/>
  <c r="AF139" i="16"/>
  <c r="AV139" i="16"/>
  <c r="AW138" i="16"/>
  <c r="AG138" i="16"/>
  <c r="AN137" i="16"/>
  <c r="AO136" i="16"/>
  <c r="GN147" i="18"/>
  <c r="GI147" i="18"/>
  <c r="GD147" i="18"/>
  <c r="FY147" i="18"/>
  <c r="FT147" i="18"/>
  <c r="FO147" i="18"/>
  <c r="FJ147" i="18"/>
  <c r="FE147" i="18"/>
  <c r="EZ147" i="18"/>
  <c r="EU147" i="18"/>
  <c r="EP147" i="18"/>
  <c r="EK147" i="18"/>
  <c r="EF147" i="18"/>
  <c r="EA147" i="18"/>
  <c r="DV147" i="18"/>
  <c r="DQ147" i="18"/>
  <c r="DL147" i="18"/>
  <c r="DG147" i="18"/>
  <c r="DB147" i="18"/>
  <c r="H147" i="18"/>
  <c r="D147" i="18"/>
  <c r="GH147" i="18"/>
  <c r="GB147" i="18"/>
  <c r="FV147" i="18"/>
  <c r="FN147" i="18"/>
  <c r="FH147" i="18"/>
  <c r="FB147" i="18"/>
  <c r="ET147" i="18"/>
  <c r="EN147" i="18"/>
  <c r="EH147" i="18"/>
  <c r="DZ147" i="18"/>
  <c r="DT147" i="18"/>
  <c r="DN147" i="18"/>
  <c r="DF147" i="18"/>
  <c r="CZ147" i="18"/>
  <c r="G147" i="18"/>
  <c r="GL147" i="18"/>
  <c r="GF147" i="18"/>
  <c r="FX147" i="18"/>
  <c r="FR147" i="18"/>
  <c r="FL147" i="18"/>
  <c r="FD147" i="18"/>
  <c r="EX147" i="18"/>
  <c r="ER147" i="18"/>
  <c r="EJ147" i="18"/>
  <c r="ED147" i="18"/>
  <c r="DX147" i="18"/>
  <c r="DP147" i="18"/>
  <c r="DJ147" i="18"/>
  <c r="DD147" i="18"/>
  <c r="E147" i="18"/>
  <c r="AH147" i="18" s="1"/>
  <c r="AX147" i="18" s="1"/>
  <c r="GK147" i="18"/>
  <c r="GC147" i="18"/>
  <c r="FW147" i="18"/>
  <c r="FQ147" i="18"/>
  <c r="FI147" i="18"/>
  <c r="FC147" i="18"/>
  <c r="EW147" i="18"/>
  <c r="EO147" i="18"/>
  <c r="EI147" i="18"/>
  <c r="EC147" i="18"/>
  <c r="DU147" i="18"/>
  <c r="DO147" i="18"/>
  <c r="DI147" i="18"/>
  <c r="DA147" i="18"/>
  <c r="C147" i="18"/>
  <c r="A148" i="18" s="1" a="1"/>
  <c r="A148" i="18" s="1"/>
  <c r="B148" i="18"/>
  <c r="GG147" i="18"/>
  <c r="FG147" i="18"/>
  <c r="EE147" i="18"/>
  <c r="DE147" i="18"/>
  <c r="FS147" i="18"/>
  <c r="ES147" i="18"/>
  <c r="DS147" i="18"/>
  <c r="F147" i="18"/>
  <c r="GM147" i="18"/>
  <c r="FM147" i="18"/>
  <c r="EM147" i="18"/>
  <c r="DK147" i="18"/>
  <c r="GA147" i="18"/>
  <c r="DY147" i="18"/>
  <c r="CY147" i="18"/>
  <c r="EY147" i="18"/>
  <c r="AC146" i="18"/>
  <c r="AR146" i="18"/>
  <c r="AB146" i="18"/>
  <c r="AS146" i="18"/>
  <c r="U146" i="18"/>
  <c r="I147" i="18" a="1"/>
  <c r="I147" i="18" s="1"/>
  <c r="A147" i="18" a="1"/>
  <c r="A147" i="18" s="1"/>
  <c r="Y145" i="18"/>
  <c r="Z145" i="18"/>
  <c r="X145" i="18"/>
  <c r="W145" i="18"/>
  <c r="V145" i="18"/>
  <c r="K148" i="18"/>
  <c r="KG147" i="18"/>
  <c r="KB147" i="18"/>
  <c r="JW147" i="18"/>
  <c r="JR147" i="18"/>
  <c r="JM147" i="18"/>
  <c r="JH147" i="18"/>
  <c r="JC147" i="18"/>
  <c r="IX147" i="18"/>
  <c r="IS147" i="18"/>
  <c r="IN147" i="18"/>
  <c r="II147" i="18"/>
  <c r="ID147" i="18"/>
  <c r="HY147" i="18"/>
  <c r="HT147" i="18"/>
  <c r="HO147" i="18"/>
  <c r="HJ147" i="18"/>
  <c r="HE147" i="18"/>
  <c r="GZ147" i="18"/>
  <c r="GU147" i="18"/>
  <c r="P147" i="18"/>
  <c r="L147" i="18"/>
  <c r="BF147" i="18" s="1"/>
  <c r="KF147" i="18"/>
  <c r="JZ147" i="18"/>
  <c r="JT147" i="18"/>
  <c r="JL147" i="18"/>
  <c r="JF147" i="18"/>
  <c r="IZ147" i="18"/>
  <c r="IR147" i="18"/>
  <c r="IL147" i="18"/>
  <c r="IF147" i="18"/>
  <c r="HX147" i="18"/>
  <c r="HR147" i="18"/>
  <c r="HL147" i="18"/>
  <c r="HD147" i="18"/>
  <c r="GX147" i="18"/>
  <c r="GR147" i="18"/>
  <c r="M147" i="18"/>
  <c r="KD147" i="18"/>
  <c r="JV147" i="18"/>
  <c r="JP147" i="18"/>
  <c r="JJ147" i="18"/>
  <c r="JB147" i="18"/>
  <c r="IV147" i="18"/>
  <c r="IP147" i="18"/>
  <c r="IH147" i="18"/>
  <c r="IB147" i="18"/>
  <c r="HV147" i="18"/>
  <c r="HN147" i="18"/>
  <c r="HH147" i="18"/>
  <c r="HB147" i="18"/>
  <c r="GT147" i="18"/>
  <c r="KA147" i="18"/>
  <c r="JU147" i="18"/>
  <c r="JO147" i="18"/>
  <c r="JG147" i="18"/>
  <c r="JA147" i="18"/>
  <c r="IU147" i="18"/>
  <c r="IM147" i="18"/>
  <c r="IG147" i="18"/>
  <c r="IA147" i="18"/>
  <c r="HS147" i="18"/>
  <c r="HM147" i="18"/>
  <c r="HG147" i="18"/>
  <c r="GY147" i="18"/>
  <c r="GS147" i="18"/>
  <c r="N147" i="18"/>
  <c r="AP147" i="18" s="1"/>
  <c r="JK147" i="18"/>
  <c r="IK147" i="18"/>
  <c r="HI147" i="18"/>
  <c r="JY147" i="18"/>
  <c r="IW147" i="18"/>
  <c r="HW147" i="18"/>
  <c r="GW147" i="18"/>
  <c r="JQ147" i="18"/>
  <c r="IQ147" i="18"/>
  <c r="HQ147" i="18"/>
  <c r="Q147" i="18"/>
  <c r="KE147" i="18"/>
  <c r="IC147" i="18"/>
  <c r="HC147" i="18"/>
  <c r="JE147" i="18"/>
  <c r="DP81" i="16" l="1"/>
  <c r="DO82" i="16" s="1"/>
  <c r="DM81" i="16"/>
  <c r="DM82" i="16" s="1"/>
  <c r="DM83" i="16" s="1"/>
  <c r="DM84" i="16" s="1"/>
  <c r="DM85" i="16" s="1"/>
  <c r="DM86" i="16" s="1"/>
  <c r="DM87" i="16" s="1"/>
  <c r="DM88" i="16" s="1"/>
  <c r="DM89" i="16" s="1"/>
  <c r="DM90" i="16" s="1"/>
  <c r="DM91" i="16" s="1"/>
  <c r="DM92" i="16" s="1"/>
  <c r="DM93" i="16" s="1"/>
  <c r="DM94" i="16" s="1"/>
  <c r="DJ95" i="16"/>
  <c r="DI95" i="16" s="1"/>
  <c r="DK95" i="16" s="1"/>
  <c r="AO137" i="16"/>
  <c r="AN138" i="16"/>
  <c r="AF140" i="16"/>
  <c r="AW139" i="16"/>
  <c r="AV140" i="16"/>
  <c r="AG139" i="16"/>
  <c r="B149" i="18"/>
  <c r="GM148" i="18"/>
  <c r="GH148" i="18"/>
  <c r="GC148" i="18"/>
  <c r="FX148" i="18"/>
  <c r="FS148" i="18"/>
  <c r="FN148" i="18"/>
  <c r="FI148" i="18"/>
  <c r="FD148" i="18"/>
  <c r="EY148" i="18"/>
  <c r="ET148" i="18"/>
  <c r="EO148" i="18"/>
  <c r="EJ148" i="18"/>
  <c r="EE148" i="18"/>
  <c r="DZ148" i="18"/>
  <c r="DU148" i="18"/>
  <c r="DP148" i="18"/>
  <c r="DK148" i="18"/>
  <c r="DF148" i="18"/>
  <c r="DA148" i="18"/>
  <c r="G148" i="18"/>
  <c r="C148" i="18"/>
  <c r="GL148" i="18"/>
  <c r="GI148" i="18"/>
  <c r="GB148" i="18"/>
  <c r="FV148" i="18"/>
  <c r="FO148" i="18"/>
  <c r="FH148" i="18"/>
  <c r="FB148" i="18"/>
  <c r="EU148" i="18"/>
  <c r="EN148" i="18"/>
  <c r="EH148" i="18"/>
  <c r="EA148" i="18"/>
  <c r="DT148" i="18"/>
  <c r="DN148" i="18"/>
  <c r="DG148" i="18"/>
  <c r="CZ148" i="18"/>
  <c r="D148" i="18"/>
  <c r="GN148" i="18"/>
  <c r="GF148" i="18"/>
  <c r="FY148" i="18"/>
  <c r="FR148" i="18"/>
  <c r="FL148" i="18"/>
  <c r="FE148" i="18"/>
  <c r="EX148" i="18"/>
  <c r="ER148" i="18"/>
  <c r="EK148" i="18"/>
  <c r="ED148" i="18"/>
  <c r="DX148" i="18"/>
  <c r="DQ148" i="18"/>
  <c r="DJ148" i="18"/>
  <c r="DD148" i="18"/>
  <c r="F148" i="18"/>
  <c r="GK148" i="18"/>
  <c r="GD148" i="18"/>
  <c r="FW148" i="18"/>
  <c r="FQ148" i="18"/>
  <c r="FJ148" i="18"/>
  <c r="FC148" i="18"/>
  <c r="EW148" i="18"/>
  <c r="EP148" i="18"/>
  <c r="EI148" i="18"/>
  <c r="EC148" i="18"/>
  <c r="DV148" i="18"/>
  <c r="DO148" i="18"/>
  <c r="DI148" i="18"/>
  <c r="DB148" i="18"/>
  <c r="E148" i="18"/>
  <c r="AH148" i="18" s="1"/>
  <c r="AX148" i="18" s="1"/>
  <c r="FM148" i="18"/>
  <c r="EM148" i="18"/>
  <c r="DL148" i="18"/>
  <c r="GA148" i="18"/>
  <c r="EZ148" i="18"/>
  <c r="DY148" i="18"/>
  <c r="CY148" i="18"/>
  <c r="FT148" i="18"/>
  <c r="ES148" i="18"/>
  <c r="DS148" i="18"/>
  <c r="H148" i="18"/>
  <c r="FG148" i="18"/>
  <c r="DE148" i="18"/>
  <c r="GG148" i="18"/>
  <c r="EF148" i="18"/>
  <c r="I148" i="18" a="1"/>
  <c r="I148" i="18" s="1"/>
  <c r="U147" i="18"/>
  <c r="A149" i="18" a="1"/>
  <c r="A149" i="18" s="1"/>
  <c r="KF148" i="18"/>
  <c r="KA148" i="18"/>
  <c r="JV148" i="18"/>
  <c r="JQ148" i="18"/>
  <c r="JL148" i="18"/>
  <c r="JG148" i="18"/>
  <c r="JB148" i="18"/>
  <c r="IW148" i="18"/>
  <c r="IR148" i="18"/>
  <c r="IM148" i="18"/>
  <c r="IH148" i="18"/>
  <c r="IC148" i="18"/>
  <c r="HX148" i="18"/>
  <c r="HS148" i="18"/>
  <c r="HN148" i="18"/>
  <c r="HI148" i="18"/>
  <c r="HD148" i="18"/>
  <c r="GY148" i="18"/>
  <c r="GT148" i="18"/>
  <c r="KE148" i="18"/>
  <c r="JZ148" i="18"/>
  <c r="JU148" i="18"/>
  <c r="JP148" i="18"/>
  <c r="JK148" i="18"/>
  <c r="JF148" i="18"/>
  <c r="JA148" i="18"/>
  <c r="IV148" i="18"/>
  <c r="IQ148" i="18"/>
  <c r="IL148" i="18"/>
  <c r="IG148" i="18"/>
  <c r="IB148" i="18"/>
  <c r="HW148" i="18"/>
  <c r="HR148" i="18"/>
  <c r="HM148" i="18"/>
  <c r="HH148" i="18"/>
  <c r="HC148" i="18"/>
  <c r="GX148" i="18"/>
  <c r="GS148" i="18"/>
  <c r="KG148" i="18"/>
  <c r="JW148" i="18"/>
  <c r="JM148" i="18"/>
  <c r="JC148" i="18"/>
  <c r="IS148" i="18"/>
  <c r="II148" i="18"/>
  <c r="HY148" i="18"/>
  <c r="HO148" i="18"/>
  <c r="HE148" i="18"/>
  <c r="GU148" i="18"/>
  <c r="N148" i="18"/>
  <c r="AP148" i="18" s="1"/>
  <c r="K149" i="18"/>
  <c r="KB148" i="18"/>
  <c r="JR148" i="18"/>
  <c r="JH148" i="18"/>
  <c r="IX148" i="18"/>
  <c r="IN148" i="18"/>
  <c r="ID148" i="18"/>
  <c r="HT148" i="18"/>
  <c r="HJ148" i="18"/>
  <c r="GZ148" i="18"/>
  <c r="P148" i="18"/>
  <c r="L148" i="18"/>
  <c r="JY148" i="18"/>
  <c r="JO148" i="18"/>
  <c r="JE148" i="18"/>
  <c r="IU148" i="18"/>
  <c r="IK148" i="18"/>
  <c r="IA148" i="18"/>
  <c r="HQ148" i="18"/>
  <c r="HG148" i="18"/>
  <c r="GW148" i="18"/>
  <c r="JT148" i="18"/>
  <c r="IF148" i="18"/>
  <c r="GR148" i="18"/>
  <c r="Q148" i="18"/>
  <c r="IZ148" i="18"/>
  <c r="HL148" i="18"/>
  <c r="M148" i="18"/>
  <c r="KD148" i="18"/>
  <c r="IP148" i="18"/>
  <c r="HB148" i="18"/>
  <c r="HV148" i="18"/>
  <c r="JJ148" i="18"/>
  <c r="X146" i="18"/>
  <c r="Y146" i="18"/>
  <c r="V146" i="18"/>
  <c r="Z146" i="18"/>
  <c r="W146" i="18"/>
  <c r="AB147" i="18"/>
  <c r="AS147" i="18"/>
  <c r="AC147" i="18"/>
  <c r="AR147" i="18"/>
  <c r="DN82" i="16" l="1"/>
  <c r="DP82" i="16" s="1"/>
  <c r="DO83" i="16" s="1"/>
  <c r="DN83" i="16" s="1"/>
  <c r="DP83" i="16" s="1"/>
  <c r="DO84" i="16" s="1"/>
  <c r="DN84" i="16" s="1"/>
  <c r="DP84" i="16" s="1"/>
  <c r="DO85" i="16" s="1"/>
  <c r="DN85" i="16" s="1"/>
  <c r="DP85" i="16" s="1"/>
  <c r="DO86" i="16" s="1"/>
  <c r="DN86" i="16" s="1"/>
  <c r="DP86" i="16" s="1"/>
  <c r="DO87" i="16" s="1"/>
  <c r="DN87" i="16" s="1"/>
  <c r="DP87" i="16" s="1"/>
  <c r="DO88" i="16" s="1"/>
  <c r="DN88" i="16" s="1"/>
  <c r="DP88" i="16" s="1"/>
  <c r="DO89" i="16" s="1"/>
  <c r="DN89" i="16" s="1"/>
  <c r="DP89" i="16" s="1"/>
  <c r="DO90" i="16" s="1"/>
  <c r="DN90" i="16" s="1"/>
  <c r="DP90" i="16" s="1"/>
  <c r="DO91" i="16" s="1"/>
  <c r="DN91" i="16" s="1"/>
  <c r="DP91" i="16" s="1"/>
  <c r="DO92" i="16" s="1"/>
  <c r="DN92" i="16" s="1"/>
  <c r="DP92" i="16" s="1"/>
  <c r="DO93" i="16" s="1"/>
  <c r="DN93" i="16" s="1"/>
  <c r="DP93" i="16" s="1"/>
  <c r="DJ96" i="16"/>
  <c r="DI96" i="16" s="1"/>
  <c r="DK96" i="16" s="1"/>
  <c r="DM95" i="16"/>
  <c r="AW140" i="16"/>
  <c r="AG140" i="16"/>
  <c r="AV141" i="16"/>
  <c r="AF141" i="16"/>
  <c r="AO138" i="16"/>
  <c r="AN139" i="16"/>
  <c r="I149" i="18" a="1"/>
  <c r="I149" i="18" s="1"/>
  <c r="W147" i="18"/>
  <c r="Z147" i="18"/>
  <c r="X147" i="18"/>
  <c r="V147" i="18"/>
  <c r="Y147" i="18"/>
  <c r="AS148" i="18"/>
  <c r="AR148" i="18"/>
  <c r="AB148" i="18"/>
  <c r="AC148" i="18"/>
  <c r="U148" i="18"/>
  <c r="KE149" i="18"/>
  <c r="JZ149" i="18"/>
  <c r="JU149" i="18"/>
  <c r="JP149" i="18"/>
  <c r="JK149" i="18"/>
  <c r="JF149" i="18"/>
  <c r="JA149" i="18"/>
  <c r="IV149" i="18"/>
  <c r="IQ149" i="18"/>
  <c r="IL149" i="18"/>
  <c r="IG149" i="18"/>
  <c r="IB149" i="18"/>
  <c r="HW149" i="18"/>
  <c r="HR149" i="18"/>
  <c r="HM149" i="18"/>
  <c r="HH149" i="18"/>
  <c r="HC149" i="18"/>
  <c r="GX149" i="18"/>
  <c r="GS149" i="18"/>
  <c r="N149" i="18"/>
  <c r="AP149" i="18" s="1"/>
  <c r="KD149" i="18"/>
  <c r="JY149" i="18"/>
  <c r="JT149" i="18"/>
  <c r="JO149" i="18"/>
  <c r="JJ149" i="18"/>
  <c r="JE149" i="18"/>
  <c r="IZ149" i="18"/>
  <c r="IU149" i="18"/>
  <c r="IP149" i="18"/>
  <c r="IK149" i="18"/>
  <c r="IF149" i="18"/>
  <c r="IA149" i="18"/>
  <c r="HV149" i="18"/>
  <c r="HQ149" i="18"/>
  <c r="HL149" i="18"/>
  <c r="HG149" i="18"/>
  <c r="HB149" i="18"/>
  <c r="GW149" i="18"/>
  <c r="GR149" i="18"/>
  <c r="Q149" i="18"/>
  <c r="M149" i="18"/>
  <c r="KF149" i="18"/>
  <c r="JV149" i="18"/>
  <c r="JL149" i="18"/>
  <c r="JB149" i="18"/>
  <c r="IR149" i="18"/>
  <c r="IH149" i="18"/>
  <c r="HX149" i="18"/>
  <c r="HN149" i="18"/>
  <c r="HD149" i="18"/>
  <c r="GT149" i="18"/>
  <c r="KA149" i="18"/>
  <c r="JQ149" i="18"/>
  <c r="JG149" i="18"/>
  <c r="IW149" i="18"/>
  <c r="IM149" i="18"/>
  <c r="IC149" i="18"/>
  <c r="HS149" i="18"/>
  <c r="HI149" i="18"/>
  <c r="GY149" i="18"/>
  <c r="KG149" i="18"/>
  <c r="JW149" i="18"/>
  <c r="JM149" i="18"/>
  <c r="JC149" i="18"/>
  <c r="IS149" i="18"/>
  <c r="II149" i="18"/>
  <c r="HY149" i="18"/>
  <c r="HO149" i="18"/>
  <c r="HE149" i="18"/>
  <c r="GU149" i="18"/>
  <c r="P149" i="18"/>
  <c r="K150" i="18"/>
  <c r="JH149" i="18"/>
  <c r="HT149" i="18"/>
  <c r="KB149" i="18"/>
  <c r="IN149" i="18"/>
  <c r="GZ149" i="18"/>
  <c r="JR149" i="18"/>
  <c r="ID149" i="18"/>
  <c r="L149" i="18"/>
  <c r="IX149" i="18"/>
  <c r="HJ149" i="18"/>
  <c r="BF148" i="18"/>
  <c r="GL149" i="18"/>
  <c r="GG149" i="18"/>
  <c r="GB149" i="18"/>
  <c r="FW149" i="18"/>
  <c r="FR149" i="18"/>
  <c r="FM149" i="18"/>
  <c r="FH149" i="18"/>
  <c r="FC149" i="18"/>
  <c r="EX149" i="18"/>
  <c r="ES149" i="18"/>
  <c r="EN149" i="18"/>
  <c r="EI149" i="18"/>
  <c r="ED149" i="18"/>
  <c r="DY149" i="18"/>
  <c r="DT149" i="18"/>
  <c r="DO149" i="18"/>
  <c r="DJ149" i="18"/>
  <c r="DE149" i="18"/>
  <c r="CZ149" i="18"/>
  <c r="F149" i="18"/>
  <c r="GK149" i="18"/>
  <c r="GF149" i="18"/>
  <c r="GA149" i="18"/>
  <c r="FV149" i="18"/>
  <c r="FQ149" i="18"/>
  <c r="FL149" i="18"/>
  <c r="FG149" i="18"/>
  <c r="FB149" i="18"/>
  <c r="EW149" i="18"/>
  <c r="ER149" i="18"/>
  <c r="EM149" i="18"/>
  <c r="EH149" i="18"/>
  <c r="EC149" i="18"/>
  <c r="DX149" i="18"/>
  <c r="DS149" i="18"/>
  <c r="DN149" i="18"/>
  <c r="DI149" i="18"/>
  <c r="DD149" i="18"/>
  <c r="CY149" i="18"/>
  <c r="E149" i="18"/>
  <c r="AH149" i="18" s="1"/>
  <c r="AX149" i="18" s="1"/>
  <c r="GH149" i="18"/>
  <c r="FX149" i="18"/>
  <c r="FN149" i="18"/>
  <c r="FD149" i="18"/>
  <c r="ET149" i="18"/>
  <c r="EJ149" i="18"/>
  <c r="DZ149" i="18"/>
  <c r="DP149" i="18"/>
  <c r="DF149" i="18"/>
  <c r="G149" i="18"/>
  <c r="B150" i="18"/>
  <c r="GM149" i="18"/>
  <c r="GC149" i="18"/>
  <c r="FS149" i="18"/>
  <c r="FI149" i="18"/>
  <c r="EY149" i="18"/>
  <c r="EO149" i="18"/>
  <c r="EE149" i="18"/>
  <c r="DU149" i="18"/>
  <c r="DK149" i="18"/>
  <c r="DA149" i="18"/>
  <c r="C149" i="18"/>
  <c r="GI149" i="18"/>
  <c r="FY149" i="18"/>
  <c r="FO149" i="18"/>
  <c r="FE149" i="18"/>
  <c r="EU149" i="18"/>
  <c r="EK149" i="18"/>
  <c r="EA149" i="18"/>
  <c r="DQ149" i="18"/>
  <c r="DG149" i="18"/>
  <c r="H149" i="18"/>
  <c r="GD149" i="18"/>
  <c r="EP149" i="18"/>
  <c r="DB149" i="18"/>
  <c r="FJ149" i="18"/>
  <c r="DV149" i="18"/>
  <c r="D149" i="18"/>
  <c r="GN149" i="18"/>
  <c r="EZ149" i="18"/>
  <c r="DL149" i="18"/>
  <c r="FT149" i="18"/>
  <c r="EF149" i="18"/>
  <c r="DO94" i="16" l="1"/>
  <c r="DN94" i="16" s="1"/>
  <c r="DP94" i="16" s="1"/>
  <c r="DJ97" i="16"/>
  <c r="DI97" i="16" s="1"/>
  <c r="DK97" i="16" s="1"/>
  <c r="DM96" i="16"/>
  <c r="AW141" i="16"/>
  <c r="AG141" i="16"/>
  <c r="AV142" i="16"/>
  <c r="AF142" i="16"/>
  <c r="AN140" i="16"/>
  <c r="AO139" i="16"/>
  <c r="I150" i="18" a="1"/>
  <c r="I150" i="18" s="1"/>
  <c r="GK150" i="18"/>
  <c r="GF150" i="18"/>
  <c r="GA150" i="18"/>
  <c r="FV150" i="18"/>
  <c r="FQ150" i="18"/>
  <c r="FL150" i="18"/>
  <c r="FG150" i="18"/>
  <c r="FB150" i="18"/>
  <c r="EW150" i="18"/>
  <c r="ER150" i="18"/>
  <c r="EM150" i="18"/>
  <c r="EH150" i="18"/>
  <c r="EC150" i="18"/>
  <c r="DX150" i="18"/>
  <c r="DS150" i="18"/>
  <c r="DN150" i="18"/>
  <c r="DI150" i="18"/>
  <c r="DD150" i="18"/>
  <c r="CY150" i="18"/>
  <c r="E150" i="18"/>
  <c r="AH150" i="18" s="1"/>
  <c r="AX150" i="18" s="1"/>
  <c r="GN150" i="18"/>
  <c r="GI150" i="18"/>
  <c r="GD150" i="18"/>
  <c r="FY150" i="18"/>
  <c r="FT150" i="18"/>
  <c r="FO150" i="18"/>
  <c r="FJ150" i="18"/>
  <c r="FE150" i="18"/>
  <c r="EZ150" i="18"/>
  <c r="EU150" i="18"/>
  <c r="EP150" i="18"/>
  <c r="EK150" i="18"/>
  <c r="EF150" i="18"/>
  <c r="EA150" i="18"/>
  <c r="DV150" i="18"/>
  <c r="DQ150" i="18"/>
  <c r="DL150" i="18"/>
  <c r="DG150" i="18"/>
  <c r="DB150" i="18"/>
  <c r="H150" i="18"/>
  <c r="D150" i="18"/>
  <c r="GG150" i="18"/>
  <c r="FW150" i="18"/>
  <c r="FM150" i="18"/>
  <c r="FC150" i="18"/>
  <c r="ES150" i="18"/>
  <c r="EI150" i="18"/>
  <c r="DY150" i="18"/>
  <c r="DO150" i="18"/>
  <c r="DE150" i="18"/>
  <c r="F150" i="18"/>
  <c r="GL150" i="18"/>
  <c r="GB150" i="18"/>
  <c r="FR150" i="18"/>
  <c r="FH150" i="18"/>
  <c r="EX150" i="18"/>
  <c r="EN150" i="18"/>
  <c r="ED150" i="18"/>
  <c r="DT150" i="18"/>
  <c r="DJ150" i="18"/>
  <c r="CZ150" i="18"/>
  <c r="GH150" i="18"/>
  <c r="FX150" i="18"/>
  <c r="FN150" i="18"/>
  <c r="FD150" i="18"/>
  <c r="ET150" i="18"/>
  <c r="EJ150" i="18"/>
  <c r="DZ150" i="18"/>
  <c r="DP150" i="18"/>
  <c r="DF150" i="18"/>
  <c r="G150" i="18"/>
  <c r="B151" i="18"/>
  <c r="FS150" i="18"/>
  <c r="EE150" i="18"/>
  <c r="GM150" i="18"/>
  <c r="EY150" i="18"/>
  <c r="DK150" i="18"/>
  <c r="GC150" i="18"/>
  <c r="EO150" i="18"/>
  <c r="DA150" i="18"/>
  <c r="FI150" i="18"/>
  <c r="DU150" i="18"/>
  <c r="C150" i="18"/>
  <c r="KD150" i="18"/>
  <c r="JY150" i="18"/>
  <c r="JT150" i="18"/>
  <c r="JO150" i="18"/>
  <c r="JJ150" i="18"/>
  <c r="JE150" i="18"/>
  <c r="IZ150" i="18"/>
  <c r="IU150" i="18"/>
  <c r="IP150" i="18"/>
  <c r="IK150" i="18"/>
  <c r="IF150" i="18"/>
  <c r="IA150" i="18"/>
  <c r="HV150" i="18"/>
  <c r="HQ150" i="18"/>
  <c r="HL150" i="18"/>
  <c r="HG150" i="18"/>
  <c r="HB150" i="18"/>
  <c r="GW150" i="18"/>
  <c r="GR150" i="18"/>
  <c r="Q150" i="18"/>
  <c r="M150" i="18"/>
  <c r="K151" i="18"/>
  <c r="KG150" i="18"/>
  <c r="KB150" i="18"/>
  <c r="JW150" i="18"/>
  <c r="JR150" i="18"/>
  <c r="JM150" i="18"/>
  <c r="JH150" i="18"/>
  <c r="JC150" i="18"/>
  <c r="IX150" i="18"/>
  <c r="IS150" i="18"/>
  <c r="IN150" i="18"/>
  <c r="II150" i="18"/>
  <c r="ID150" i="18"/>
  <c r="HY150" i="18"/>
  <c r="HT150" i="18"/>
  <c r="HO150" i="18"/>
  <c r="HJ150" i="18"/>
  <c r="HE150" i="18"/>
  <c r="GZ150" i="18"/>
  <c r="GU150" i="18"/>
  <c r="P150" i="18"/>
  <c r="L150" i="18"/>
  <c r="KE150" i="18"/>
  <c r="JU150" i="18"/>
  <c r="JK150" i="18"/>
  <c r="JA150" i="18"/>
  <c r="IQ150" i="18"/>
  <c r="IG150" i="18"/>
  <c r="HW150" i="18"/>
  <c r="HM150" i="18"/>
  <c r="HC150" i="18"/>
  <c r="GS150" i="18"/>
  <c r="N150" i="18"/>
  <c r="AP150" i="18" s="1"/>
  <c r="JZ150" i="18"/>
  <c r="JP150" i="18"/>
  <c r="JF150" i="18"/>
  <c r="IV150" i="18"/>
  <c r="IL150" i="18"/>
  <c r="IB150" i="18"/>
  <c r="HR150" i="18"/>
  <c r="HH150" i="18"/>
  <c r="GX150" i="18"/>
  <c r="KF150" i="18"/>
  <c r="JV150" i="18"/>
  <c r="JL150" i="18"/>
  <c r="JB150" i="18"/>
  <c r="IR150" i="18"/>
  <c r="IH150" i="18"/>
  <c r="HX150" i="18"/>
  <c r="HN150" i="18"/>
  <c r="HD150" i="18"/>
  <c r="GT150" i="18"/>
  <c r="IW150" i="18"/>
  <c r="HI150" i="18"/>
  <c r="JQ150" i="18"/>
  <c r="IC150" i="18"/>
  <c r="JG150" i="18"/>
  <c r="HS150" i="18"/>
  <c r="IM150" i="18"/>
  <c r="KA150" i="18"/>
  <c r="GY150" i="18"/>
  <c r="BF150" i="18"/>
  <c r="BF149" i="18"/>
  <c r="AR149" i="18"/>
  <c r="AC149" i="18"/>
  <c r="AS149" i="18"/>
  <c r="AB149" i="18"/>
  <c r="U149" i="18"/>
  <c r="A150" i="18" a="1"/>
  <c r="A150" i="18" s="1"/>
  <c r="Z148" i="18"/>
  <c r="V148" i="18"/>
  <c r="X148" i="18"/>
  <c r="W148" i="18"/>
  <c r="Y148" i="18"/>
  <c r="I151" i="18" a="1"/>
  <c r="I151" i="18" s="1"/>
  <c r="DJ98" i="16" l="1"/>
  <c r="DI98" i="16" s="1"/>
  <c r="DK98" i="16" s="1"/>
  <c r="DO95" i="16"/>
  <c r="DN95" i="16" s="1"/>
  <c r="DP95" i="16" s="1"/>
  <c r="DM97" i="16"/>
  <c r="AG142" i="16"/>
  <c r="AW142" i="16"/>
  <c r="AF143" i="16"/>
  <c r="AV143" i="16"/>
  <c r="AO140" i="16"/>
  <c r="AN141" i="16"/>
  <c r="K152" i="18"/>
  <c r="KG151" i="18"/>
  <c r="KB151" i="18"/>
  <c r="JW151" i="18"/>
  <c r="JR151" i="18"/>
  <c r="JM151" i="18"/>
  <c r="JH151" i="18"/>
  <c r="JC151" i="18"/>
  <c r="IX151" i="18"/>
  <c r="IS151" i="18"/>
  <c r="IN151" i="18"/>
  <c r="II151" i="18"/>
  <c r="ID151" i="18"/>
  <c r="HY151" i="18"/>
  <c r="HT151" i="18"/>
  <c r="HO151" i="18"/>
  <c r="HJ151" i="18"/>
  <c r="HE151" i="18"/>
  <c r="GZ151" i="18"/>
  <c r="GU151" i="18"/>
  <c r="P151" i="18"/>
  <c r="L151" i="18"/>
  <c r="BF151" i="18" s="1"/>
  <c r="KF151" i="18"/>
  <c r="KA151" i="18"/>
  <c r="JV151" i="18"/>
  <c r="JQ151" i="18"/>
  <c r="JL151" i="18"/>
  <c r="JG151" i="18"/>
  <c r="JB151" i="18"/>
  <c r="IW151" i="18"/>
  <c r="IR151" i="18"/>
  <c r="IM151" i="18"/>
  <c r="IH151" i="18"/>
  <c r="IC151" i="18"/>
  <c r="HX151" i="18"/>
  <c r="HS151" i="18"/>
  <c r="HN151" i="18"/>
  <c r="HI151" i="18"/>
  <c r="HD151" i="18"/>
  <c r="GY151" i="18"/>
  <c r="GT151" i="18"/>
  <c r="JZ151" i="18"/>
  <c r="JP151" i="18"/>
  <c r="JF151" i="18"/>
  <c r="IV151" i="18"/>
  <c r="IL151" i="18"/>
  <c r="IB151" i="18"/>
  <c r="HR151" i="18"/>
  <c r="HH151" i="18"/>
  <c r="GX151" i="18"/>
  <c r="M151" i="18"/>
  <c r="KE151" i="18"/>
  <c r="JU151" i="18"/>
  <c r="JK151" i="18"/>
  <c r="JA151" i="18"/>
  <c r="IQ151" i="18"/>
  <c r="IG151" i="18"/>
  <c r="HW151" i="18"/>
  <c r="HM151" i="18"/>
  <c r="HC151" i="18"/>
  <c r="GS151" i="18"/>
  <c r="KD151" i="18"/>
  <c r="JT151" i="18"/>
  <c r="JJ151" i="18"/>
  <c r="IZ151" i="18"/>
  <c r="IP151" i="18"/>
  <c r="IF151" i="18"/>
  <c r="HV151" i="18"/>
  <c r="HL151" i="18"/>
  <c r="HB151" i="18"/>
  <c r="GR151" i="18"/>
  <c r="N151" i="18"/>
  <c r="AP151" i="18" s="1"/>
  <c r="JE151" i="18"/>
  <c r="HQ151" i="18"/>
  <c r="JY151" i="18"/>
  <c r="IK151" i="18"/>
  <c r="GW151" i="18"/>
  <c r="JO151" i="18"/>
  <c r="IA151" i="18"/>
  <c r="HG151" i="18"/>
  <c r="IU151" i="18"/>
  <c r="Q151" i="18"/>
  <c r="U150" i="18"/>
  <c r="AC150" i="18"/>
  <c r="AB150" i="18"/>
  <c r="AR150" i="18"/>
  <c r="AS150" i="18"/>
  <c r="A151" i="18" a="1"/>
  <c r="A151" i="18" s="1"/>
  <c r="Y149" i="18"/>
  <c r="X149" i="18"/>
  <c r="Z149" i="18"/>
  <c r="V149" i="18"/>
  <c r="W149" i="18"/>
  <c r="GN151" i="18"/>
  <c r="GI151" i="18"/>
  <c r="GD151" i="18"/>
  <c r="FY151" i="18"/>
  <c r="FT151" i="18"/>
  <c r="FO151" i="18"/>
  <c r="FJ151" i="18"/>
  <c r="FE151" i="18"/>
  <c r="EZ151" i="18"/>
  <c r="EU151" i="18"/>
  <c r="EP151" i="18"/>
  <c r="EK151" i="18"/>
  <c r="EF151" i="18"/>
  <c r="EA151" i="18"/>
  <c r="DV151" i="18"/>
  <c r="DQ151" i="18"/>
  <c r="DL151" i="18"/>
  <c r="DG151" i="18"/>
  <c r="DB151" i="18"/>
  <c r="H151" i="18"/>
  <c r="D151" i="18"/>
  <c r="B152" i="18"/>
  <c r="GM151" i="18"/>
  <c r="GH151" i="18"/>
  <c r="GC151" i="18"/>
  <c r="FX151" i="18"/>
  <c r="FS151" i="18"/>
  <c r="FN151" i="18"/>
  <c r="FI151" i="18"/>
  <c r="FD151" i="18"/>
  <c r="EY151" i="18"/>
  <c r="ET151" i="18"/>
  <c r="EO151" i="18"/>
  <c r="EJ151" i="18"/>
  <c r="EE151" i="18"/>
  <c r="DZ151" i="18"/>
  <c r="DU151" i="18"/>
  <c r="DP151" i="18"/>
  <c r="DK151" i="18"/>
  <c r="DF151" i="18"/>
  <c r="DA151" i="18"/>
  <c r="G151" i="18"/>
  <c r="C151" i="18"/>
  <c r="GL151" i="18"/>
  <c r="GB151" i="18"/>
  <c r="FR151" i="18"/>
  <c r="FH151" i="18"/>
  <c r="EX151" i="18"/>
  <c r="EN151" i="18"/>
  <c r="ED151" i="18"/>
  <c r="DT151" i="18"/>
  <c r="DJ151" i="18"/>
  <c r="CZ151" i="18"/>
  <c r="E151" i="18"/>
  <c r="AH151" i="18" s="1"/>
  <c r="AX151" i="18" s="1"/>
  <c r="GG151" i="18"/>
  <c r="FW151" i="18"/>
  <c r="FM151" i="18"/>
  <c r="FC151" i="18"/>
  <c r="ES151" i="18"/>
  <c r="EI151" i="18"/>
  <c r="DY151" i="18"/>
  <c r="DO151" i="18"/>
  <c r="DE151" i="18"/>
  <c r="GF151" i="18"/>
  <c r="FV151" i="18"/>
  <c r="FL151" i="18"/>
  <c r="FB151" i="18"/>
  <c r="ER151" i="18"/>
  <c r="EH151" i="18"/>
  <c r="DX151" i="18"/>
  <c r="DN151" i="18"/>
  <c r="DD151" i="18"/>
  <c r="F151" i="18"/>
  <c r="GA151" i="18"/>
  <c r="EM151" i="18"/>
  <c r="CY151" i="18"/>
  <c r="FG151" i="18"/>
  <c r="DS151" i="18"/>
  <c r="GK151" i="18"/>
  <c r="EW151" i="18"/>
  <c r="DI151" i="18"/>
  <c r="EC151" i="18"/>
  <c r="FQ151" i="18"/>
  <c r="DJ99" i="16" l="1"/>
  <c r="DI99" i="16" s="1"/>
  <c r="DK99" i="16" s="1"/>
  <c r="DM98" i="16"/>
  <c r="DO96" i="16"/>
  <c r="DN96" i="16" s="1"/>
  <c r="DP96" i="16" s="1"/>
  <c r="AV144" i="16"/>
  <c r="AG143" i="16"/>
  <c r="AW143" i="16"/>
  <c r="AF144" i="16"/>
  <c r="AO141" i="16"/>
  <c r="AN142" i="16"/>
  <c r="B153" i="18"/>
  <c r="GM152" i="18"/>
  <c r="GH152" i="18"/>
  <c r="GC152" i="18"/>
  <c r="FX152" i="18"/>
  <c r="FS152" i="18"/>
  <c r="FN152" i="18"/>
  <c r="FI152" i="18"/>
  <c r="FD152" i="18"/>
  <c r="EY152" i="18"/>
  <c r="ET152" i="18"/>
  <c r="EO152" i="18"/>
  <c r="EJ152" i="18"/>
  <c r="EE152" i="18"/>
  <c r="DZ152" i="18"/>
  <c r="DU152" i="18"/>
  <c r="DP152" i="18"/>
  <c r="DK152" i="18"/>
  <c r="DF152" i="18"/>
  <c r="DA152" i="18"/>
  <c r="G152" i="18"/>
  <c r="C152" i="18"/>
  <c r="A153" i="18" s="1" a="1"/>
  <c r="A153" i="18" s="1"/>
  <c r="GL152" i="18"/>
  <c r="GG152" i="18"/>
  <c r="GB152" i="18"/>
  <c r="FW152" i="18"/>
  <c r="FR152" i="18"/>
  <c r="FM152" i="18"/>
  <c r="FH152" i="18"/>
  <c r="FC152" i="18"/>
  <c r="EX152" i="18"/>
  <c r="ES152" i="18"/>
  <c r="EN152" i="18"/>
  <c r="EI152" i="18"/>
  <c r="ED152" i="18"/>
  <c r="DY152" i="18"/>
  <c r="DT152" i="18"/>
  <c r="DO152" i="18"/>
  <c r="DJ152" i="18"/>
  <c r="DE152" i="18"/>
  <c r="CZ152" i="18"/>
  <c r="F152" i="18"/>
  <c r="GI152" i="18"/>
  <c r="FY152" i="18"/>
  <c r="FO152" i="18"/>
  <c r="FE152" i="18"/>
  <c r="EU152" i="18"/>
  <c r="EK152" i="18"/>
  <c r="EA152" i="18"/>
  <c r="DQ152" i="18"/>
  <c r="DG152" i="18"/>
  <c r="GN152" i="18"/>
  <c r="GD152" i="18"/>
  <c r="FT152" i="18"/>
  <c r="FJ152" i="18"/>
  <c r="EZ152" i="18"/>
  <c r="EP152" i="18"/>
  <c r="EF152" i="18"/>
  <c r="DV152" i="18"/>
  <c r="DL152" i="18"/>
  <c r="DB152" i="18"/>
  <c r="E152" i="18"/>
  <c r="AH152" i="18" s="1"/>
  <c r="AX152" i="18" s="1"/>
  <c r="GK152" i="18"/>
  <c r="GA152" i="18"/>
  <c r="FQ152" i="18"/>
  <c r="FG152" i="18"/>
  <c r="EW152" i="18"/>
  <c r="EM152" i="18"/>
  <c r="EC152" i="18"/>
  <c r="DS152" i="18"/>
  <c r="DI152" i="18"/>
  <c r="CY152" i="18"/>
  <c r="D152" i="18"/>
  <c r="FV152" i="18"/>
  <c r="EH152" i="18"/>
  <c r="H152" i="18"/>
  <c r="FB152" i="18"/>
  <c r="DN152" i="18"/>
  <c r="GF152" i="18"/>
  <c r="ER152" i="18"/>
  <c r="DD152" i="18"/>
  <c r="DX152" i="18"/>
  <c r="FL152" i="18"/>
  <c r="U151" i="18"/>
  <c r="AB151" i="18"/>
  <c r="AS151" i="18"/>
  <c r="AR151" i="18"/>
  <c r="AC151" i="18"/>
  <c r="A152" i="18" a="1"/>
  <c r="A152" i="18" s="1"/>
  <c r="I152" i="18" a="1"/>
  <c r="I152" i="18" s="1"/>
  <c r="KF152" i="18"/>
  <c r="KA152" i="18"/>
  <c r="JV152" i="18"/>
  <c r="JQ152" i="18"/>
  <c r="JL152" i="18"/>
  <c r="JG152" i="18"/>
  <c r="JB152" i="18"/>
  <c r="IW152" i="18"/>
  <c r="IR152" i="18"/>
  <c r="IM152" i="18"/>
  <c r="IH152" i="18"/>
  <c r="IC152" i="18"/>
  <c r="HX152" i="18"/>
  <c r="HS152" i="18"/>
  <c r="HN152" i="18"/>
  <c r="HI152" i="18"/>
  <c r="HD152" i="18"/>
  <c r="GY152" i="18"/>
  <c r="GT152" i="18"/>
  <c r="KE152" i="18"/>
  <c r="JZ152" i="18"/>
  <c r="JU152" i="18"/>
  <c r="JP152" i="18"/>
  <c r="JK152" i="18"/>
  <c r="JF152" i="18"/>
  <c r="JA152" i="18"/>
  <c r="IV152" i="18"/>
  <c r="IQ152" i="18"/>
  <c r="IL152" i="18"/>
  <c r="IG152" i="18"/>
  <c r="IB152" i="18"/>
  <c r="HW152" i="18"/>
  <c r="HR152" i="18"/>
  <c r="HM152" i="18"/>
  <c r="HH152" i="18"/>
  <c r="HC152" i="18"/>
  <c r="GX152" i="18"/>
  <c r="GS152" i="18"/>
  <c r="N152" i="18"/>
  <c r="AP152" i="18" s="1"/>
  <c r="KG152" i="18"/>
  <c r="JW152" i="18"/>
  <c r="JM152" i="18"/>
  <c r="JC152" i="18"/>
  <c r="IS152" i="18"/>
  <c r="II152" i="18"/>
  <c r="HY152" i="18"/>
  <c r="HO152" i="18"/>
  <c r="HE152" i="18"/>
  <c r="GU152" i="18"/>
  <c r="P152" i="18"/>
  <c r="K153" i="18"/>
  <c r="KB152" i="18"/>
  <c r="JR152" i="18"/>
  <c r="JH152" i="18"/>
  <c r="IX152" i="18"/>
  <c r="IN152" i="18"/>
  <c r="ID152" i="18"/>
  <c r="HT152" i="18"/>
  <c r="HJ152" i="18"/>
  <c r="GZ152" i="18"/>
  <c r="M152" i="18"/>
  <c r="JY152" i="18"/>
  <c r="JO152" i="18"/>
  <c r="JE152" i="18"/>
  <c r="IU152" i="18"/>
  <c r="IK152" i="18"/>
  <c r="IA152" i="18"/>
  <c r="HQ152" i="18"/>
  <c r="HG152" i="18"/>
  <c r="GW152" i="18"/>
  <c r="Q152" i="18"/>
  <c r="L152" i="18"/>
  <c r="BF152" i="18" s="1"/>
  <c r="IZ152" i="18"/>
  <c r="HL152" i="18"/>
  <c r="JT152" i="18"/>
  <c r="IF152" i="18"/>
  <c r="GR152" i="18"/>
  <c r="JJ152" i="18"/>
  <c r="HV152" i="18"/>
  <c r="KD152" i="18"/>
  <c r="HB152" i="18"/>
  <c r="IP152" i="18"/>
  <c r="X150" i="18"/>
  <c r="W150" i="18"/>
  <c r="Y150" i="18"/>
  <c r="Z150" i="18"/>
  <c r="V150" i="18"/>
  <c r="DO97" i="16" l="1"/>
  <c r="DN97" i="16" s="1"/>
  <c r="DP97" i="16" s="1"/>
  <c r="DJ100" i="16"/>
  <c r="DI100" i="16" s="1"/>
  <c r="DK100" i="16" s="1"/>
  <c r="DM99" i="16"/>
  <c r="AW144" i="16"/>
  <c r="AF145" i="16"/>
  <c r="AG144" i="16"/>
  <c r="AV145" i="16"/>
  <c r="AN143" i="16"/>
  <c r="AO142" i="16"/>
  <c r="KE153" i="18"/>
  <c r="JZ153" i="18"/>
  <c r="JU153" i="18"/>
  <c r="JP153" i="18"/>
  <c r="JK153" i="18"/>
  <c r="JF153" i="18"/>
  <c r="JA153" i="18"/>
  <c r="IV153" i="18"/>
  <c r="IQ153" i="18"/>
  <c r="IL153" i="18"/>
  <c r="IG153" i="18"/>
  <c r="IB153" i="18"/>
  <c r="HW153" i="18"/>
  <c r="HR153" i="18"/>
  <c r="HM153" i="18"/>
  <c r="HH153" i="18"/>
  <c r="HC153" i="18"/>
  <c r="GX153" i="18"/>
  <c r="GS153" i="18"/>
  <c r="N153" i="18"/>
  <c r="AP153" i="18" s="1"/>
  <c r="K154" i="18"/>
  <c r="KD153" i="18"/>
  <c r="JY153" i="18"/>
  <c r="JT153" i="18"/>
  <c r="JO153" i="18"/>
  <c r="JJ153" i="18"/>
  <c r="JE153" i="18"/>
  <c r="IZ153" i="18"/>
  <c r="IU153" i="18"/>
  <c r="IP153" i="18"/>
  <c r="IK153" i="18"/>
  <c r="IF153" i="18"/>
  <c r="IA153" i="18"/>
  <c r="HV153" i="18"/>
  <c r="HQ153" i="18"/>
  <c r="HL153" i="18"/>
  <c r="HG153" i="18"/>
  <c r="HB153" i="18"/>
  <c r="GW153" i="18"/>
  <c r="GR153" i="18"/>
  <c r="Q153" i="18"/>
  <c r="M153" i="18"/>
  <c r="KF153" i="18"/>
  <c r="JV153" i="18"/>
  <c r="JL153" i="18"/>
  <c r="JB153" i="18"/>
  <c r="IR153" i="18"/>
  <c r="IH153" i="18"/>
  <c r="HX153" i="18"/>
  <c r="HN153" i="18"/>
  <c r="HD153" i="18"/>
  <c r="GT153" i="18"/>
  <c r="KA153" i="18"/>
  <c r="JQ153" i="18"/>
  <c r="JG153" i="18"/>
  <c r="IW153" i="18"/>
  <c r="IM153" i="18"/>
  <c r="IC153" i="18"/>
  <c r="HS153" i="18"/>
  <c r="HI153" i="18"/>
  <c r="GY153" i="18"/>
  <c r="KG153" i="18"/>
  <c r="JW153" i="18"/>
  <c r="JM153" i="18"/>
  <c r="JC153" i="18"/>
  <c r="IS153" i="18"/>
  <c r="II153" i="18"/>
  <c r="HY153" i="18"/>
  <c r="HO153" i="18"/>
  <c r="HE153" i="18"/>
  <c r="GU153" i="18"/>
  <c r="P153" i="18"/>
  <c r="KB153" i="18"/>
  <c r="IN153" i="18"/>
  <c r="GZ153" i="18"/>
  <c r="JH153" i="18"/>
  <c r="HT153" i="18"/>
  <c r="IX153" i="18"/>
  <c r="HJ153" i="18"/>
  <c r="L153" i="18"/>
  <c r="ID153" i="18"/>
  <c r="JR153" i="18"/>
  <c r="U152" i="18"/>
  <c r="I154" i="18" a="1"/>
  <c r="I154" i="18" s="1"/>
  <c r="AS152" i="18"/>
  <c r="AR152" i="18"/>
  <c r="AB152" i="18"/>
  <c r="AC152" i="18"/>
  <c r="B154" i="18"/>
  <c r="GL153" i="18"/>
  <c r="GG153" i="18"/>
  <c r="GB153" i="18"/>
  <c r="FW153" i="18"/>
  <c r="FR153" i="18"/>
  <c r="FM153" i="18"/>
  <c r="FH153" i="18"/>
  <c r="FC153" i="18"/>
  <c r="EX153" i="18"/>
  <c r="ES153" i="18"/>
  <c r="EN153" i="18"/>
  <c r="EI153" i="18"/>
  <c r="ED153" i="18"/>
  <c r="DY153" i="18"/>
  <c r="DT153" i="18"/>
  <c r="DO153" i="18"/>
  <c r="DJ153" i="18"/>
  <c r="DE153" i="18"/>
  <c r="CZ153" i="18"/>
  <c r="F153" i="18"/>
  <c r="GK153" i="18"/>
  <c r="GF153" i="18"/>
  <c r="GA153" i="18"/>
  <c r="FV153" i="18"/>
  <c r="FQ153" i="18"/>
  <c r="FL153" i="18"/>
  <c r="FG153" i="18"/>
  <c r="FB153" i="18"/>
  <c r="EW153" i="18"/>
  <c r="ER153" i="18"/>
  <c r="EM153" i="18"/>
  <c r="EH153" i="18"/>
  <c r="EC153" i="18"/>
  <c r="DX153" i="18"/>
  <c r="DS153" i="18"/>
  <c r="DN153" i="18"/>
  <c r="DI153" i="18"/>
  <c r="DD153" i="18"/>
  <c r="CY153" i="18"/>
  <c r="E153" i="18"/>
  <c r="AH153" i="18" s="1"/>
  <c r="AX153" i="18" s="1"/>
  <c r="GH153" i="18"/>
  <c r="FX153" i="18"/>
  <c r="FN153" i="18"/>
  <c r="FD153" i="18"/>
  <c r="ET153" i="18"/>
  <c r="EJ153" i="18"/>
  <c r="DZ153" i="18"/>
  <c r="DP153" i="18"/>
  <c r="DF153" i="18"/>
  <c r="G153" i="18"/>
  <c r="GM153" i="18"/>
  <c r="GC153" i="18"/>
  <c r="FS153" i="18"/>
  <c r="FI153" i="18"/>
  <c r="EY153" i="18"/>
  <c r="EO153" i="18"/>
  <c r="EE153" i="18"/>
  <c r="DU153" i="18"/>
  <c r="DK153" i="18"/>
  <c r="DA153" i="18"/>
  <c r="C153" i="18"/>
  <c r="GI153" i="18"/>
  <c r="FY153" i="18"/>
  <c r="FO153" i="18"/>
  <c r="FE153" i="18"/>
  <c r="EU153" i="18"/>
  <c r="EK153" i="18"/>
  <c r="EA153" i="18"/>
  <c r="DQ153" i="18"/>
  <c r="DG153" i="18"/>
  <c r="H153" i="18"/>
  <c r="FJ153" i="18"/>
  <c r="DV153" i="18"/>
  <c r="D153" i="18"/>
  <c r="GD153" i="18"/>
  <c r="EP153" i="18"/>
  <c r="DB153" i="18"/>
  <c r="FT153" i="18"/>
  <c r="EF153" i="18"/>
  <c r="EZ153" i="18"/>
  <c r="GN153" i="18"/>
  <c r="DL153" i="18"/>
  <c r="I153" i="18" a="1"/>
  <c r="I153" i="18" s="1"/>
  <c r="W151" i="18"/>
  <c r="Z151" i="18"/>
  <c r="V151" i="18"/>
  <c r="Y151" i="18"/>
  <c r="X151" i="18"/>
  <c r="DJ101" i="16" l="1"/>
  <c r="DI101" i="16" s="1"/>
  <c r="DK101" i="16" s="1"/>
  <c r="DO98" i="16"/>
  <c r="DN98" i="16" s="1"/>
  <c r="DP98" i="16" s="1"/>
  <c r="DM100" i="16"/>
  <c r="AF146" i="16"/>
  <c r="AW145" i="16"/>
  <c r="AG145" i="16"/>
  <c r="AV146" i="16"/>
  <c r="AN144" i="16"/>
  <c r="AO143" i="16"/>
  <c r="GN154" i="18"/>
  <c r="GI154" i="18"/>
  <c r="GD154" i="18"/>
  <c r="FY154" i="18"/>
  <c r="FT154" i="18"/>
  <c r="FO154" i="18"/>
  <c r="FJ154" i="18"/>
  <c r="FE154" i="18"/>
  <c r="EZ154" i="18"/>
  <c r="EU154" i="18"/>
  <c r="EP154" i="18"/>
  <c r="EK154" i="18"/>
  <c r="EF154" i="18"/>
  <c r="EA154" i="18"/>
  <c r="DV154" i="18"/>
  <c r="DQ154" i="18"/>
  <c r="DL154" i="18"/>
  <c r="DG154" i="18"/>
  <c r="DB154" i="18"/>
  <c r="H154" i="18"/>
  <c r="D154" i="18"/>
  <c r="GH154" i="18"/>
  <c r="GB154" i="18"/>
  <c r="FV154" i="18"/>
  <c r="FN154" i="18"/>
  <c r="FH154" i="18"/>
  <c r="FB154" i="18"/>
  <c r="ET154" i="18"/>
  <c r="EN154" i="18"/>
  <c r="EH154" i="18"/>
  <c r="DZ154" i="18"/>
  <c r="DT154" i="18"/>
  <c r="DN154" i="18"/>
  <c r="DF154" i="18"/>
  <c r="CZ154" i="18"/>
  <c r="G154" i="18"/>
  <c r="B155" i="18"/>
  <c r="GM154" i="18"/>
  <c r="GG154" i="18"/>
  <c r="GA154" i="18"/>
  <c r="FS154" i="18"/>
  <c r="FM154" i="18"/>
  <c r="FG154" i="18"/>
  <c r="EY154" i="18"/>
  <c r="ES154" i="18"/>
  <c r="EM154" i="18"/>
  <c r="EE154" i="18"/>
  <c r="DY154" i="18"/>
  <c r="DS154" i="18"/>
  <c r="DK154" i="18"/>
  <c r="DE154" i="18"/>
  <c r="CY154" i="18"/>
  <c r="F154" i="18"/>
  <c r="GF154" i="18"/>
  <c r="FR154" i="18"/>
  <c r="FD154" i="18"/>
  <c r="ER154" i="18"/>
  <c r="ED154" i="18"/>
  <c r="DP154" i="18"/>
  <c r="DD154" i="18"/>
  <c r="GL154" i="18"/>
  <c r="FX154" i="18"/>
  <c r="FL154" i="18"/>
  <c r="EX154" i="18"/>
  <c r="EJ154" i="18"/>
  <c r="DX154" i="18"/>
  <c r="DJ154" i="18"/>
  <c r="C154" i="18"/>
  <c r="A155" i="18" s="1" a="1"/>
  <c r="A155" i="18" s="1"/>
  <c r="GK154" i="18"/>
  <c r="FW154" i="18"/>
  <c r="FI154" i="18"/>
  <c r="EW154" i="18"/>
  <c r="EI154" i="18"/>
  <c r="DU154" i="18"/>
  <c r="DI154" i="18"/>
  <c r="EO154" i="18"/>
  <c r="FQ154" i="18"/>
  <c r="DO154" i="18"/>
  <c r="FC154" i="18"/>
  <c r="DA154" i="18"/>
  <c r="E154" i="18"/>
  <c r="AH154" i="18" s="1"/>
  <c r="AX154" i="18" s="1"/>
  <c r="GC154" i="18"/>
  <c r="EC154" i="18"/>
  <c r="AR153" i="18"/>
  <c r="AC153" i="18"/>
  <c r="AS153" i="18"/>
  <c r="AB153" i="18"/>
  <c r="K155" i="18"/>
  <c r="KG154" i="18"/>
  <c r="KB154" i="18"/>
  <c r="JW154" i="18"/>
  <c r="JR154" i="18"/>
  <c r="JM154" i="18"/>
  <c r="JH154" i="18"/>
  <c r="JC154" i="18"/>
  <c r="IX154" i="18"/>
  <c r="IS154" i="18"/>
  <c r="IN154" i="18"/>
  <c r="II154" i="18"/>
  <c r="ID154" i="18"/>
  <c r="HY154" i="18"/>
  <c r="HT154" i="18"/>
  <c r="HO154" i="18"/>
  <c r="HJ154" i="18"/>
  <c r="HE154" i="18"/>
  <c r="GZ154" i="18"/>
  <c r="GU154" i="18"/>
  <c r="P154" i="18"/>
  <c r="L154" i="18"/>
  <c r="KF154" i="18"/>
  <c r="JZ154" i="18"/>
  <c r="JT154" i="18"/>
  <c r="JL154" i="18"/>
  <c r="JF154" i="18"/>
  <c r="IZ154" i="18"/>
  <c r="IR154" i="18"/>
  <c r="IL154" i="18"/>
  <c r="IF154" i="18"/>
  <c r="HX154" i="18"/>
  <c r="HR154" i="18"/>
  <c r="HL154" i="18"/>
  <c r="HD154" i="18"/>
  <c r="GX154" i="18"/>
  <c r="GR154" i="18"/>
  <c r="M154" i="18"/>
  <c r="KE154" i="18"/>
  <c r="JY154" i="18"/>
  <c r="JQ154" i="18"/>
  <c r="JK154" i="18"/>
  <c r="JE154" i="18"/>
  <c r="IW154" i="18"/>
  <c r="IQ154" i="18"/>
  <c r="IK154" i="18"/>
  <c r="IC154" i="18"/>
  <c r="HW154" i="18"/>
  <c r="HQ154" i="18"/>
  <c r="HI154" i="18"/>
  <c r="HC154" i="18"/>
  <c r="GW154" i="18"/>
  <c r="Q154" i="18"/>
  <c r="JV154" i="18"/>
  <c r="JJ154" i="18"/>
  <c r="IV154" i="18"/>
  <c r="IH154" i="18"/>
  <c r="HV154" i="18"/>
  <c r="HH154" i="18"/>
  <c r="GT154" i="18"/>
  <c r="KD154" i="18"/>
  <c r="JP154" i="18"/>
  <c r="JB154" i="18"/>
  <c r="IP154" i="18"/>
  <c r="IB154" i="18"/>
  <c r="HN154" i="18"/>
  <c r="HB154" i="18"/>
  <c r="N154" i="18"/>
  <c r="AP154" i="18" s="1"/>
  <c r="KA154" i="18"/>
  <c r="JO154" i="18"/>
  <c r="JA154" i="18"/>
  <c r="IM154" i="18"/>
  <c r="IA154" i="18"/>
  <c r="HM154" i="18"/>
  <c r="GY154" i="18"/>
  <c r="IU154" i="18"/>
  <c r="GS154" i="18"/>
  <c r="JU154" i="18"/>
  <c r="HS154" i="18"/>
  <c r="JG154" i="18"/>
  <c r="HG154" i="18"/>
  <c r="IG154" i="18"/>
  <c r="U153" i="18"/>
  <c r="A154" i="18" a="1"/>
  <c r="A154" i="18" s="1"/>
  <c r="Z152" i="18"/>
  <c r="V152" i="18"/>
  <c r="Y152" i="18"/>
  <c r="W152" i="18"/>
  <c r="X152" i="18"/>
  <c r="BF153" i="18"/>
  <c r="DJ102" i="16" l="1"/>
  <c r="DI102" i="16" s="1"/>
  <c r="DK102" i="16" s="1"/>
  <c r="DO99" i="16"/>
  <c r="DN99" i="16" s="1"/>
  <c r="DP99" i="16" s="1"/>
  <c r="DM101" i="16"/>
  <c r="AN145" i="16"/>
  <c r="AO144" i="16"/>
  <c r="AF147" i="16"/>
  <c r="AV147" i="16"/>
  <c r="AW146" i="16"/>
  <c r="AG146" i="16"/>
  <c r="BF154" i="18"/>
  <c r="Y153" i="18"/>
  <c r="X153" i="18"/>
  <c r="Z153" i="18"/>
  <c r="V153" i="18"/>
  <c r="W153" i="18"/>
  <c r="B156" i="18"/>
  <c r="GM155" i="18"/>
  <c r="GH155" i="18"/>
  <c r="GC155" i="18"/>
  <c r="FX155" i="18"/>
  <c r="FS155" i="18"/>
  <c r="FN155" i="18"/>
  <c r="FI155" i="18"/>
  <c r="FD155" i="18"/>
  <c r="EY155" i="18"/>
  <c r="ET155" i="18"/>
  <c r="EO155" i="18"/>
  <c r="EJ155" i="18"/>
  <c r="EE155" i="18"/>
  <c r="DZ155" i="18"/>
  <c r="DU155" i="18"/>
  <c r="DP155" i="18"/>
  <c r="DK155" i="18"/>
  <c r="DF155" i="18"/>
  <c r="DA155" i="18"/>
  <c r="G155" i="18"/>
  <c r="C155" i="18"/>
  <c r="GL155" i="18"/>
  <c r="GF155" i="18"/>
  <c r="FY155" i="18"/>
  <c r="FR155" i="18"/>
  <c r="FL155" i="18"/>
  <c r="FE155" i="18"/>
  <c r="EX155" i="18"/>
  <c r="ER155" i="18"/>
  <c r="EK155" i="18"/>
  <c r="ED155" i="18"/>
  <c r="DX155" i="18"/>
  <c r="DQ155" i="18"/>
  <c r="DJ155" i="18"/>
  <c r="DD155" i="18"/>
  <c r="GI155" i="18"/>
  <c r="GB155" i="18"/>
  <c r="FV155" i="18"/>
  <c r="FO155" i="18"/>
  <c r="FH155" i="18"/>
  <c r="FB155" i="18"/>
  <c r="EU155" i="18"/>
  <c r="EN155" i="18"/>
  <c r="EH155" i="18"/>
  <c r="EA155" i="18"/>
  <c r="DT155" i="18"/>
  <c r="DN155" i="18"/>
  <c r="DG155" i="18"/>
  <c r="CZ155" i="18"/>
  <c r="D155" i="18"/>
  <c r="GN155" i="18"/>
  <c r="GG155" i="18"/>
  <c r="GA155" i="18"/>
  <c r="FT155" i="18"/>
  <c r="FM155" i="18"/>
  <c r="FG155" i="18"/>
  <c r="EZ155" i="18"/>
  <c r="ES155" i="18"/>
  <c r="EM155" i="18"/>
  <c r="EF155" i="18"/>
  <c r="DY155" i="18"/>
  <c r="DS155" i="18"/>
  <c r="DL155" i="18"/>
  <c r="DE155" i="18"/>
  <c r="CY155" i="18"/>
  <c r="H155" i="18"/>
  <c r="FW155" i="18"/>
  <c r="EW155" i="18"/>
  <c r="DV155" i="18"/>
  <c r="GK155" i="18"/>
  <c r="FJ155" i="18"/>
  <c r="EI155" i="18"/>
  <c r="DI155" i="18"/>
  <c r="F155" i="18"/>
  <c r="GD155" i="18"/>
  <c r="FC155" i="18"/>
  <c r="EC155" i="18"/>
  <c r="DB155" i="18"/>
  <c r="E155" i="18"/>
  <c r="AH155" i="18" s="1"/>
  <c r="AX155" i="18" s="1"/>
  <c r="EP155" i="18"/>
  <c r="DO155" i="18"/>
  <c r="FQ155" i="18"/>
  <c r="AB154" i="18"/>
  <c r="AS154" i="18"/>
  <c r="AR154" i="18"/>
  <c r="AC154" i="18"/>
  <c r="I155" i="18" a="1"/>
  <c r="I155" i="18" s="1"/>
  <c r="U154" i="18"/>
  <c r="KF155" i="18"/>
  <c r="KA155" i="18"/>
  <c r="JV155" i="18"/>
  <c r="JQ155" i="18"/>
  <c r="JL155" i="18"/>
  <c r="JG155" i="18"/>
  <c r="JB155" i="18"/>
  <c r="IW155" i="18"/>
  <c r="IR155" i="18"/>
  <c r="IM155" i="18"/>
  <c r="IH155" i="18"/>
  <c r="IC155" i="18"/>
  <c r="HX155" i="18"/>
  <c r="HS155" i="18"/>
  <c r="HN155" i="18"/>
  <c r="HI155" i="18"/>
  <c r="HD155" i="18"/>
  <c r="GY155" i="18"/>
  <c r="GT155" i="18"/>
  <c r="KD155" i="18"/>
  <c r="JW155" i="18"/>
  <c r="JP155" i="18"/>
  <c r="JJ155" i="18"/>
  <c r="JC155" i="18"/>
  <c r="IV155" i="18"/>
  <c r="IP155" i="18"/>
  <c r="II155" i="18"/>
  <c r="IB155" i="18"/>
  <c r="HV155" i="18"/>
  <c r="HO155" i="18"/>
  <c r="HH155" i="18"/>
  <c r="HB155" i="18"/>
  <c r="GU155" i="18"/>
  <c r="KG155" i="18"/>
  <c r="JZ155" i="18"/>
  <c r="JT155" i="18"/>
  <c r="JM155" i="18"/>
  <c r="JF155" i="18"/>
  <c r="IZ155" i="18"/>
  <c r="IS155" i="18"/>
  <c r="IL155" i="18"/>
  <c r="IF155" i="18"/>
  <c r="HY155" i="18"/>
  <c r="HR155" i="18"/>
  <c r="HL155" i="18"/>
  <c r="HE155" i="18"/>
  <c r="GX155" i="18"/>
  <c r="GR155" i="18"/>
  <c r="N155" i="18"/>
  <c r="AP155" i="18" s="1"/>
  <c r="KE155" i="18"/>
  <c r="JY155" i="18"/>
  <c r="JR155" i="18"/>
  <c r="JK155" i="18"/>
  <c r="JE155" i="18"/>
  <c r="IX155" i="18"/>
  <c r="IQ155" i="18"/>
  <c r="IK155" i="18"/>
  <c r="ID155" i="18"/>
  <c r="HW155" i="18"/>
  <c r="HQ155" i="18"/>
  <c r="HJ155" i="18"/>
  <c r="HC155" i="18"/>
  <c r="GW155" i="18"/>
  <c r="Q155" i="18"/>
  <c r="M155" i="18"/>
  <c r="KB155" i="18"/>
  <c r="JA155" i="18"/>
  <c r="IA155" i="18"/>
  <c r="GZ155" i="18"/>
  <c r="L155" i="18"/>
  <c r="BF155" i="18" s="1"/>
  <c r="JO155" i="18"/>
  <c r="IN155" i="18"/>
  <c r="HM155" i="18"/>
  <c r="P155" i="18"/>
  <c r="JH155" i="18"/>
  <c r="IG155" i="18"/>
  <c r="HG155" i="18"/>
  <c r="K156" i="18"/>
  <c r="GS155" i="18"/>
  <c r="IU155" i="18"/>
  <c r="HT155" i="18"/>
  <c r="JU155" i="18"/>
  <c r="DJ103" i="16" l="1"/>
  <c r="DI103" i="16" s="1"/>
  <c r="DK103" i="16" s="1"/>
  <c r="DM102" i="16"/>
  <c r="DO100" i="16"/>
  <c r="DN100" i="16" s="1"/>
  <c r="DP100" i="16" s="1"/>
  <c r="AO145" i="16"/>
  <c r="AN146" i="16"/>
  <c r="AW147" i="16"/>
  <c r="AV148" i="16"/>
  <c r="AG147" i="16"/>
  <c r="AF148" i="16"/>
  <c r="GL156" i="18"/>
  <c r="GG156" i="18"/>
  <c r="GB156" i="18"/>
  <c r="FW156" i="18"/>
  <c r="FR156" i="18"/>
  <c r="FM156" i="18"/>
  <c r="FH156" i="18"/>
  <c r="FC156" i="18"/>
  <c r="EX156" i="18"/>
  <c r="ES156" i="18"/>
  <c r="EN156" i="18"/>
  <c r="EI156" i="18"/>
  <c r="ED156" i="18"/>
  <c r="DY156" i="18"/>
  <c r="DT156" i="18"/>
  <c r="DO156" i="18"/>
  <c r="DJ156" i="18"/>
  <c r="DE156" i="18"/>
  <c r="CZ156" i="18"/>
  <c r="F156" i="18"/>
  <c r="GN156" i="18"/>
  <c r="GH156" i="18"/>
  <c r="GA156" i="18"/>
  <c r="FT156" i="18"/>
  <c r="FN156" i="18"/>
  <c r="FG156" i="18"/>
  <c r="EZ156" i="18"/>
  <c r="ET156" i="18"/>
  <c r="EM156" i="18"/>
  <c r="EF156" i="18"/>
  <c r="DZ156" i="18"/>
  <c r="DS156" i="18"/>
  <c r="DL156" i="18"/>
  <c r="DF156" i="18"/>
  <c r="CY156" i="18"/>
  <c r="G156" i="18"/>
  <c r="GK156" i="18"/>
  <c r="GD156" i="18"/>
  <c r="FX156" i="18"/>
  <c r="FQ156" i="18"/>
  <c r="FJ156" i="18"/>
  <c r="FD156" i="18"/>
  <c r="EW156" i="18"/>
  <c r="EP156" i="18"/>
  <c r="EJ156" i="18"/>
  <c r="EC156" i="18"/>
  <c r="DV156" i="18"/>
  <c r="DP156" i="18"/>
  <c r="DI156" i="18"/>
  <c r="DB156" i="18"/>
  <c r="D156" i="18"/>
  <c r="GI156" i="18"/>
  <c r="GC156" i="18"/>
  <c r="FV156" i="18"/>
  <c r="FO156" i="18"/>
  <c r="FI156" i="18"/>
  <c r="FB156" i="18"/>
  <c r="EU156" i="18"/>
  <c r="EO156" i="18"/>
  <c r="EH156" i="18"/>
  <c r="EA156" i="18"/>
  <c r="DU156" i="18"/>
  <c r="DN156" i="18"/>
  <c r="DG156" i="18"/>
  <c r="DA156" i="18"/>
  <c r="H156" i="18"/>
  <c r="C156" i="18"/>
  <c r="A157" i="18" s="1" a="1"/>
  <c r="A157" i="18" s="1"/>
  <c r="GM156" i="18"/>
  <c r="FL156" i="18"/>
  <c r="EK156" i="18"/>
  <c r="DK156" i="18"/>
  <c r="FY156" i="18"/>
  <c r="EY156" i="18"/>
  <c r="DX156" i="18"/>
  <c r="E156" i="18"/>
  <c r="AH156" i="18" s="1"/>
  <c r="AX156" i="18" s="1"/>
  <c r="FS156" i="18"/>
  <c r="ER156" i="18"/>
  <c r="DQ156" i="18"/>
  <c r="FE156" i="18"/>
  <c r="DD156" i="18"/>
  <c r="B157" i="18"/>
  <c r="GF156" i="18"/>
  <c r="EE156" i="18"/>
  <c r="I156" i="18" a="1"/>
  <c r="I156" i="18" s="1"/>
  <c r="KE156" i="18"/>
  <c r="JZ156" i="18"/>
  <c r="JU156" i="18"/>
  <c r="JP156" i="18"/>
  <c r="JK156" i="18"/>
  <c r="JF156" i="18"/>
  <c r="JA156" i="18"/>
  <c r="IV156" i="18"/>
  <c r="IQ156" i="18"/>
  <c r="IL156" i="18"/>
  <c r="IG156" i="18"/>
  <c r="IB156" i="18"/>
  <c r="HW156" i="18"/>
  <c r="HR156" i="18"/>
  <c r="HM156" i="18"/>
  <c r="HH156" i="18"/>
  <c r="HC156" i="18"/>
  <c r="GX156" i="18"/>
  <c r="GS156" i="18"/>
  <c r="N156" i="18"/>
  <c r="AP156" i="18" s="1"/>
  <c r="KF156" i="18"/>
  <c r="JY156" i="18"/>
  <c r="JR156" i="18"/>
  <c r="JL156" i="18"/>
  <c r="JE156" i="18"/>
  <c r="IX156" i="18"/>
  <c r="IR156" i="18"/>
  <c r="IK156" i="18"/>
  <c r="ID156" i="18"/>
  <c r="HX156" i="18"/>
  <c r="HQ156" i="18"/>
  <c r="HJ156" i="18"/>
  <c r="HD156" i="18"/>
  <c r="GW156" i="18"/>
  <c r="Q156" i="18"/>
  <c r="L156" i="18"/>
  <c r="K157" i="18"/>
  <c r="KB156" i="18"/>
  <c r="JV156" i="18"/>
  <c r="JO156" i="18"/>
  <c r="JH156" i="18"/>
  <c r="JB156" i="18"/>
  <c r="IU156" i="18"/>
  <c r="IN156" i="18"/>
  <c r="IH156" i="18"/>
  <c r="IA156" i="18"/>
  <c r="HT156" i="18"/>
  <c r="HN156" i="18"/>
  <c r="HG156" i="18"/>
  <c r="GZ156" i="18"/>
  <c r="GT156" i="18"/>
  <c r="KG156" i="18"/>
  <c r="KA156" i="18"/>
  <c r="JT156" i="18"/>
  <c r="JM156" i="18"/>
  <c r="JG156" i="18"/>
  <c r="IZ156" i="18"/>
  <c r="IS156" i="18"/>
  <c r="IM156" i="18"/>
  <c r="IF156" i="18"/>
  <c r="HY156" i="18"/>
  <c r="HS156" i="18"/>
  <c r="HL156" i="18"/>
  <c r="HE156" i="18"/>
  <c r="GY156" i="18"/>
  <c r="GR156" i="18"/>
  <c r="M156" i="18"/>
  <c r="JQ156" i="18"/>
  <c r="IP156" i="18"/>
  <c r="HO156" i="18"/>
  <c r="KD156" i="18"/>
  <c r="JC156" i="18"/>
  <c r="IC156" i="18"/>
  <c r="HB156" i="18"/>
  <c r="JW156" i="18"/>
  <c r="IW156" i="18"/>
  <c r="HV156" i="18"/>
  <c r="GU156" i="18"/>
  <c r="P156" i="18"/>
  <c r="JJ156" i="18"/>
  <c r="HI156" i="18"/>
  <c r="II156" i="18"/>
  <c r="W154" i="18"/>
  <c r="Z154" i="18"/>
  <c r="Y154" i="18"/>
  <c r="V154" i="18"/>
  <c r="X154" i="18"/>
  <c r="AS155" i="18"/>
  <c r="AR155" i="18"/>
  <c r="AB155" i="18"/>
  <c r="AC155" i="18"/>
  <c r="U155" i="18"/>
  <c r="A156" i="18" a="1"/>
  <c r="A156" i="18" s="1"/>
  <c r="DO101" i="16" l="1"/>
  <c r="DN101" i="16" s="1"/>
  <c r="DP101" i="16" s="1"/>
  <c r="DJ104" i="16"/>
  <c r="DI104" i="16" s="1"/>
  <c r="DK104" i="16" s="1"/>
  <c r="DM103" i="16"/>
  <c r="AG148" i="16"/>
  <c r="AV149" i="16"/>
  <c r="AW148" i="16"/>
  <c r="AF149" i="16"/>
  <c r="AN147" i="16"/>
  <c r="AO146" i="16"/>
  <c r="Z155" i="18"/>
  <c r="V155" i="18"/>
  <c r="Y155" i="18"/>
  <c r="X155" i="18"/>
  <c r="W155" i="18"/>
  <c r="U156" i="18"/>
  <c r="AR156" i="18"/>
  <c r="AC156" i="18"/>
  <c r="AS156" i="18"/>
  <c r="AB156" i="18"/>
  <c r="I157" i="18" a="1"/>
  <c r="I157" i="18" s="1"/>
  <c r="KD157" i="18"/>
  <c r="JY157" i="18"/>
  <c r="JT157" i="18"/>
  <c r="JO157" i="18"/>
  <c r="JJ157" i="18"/>
  <c r="JE157" i="18"/>
  <c r="IZ157" i="18"/>
  <c r="IU157" i="18"/>
  <c r="IP157" i="18"/>
  <c r="IK157" i="18"/>
  <c r="IF157" i="18"/>
  <c r="IA157" i="18"/>
  <c r="HV157" i="18"/>
  <c r="HQ157" i="18"/>
  <c r="HL157" i="18"/>
  <c r="HG157" i="18"/>
  <c r="HB157" i="18"/>
  <c r="GW157" i="18"/>
  <c r="GR157" i="18"/>
  <c r="Q157" i="18"/>
  <c r="M157" i="18"/>
  <c r="KG157" i="18"/>
  <c r="KA157" i="18"/>
  <c r="JU157" i="18"/>
  <c r="JM157" i="18"/>
  <c r="JG157" i="18"/>
  <c r="JA157" i="18"/>
  <c r="IS157" i="18"/>
  <c r="IM157" i="18"/>
  <c r="IG157" i="18"/>
  <c r="HY157" i="18"/>
  <c r="HS157" i="18"/>
  <c r="HM157" i="18"/>
  <c r="HE157" i="18"/>
  <c r="GY157" i="18"/>
  <c r="GS157" i="18"/>
  <c r="N157" i="18"/>
  <c r="AP157" i="18" s="1"/>
  <c r="KE157" i="18"/>
  <c r="JW157" i="18"/>
  <c r="JQ157" i="18"/>
  <c r="JK157" i="18"/>
  <c r="JC157" i="18"/>
  <c r="IW157" i="18"/>
  <c r="IQ157" i="18"/>
  <c r="II157" i="18"/>
  <c r="IC157" i="18"/>
  <c r="HW157" i="18"/>
  <c r="HO157" i="18"/>
  <c r="HI157" i="18"/>
  <c r="HC157" i="18"/>
  <c r="GU157" i="18"/>
  <c r="P157" i="18"/>
  <c r="K158" i="18"/>
  <c r="KB157" i="18"/>
  <c r="JV157" i="18"/>
  <c r="JP157" i="18"/>
  <c r="JH157" i="18"/>
  <c r="JB157" i="18"/>
  <c r="IV157" i="18"/>
  <c r="IN157" i="18"/>
  <c r="IH157" i="18"/>
  <c r="IB157" i="18"/>
  <c r="HT157" i="18"/>
  <c r="HN157" i="18"/>
  <c r="HH157" i="18"/>
  <c r="GZ157" i="18"/>
  <c r="GT157" i="18"/>
  <c r="JR157" i="18"/>
  <c r="IR157" i="18"/>
  <c r="HR157" i="18"/>
  <c r="KF157" i="18"/>
  <c r="JF157" i="18"/>
  <c r="ID157" i="18"/>
  <c r="HD157" i="18"/>
  <c r="JZ157" i="18"/>
  <c r="IX157" i="18"/>
  <c r="HX157" i="18"/>
  <c r="GX157" i="18"/>
  <c r="L157" i="18"/>
  <c r="IL157" i="18"/>
  <c r="HJ157" i="18"/>
  <c r="JL157" i="18"/>
  <c r="GK157" i="18"/>
  <c r="GF157" i="18"/>
  <c r="GA157" i="18"/>
  <c r="FV157" i="18"/>
  <c r="FQ157" i="18"/>
  <c r="FL157" i="18"/>
  <c r="FG157" i="18"/>
  <c r="FB157" i="18"/>
  <c r="EW157" i="18"/>
  <c r="ER157" i="18"/>
  <c r="EM157" i="18"/>
  <c r="EH157" i="18"/>
  <c r="EC157" i="18"/>
  <c r="DX157" i="18"/>
  <c r="DS157" i="18"/>
  <c r="DN157" i="18"/>
  <c r="DI157" i="18"/>
  <c r="DD157" i="18"/>
  <c r="CY157" i="18"/>
  <c r="E157" i="18"/>
  <c r="AH157" i="18" s="1"/>
  <c r="AX157" i="18" s="1"/>
  <c r="GI157" i="18"/>
  <c r="GC157" i="18"/>
  <c r="FW157" i="18"/>
  <c r="FO157" i="18"/>
  <c r="FI157" i="18"/>
  <c r="FC157" i="18"/>
  <c r="EU157" i="18"/>
  <c r="EO157" i="18"/>
  <c r="EI157" i="18"/>
  <c r="EA157" i="18"/>
  <c r="DU157" i="18"/>
  <c r="DO157" i="18"/>
  <c r="DG157" i="18"/>
  <c r="DA157" i="18"/>
  <c r="H157" i="18"/>
  <c r="C157" i="18"/>
  <c r="B158" i="18"/>
  <c r="GM157" i="18"/>
  <c r="GG157" i="18"/>
  <c r="FY157" i="18"/>
  <c r="FS157" i="18"/>
  <c r="FM157" i="18"/>
  <c r="FE157" i="18"/>
  <c r="EY157" i="18"/>
  <c r="ES157" i="18"/>
  <c r="EK157" i="18"/>
  <c r="EE157" i="18"/>
  <c r="DY157" i="18"/>
  <c r="DQ157" i="18"/>
  <c r="DK157" i="18"/>
  <c r="DE157" i="18"/>
  <c r="F157" i="18"/>
  <c r="GL157" i="18"/>
  <c r="GD157" i="18"/>
  <c r="FX157" i="18"/>
  <c r="FR157" i="18"/>
  <c r="FJ157" i="18"/>
  <c r="FD157" i="18"/>
  <c r="EX157" i="18"/>
  <c r="EP157" i="18"/>
  <c r="EJ157" i="18"/>
  <c r="ED157" i="18"/>
  <c r="DV157" i="18"/>
  <c r="DP157" i="18"/>
  <c r="DJ157" i="18"/>
  <c r="DB157" i="18"/>
  <c r="D157" i="18"/>
  <c r="GN157" i="18"/>
  <c r="FN157" i="18"/>
  <c r="EN157" i="18"/>
  <c r="DL157" i="18"/>
  <c r="G157" i="18"/>
  <c r="GB157" i="18"/>
  <c r="EZ157" i="18"/>
  <c r="DZ157" i="18"/>
  <c r="CZ157" i="18"/>
  <c r="FT157" i="18"/>
  <c r="ET157" i="18"/>
  <c r="DT157" i="18"/>
  <c r="GH157" i="18"/>
  <c r="EF157" i="18"/>
  <c r="DF157" i="18"/>
  <c r="FH157" i="18"/>
  <c r="BF156" i="18"/>
  <c r="BF157" i="18"/>
  <c r="I158" i="18" a="1"/>
  <c r="I158" i="18" s="1"/>
  <c r="DO102" i="16" l="1"/>
  <c r="DN102" i="16" s="1"/>
  <c r="DP102" i="16" s="1"/>
  <c r="DJ105" i="16"/>
  <c r="DI105" i="16" s="1"/>
  <c r="DK105" i="16" s="1"/>
  <c r="DM104" i="16"/>
  <c r="AV150" i="16"/>
  <c r="AF150" i="16"/>
  <c r="AW149" i="16"/>
  <c r="AG149" i="16"/>
  <c r="AN148" i="16"/>
  <c r="AO147" i="16"/>
  <c r="AC157" i="18"/>
  <c r="AB157" i="18"/>
  <c r="AR157" i="18"/>
  <c r="AS157" i="18"/>
  <c r="GN158" i="18"/>
  <c r="GI158" i="18"/>
  <c r="GD158" i="18"/>
  <c r="FY158" i="18"/>
  <c r="FT158" i="18"/>
  <c r="FO158" i="18"/>
  <c r="FJ158" i="18"/>
  <c r="FE158" i="18"/>
  <c r="EZ158" i="18"/>
  <c r="EU158" i="18"/>
  <c r="EP158" i="18"/>
  <c r="EK158" i="18"/>
  <c r="EF158" i="18"/>
  <c r="EA158" i="18"/>
  <c r="DV158" i="18"/>
  <c r="DQ158" i="18"/>
  <c r="DL158" i="18"/>
  <c r="DG158" i="18"/>
  <c r="DB158" i="18"/>
  <c r="H158" i="18"/>
  <c r="D158" i="18"/>
  <c r="GL158" i="18"/>
  <c r="GF158" i="18"/>
  <c r="FX158" i="18"/>
  <c r="FR158" i="18"/>
  <c r="FL158" i="18"/>
  <c r="FD158" i="18"/>
  <c r="EX158" i="18"/>
  <c r="ER158" i="18"/>
  <c r="EJ158" i="18"/>
  <c r="ED158" i="18"/>
  <c r="DX158" i="18"/>
  <c r="DP158" i="18"/>
  <c r="DJ158" i="18"/>
  <c r="DD158" i="18"/>
  <c r="E158" i="18"/>
  <c r="AH158" i="18" s="1"/>
  <c r="AX158" i="18" s="1"/>
  <c r="GH158" i="18"/>
  <c r="GB158" i="18"/>
  <c r="FV158" i="18"/>
  <c r="FN158" i="18"/>
  <c r="FH158" i="18"/>
  <c r="FB158" i="18"/>
  <c r="ET158" i="18"/>
  <c r="EN158" i="18"/>
  <c r="EH158" i="18"/>
  <c r="DZ158" i="18"/>
  <c r="DT158" i="18"/>
  <c r="DN158" i="18"/>
  <c r="DF158" i="18"/>
  <c r="CZ158" i="18"/>
  <c r="G158" i="18"/>
  <c r="B159" i="18"/>
  <c r="GM158" i="18"/>
  <c r="GG158" i="18"/>
  <c r="GA158" i="18"/>
  <c r="FS158" i="18"/>
  <c r="FM158" i="18"/>
  <c r="FG158" i="18"/>
  <c r="EY158" i="18"/>
  <c r="ES158" i="18"/>
  <c r="EM158" i="18"/>
  <c r="EE158" i="18"/>
  <c r="DY158" i="18"/>
  <c r="DS158" i="18"/>
  <c r="DK158" i="18"/>
  <c r="DE158" i="18"/>
  <c r="CY158" i="18"/>
  <c r="F158" i="18"/>
  <c r="FW158" i="18"/>
  <c r="EW158" i="18"/>
  <c r="DU158" i="18"/>
  <c r="GK158" i="18"/>
  <c r="FI158" i="18"/>
  <c r="EI158" i="18"/>
  <c r="DI158" i="18"/>
  <c r="GC158" i="18"/>
  <c r="FC158" i="18"/>
  <c r="EC158" i="18"/>
  <c r="DA158" i="18"/>
  <c r="C158" i="18"/>
  <c r="A159" i="18" s="1" a="1"/>
  <c r="A159" i="18" s="1"/>
  <c r="EO158" i="18"/>
  <c r="DO158" i="18"/>
  <c r="FQ158" i="18"/>
  <c r="Y156" i="18"/>
  <c r="Z156" i="18"/>
  <c r="W156" i="18"/>
  <c r="V156" i="18"/>
  <c r="X156" i="18"/>
  <c r="U157" i="18"/>
  <c r="A158" i="18" a="1"/>
  <c r="A158" i="18" s="1"/>
  <c r="K159" i="18"/>
  <c r="KG158" i="18"/>
  <c r="KB158" i="18"/>
  <c r="JW158" i="18"/>
  <c r="JR158" i="18"/>
  <c r="JM158" i="18"/>
  <c r="JH158" i="18"/>
  <c r="JC158" i="18"/>
  <c r="IX158" i="18"/>
  <c r="IS158" i="18"/>
  <c r="IN158" i="18"/>
  <c r="II158" i="18"/>
  <c r="ID158" i="18"/>
  <c r="HY158" i="18"/>
  <c r="HT158" i="18"/>
  <c r="HO158" i="18"/>
  <c r="HJ158" i="18"/>
  <c r="HE158" i="18"/>
  <c r="GZ158" i="18"/>
  <c r="GU158" i="18"/>
  <c r="P158" i="18"/>
  <c r="L158" i="18"/>
  <c r="KD158" i="18"/>
  <c r="JV158" i="18"/>
  <c r="JP158" i="18"/>
  <c r="JJ158" i="18"/>
  <c r="JB158" i="18"/>
  <c r="IV158" i="18"/>
  <c r="IP158" i="18"/>
  <c r="IH158" i="18"/>
  <c r="IB158" i="18"/>
  <c r="HV158" i="18"/>
  <c r="HN158" i="18"/>
  <c r="HH158" i="18"/>
  <c r="HB158" i="18"/>
  <c r="GT158" i="18"/>
  <c r="KF158" i="18"/>
  <c r="JZ158" i="18"/>
  <c r="JT158" i="18"/>
  <c r="JL158" i="18"/>
  <c r="JF158" i="18"/>
  <c r="IZ158" i="18"/>
  <c r="IR158" i="18"/>
  <c r="IL158" i="18"/>
  <c r="IF158" i="18"/>
  <c r="HX158" i="18"/>
  <c r="HR158" i="18"/>
  <c r="HL158" i="18"/>
  <c r="HD158" i="18"/>
  <c r="GX158" i="18"/>
  <c r="GR158" i="18"/>
  <c r="M158" i="18"/>
  <c r="KE158" i="18"/>
  <c r="JY158" i="18"/>
  <c r="JQ158" i="18"/>
  <c r="JK158" i="18"/>
  <c r="JE158" i="18"/>
  <c r="IW158" i="18"/>
  <c r="IQ158" i="18"/>
  <c r="IK158" i="18"/>
  <c r="IC158" i="18"/>
  <c r="HW158" i="18"/>
  <c r="HQ158" i="18"/>
  <c r="HI158" i="18"/>
  <c r="HC158" i="18"/>
  <c r="GW158" i="18"/>
  <c r="Q158" i="18"/>
  <c r="KA158" i="18"/>
  <c r="JA158" i="18"/>
  <c r="IA158" i="18"/>
  <c r="GY158" i="18"/>
  <c r="JO158" i="18"/>
  <c r="IM158" i="18"/>
  <c r="HM158" i="18"/>
  <c r="JG158" i="18"/>
  <c r="IG158" i="18"/>
  <c r="HG158" i="18"/>
  <c r="N158" i="18"/>
  <c r="AP158" i="18" s="1"/>
  <c r="GS158" i="18"/>
  <c r="IU158" i="18"/>
  <c r="HS158" i="18"/>
  <c r="JU158" i="18"/>
  <c r="DJ106" i="16" l="1"/>
  <c r="DI106" i="16" s="1"/>
  <c r="DK106" i="16" s="1"/>
  <c r="DO103" i="16"/>
  <c r="DN103" i="16" s="1"/>
  <c r="DP103" i="16" s="1"/>
  <c r="DM105" i="16"/>
  <c r="AV151" i="16"/>
  <c r="AF151" i="16"/>
  <c r="AG150" i="16"/>
  <c r="AW150" i="16"/>
  <c r="AN149" i="16"/>
  <c r="AO148" i="16"/>
  <c r="X157" i="18"/>
  <c r="V157" i="18"/>
  <c r="Y157" i="18"/>
  <c r="W157" i="18"/>
  <c r="Z157" i="18"/>
  <c r="U158" i="18"/>
  <c r="GK159" i="18"/>
  <c r="GF159" i="18"/>
  <c r="GA159" i="18"/>
  <c r="FV159" i="18"/>
  <c r="FQ159" i="18"/>
  <c r="FL159" i="18"/>
  <c r="FG159" i="18"/>
  <c r="FB159" i="18"/>
  <c r="EW159" i="18"/>
  <c r="ER159" i="18"/>
  <c r="EM159" i="18"/>
  <c r="EH159" i="18"/>
  <c r="EC159" i="18"/>
  <c r="DX159" i="18"/>
  <c r="DS159" i="18"/>
  <c r="DN159" i="18"/>
  <c r="DI159" i="18"/>
  <c r="DD159" i="18"/>
  <c r="CY159" i="18"/>
  <c r="GN159" i="18"/>
  <c r="GH159" i="18"/>
  <c r="GB159" i="18"/>
  <c r="FT159" i="18"/>
  <c r="FN159" i="18"/>
  <c r="FH159" i="18"/>
  <c r="EZ159" i="18"/>
  <c r="ET159" i="18"/>
  <c r="EN159" i="18"/>
  <c r="EF159" i="18"/>
  <c r="DZ159" i="18"/>
  <c r="DT159" i="18"/>
  <c r="DL159" i="18"/>
  <c r="DF159" i="18"/>
  <c r="CZ159" i="18"/>
  <c r="G159" i="18"/>
  <c r="C159" i="18"/>
  <c r="GL159" i="18"/>
  <c r="GC159" i="18"/>
  <c r="FS159" i="18"/>
  <c r="FJ159" i="18"/>
  <c r="FC159" i="18"/>
  <c r="ES159" i="18"/>
  <c r="EJ159" i="18"/>
  <c r="EA159" i="18"/>
  <c r="DQ159" i="18"/>
  <c r="DJ159" i="18"/>
  <c r="DA159" i="18"/>
  <c r="F159" i="18"/>
  <c r="B160" i="18"/>
  <c r="GG159" i="18"/>
  <c r="FX159" i="18"/>
  <c r="FO159" i="18"/>
  <c r="FE159" i="18"/>
  <c r="EX159" i="18"/>
  <c r="EO159" i="18"/>
  <c r="EE159" i="18"/>
  <c r="DV159" i="18"/>
  <c r="DO159" i="18"/>
  <c r="DE159" i="18"/>
  <c r="D159" i="18"/>
  <c r="GM159" i="18"/>
  <c r="GD159" i="18"/>
  <c r="FW159" i="18"/>
  <c r="FM159" i="18"/>
  <c r="FD159" i="18"/>
  <c r="EU159" i="18"/>
  <c r="EK159" i="18"/>
  <c r="ED159" i="18"/>
  <c r="DU159" i="18"/>
  <c r="DK159" i="18"/>
  <c r="DB159" i="18"/>
  <c r="H159" i="18"/>
  <c r="GI159" i="18"/>
  <c r="EY159" i="18"/>
  <c r="DP159" i="18"/>
  <c r="FR159" i="18"/>
  <c r="EI159" i="18"/>
  <c r="E159" i="18"/>
  <c r="AH159" i="18" s="1"/>
  <c r="AX159" i="18" s="1"/>
  <c r="FI159" i="18"/>
  <c r="DY159" i="18"/>
  <c r="FY159" i="18"/>
  <c r="DG159" i="18"/>
  <c r="EP159" i="18"/>
  <c r="BF158" i="18"/>
  <c r="KD159" i="18"/>
  <c r="JY159" i="18"/>
  <c r="JT159" i="18"/>
  <c r="JO159" i="18"/>
  <c r="JJ159" i="18"/>
  <c r="JE159" i="18"/>
  <c r="IZ159" i="18"/>
  <c r="IU159" i="18"/>
  <c r="IP159" i="18"/>
  <c r="IK159" i="18"/>
  <c r="IF159" i="18"/>
  <c r="IA159" i="18"/>
  <c r="HV159" i="18"/>
  <c r="HQ159" i="18"/>
  <c r="HL159" i="18"/>
  <c r="HG159" i="18"/>
  <c r="HB159" i="18"/>
  <c r="GW159" i="18"/>
  <c r="GR159" i="18"/>
  <c r="KF159" i="18"/>
  <c r="JZ159" i="18"/>
  <c r="JR159" i="18"/>
  <c r="JL159" i="18"/>
  <c r="JF159" i="18"/>
  <c r="IX159" i="18"/>
  <c r="IR159" i="18"/>
  <c r="IL159" i="18"/>
  <c r="ID159" i="18"/>
  <c r="HX159" i="18"/>
  <c r="HR159" i="18"/>
  <c r="HJ159" i="18"/>
  <c r="HD159" i="18"/>
  <c r="GX159" i="18"/>
  <c r="KG159" i="18"/>
  <c r="JW159" i="18"/>
  <c r="JP159" i="18"/>
  <c r="JG159" i="18"/>
  <c r="IW159" i="18"/>
  <c r="IN159" i="18"/>
  <c r="IG159" i="18"/>
  <c r="HW159" i="18"/>
  <c r="HN159" i="18"/>
  <c r="HE159" i="18"/>
  <c r="GU159" i="18"/>
  <c r="P159" i="18"/>
  <c r="L159" i="18"/>
  <c r="I160" i="18" s="1" a="1"/>
  <c r="I160" i="18" s="1"/>
  <c r="KB159" i="18"/>
  <c r="JU159" i="18"/>
  <c r="JK159" i="18"/>
  <c r="JB159" i="18"/>
  <c r="IS159" i="18"/>
  <c r="II159" i="18"/>
  <c r="IB159" i="18"/>
  <c r="HS159" i="18"/>
  <c r="HI159" i="18"/>
  <c r="GZ159" i="18"/>
  <c r="GS159" i="18"/>
  <c r="N159" i="18"/>
  <c r="AP159" i="18" s="1"/>
  <c r="KA159" i="18"/>
  <c r="JQ159" i="18"/>
  <c r="JH159" i="18"/>
  <c r="JA159" i="18"/>
  <c r="IQ159" i="18"/>
  <c r="IH159" i="18"/>
  <c r="HY159" i="18"/>
  <c r="HO159" i="18"/>
  <c r="HH159" i="18"/>
  <c r="GY159" i="18"/>
  <c r="Q159" i="18"/>
  <c r="M159" i="18"/>
  <c r="JC159" i="18"/>
  <c r="HT159" i="18"/>
  <c r="JV159" i="18"/>
  <c r="IM159" i="18"/>
  <c r="HC159" i="18"/>
  <c r="K160" i="18"/>
  <c r="JM159" i="18"/>
  <c r="IC159" i="18"/>
  <c r="GT159" i="18"/>
  <c r="IV159" i="18"/>
  <c r="HM159" i="18"/>
  <c r="KE159" i="18"/>
  <c r="BF159" i="18"/>
  <c r="I159" i="18" a="1"/>
  <c r="I159" i="18" s="1"/>
  <c r="AB158" i="18"/>
  <c r="AS158" i="18"/>
  <c r="AR158" i="18"/>
  <c r="AC158" i="18"/>
  <c r="DJ107" i="16" l="1"/>
  <c r="DI107" i="16" s="1"/>
  <c r="DK107" i="16" s="1"/>
  <c r="DO104" i="16"/>
  <c r="DN104" i="16" s="1"/>
  <c r="DP104" i="16" s="1"/>
  <c r="DM106" i="16"/>
  <c r="AG151" i="16"/>
  <c r="AF152" i="16"/>
  <c r="AV152" i="16"/>
  <c r="AW151" i="16"/>
  <c r="AO149" i="16"/>
  <c r="AN150" i="16"/>
  <c r="K161" i="18"/>
  <c r="KG160" i="18"/>
  <c r="KB160" i="18"/>
  <c r="JW160" i="18"/>
  <c r="JR160" i="18"/>
  <c r="JM160" i="18"/>
  <c r="JH160" i="18"/>
  <c r="JC160" i="18"/>
  <c r="IX160" i="18"/>
  <c r="IS160" i="18"/>
  <c r="IN160" i="18"/>
  <c r="II160" i="18"/>
  <c r="ID160" i="18"/>
  <c r="HY160" i="18"/>
  <c r="HT160" i="18"/>
  <c r="HO160" i="18"/>
  <c r="HJ160" i="18"/>
  <c r="HE160" i="18"/>
  <c r="GZ160" i="18"/>
  <c r="GU160" i="18"/>
  <c r="P160" i="18"/>
  <c r="L160" i="18"/>
  <c r="KA160" i="18"/>
  <c r="JU160" i="18"/>
  <c r="JO160" i="18"/>
  <c r="JG160" i="18"/>
  <c r="JA160" i="18"/>
  <c r="IU160" i="18"/>
  <c r="IM160" i="18"/>
  <c r="IG160" i="18"/>
  <c r="IA160" i="18"/>
  <c r="HS160" i="18"/>
  <c r="HM160" i="18"/>
  <c r="HG160" i="18"/>
  <c r="GY160" i="18"/>
  <c r="GS160" i="18"/>
  <c r="N160" i="18"/>
  <c r="AP160" i="18" s="1"/>
  <c r="KE160" i="18"/>
  <c r="JV160" i="18"/>
  <c r="JL160" i="18"/>
  <c r="JE160" i="18"/>
  <c r="IV160" i="18"/>
  <c r="IL160" i="18"/>
  <c r="IC160" i="18"/>
  <c r="HV160" i="18"/>
  <c r="HL160" i="18"/>
  <c r="HC160" i="18"/>
  <c r="GT160" i="18"/>
  <c r="M160" i="18"/>
  <c r="JZ160" i="18"/>
  <c r="JQ160" i="18"/>
  <c r="JJ160" i="18"/>
  <c r="IZ160" i="18"/>
  <c r="IQ160" i="18"/>
  <c r="IH160" i="18"/>
  <c r="HX160" i="18"/>
  <c r="HQ160" i="18"/>
  <c r="HH160" i="18"/>
  <c r="GX160" i="18"/>
  <c r="Q160" i="18"/>
  <c r="KF160" i="18"/>
  <c r="JY160" i="18"/>
  <c r="JP160" i="18"/>
  <c r="JF160" i="18"/>
  <c r="IW160" i="18"/>
  <c r="IP160" i="18"/>
  <c r="IF160" i="18"/>
  <c r="HW160" i="18"/>
  <c r="HN160" i="18"/>
  <c r="HD160" i="18"/>
  <c r="GW160" i="18"/>
  <c r="KD160" i="18"/>
  <c r="IR160" i="18"/>
  <c r="HI160" i="18"/>
  <c r="JK160" i="18"/>
  <c r="IB160" i="18"/>
  <c r="GR160" i="18"/>
  <c r="JB160" i="18"/>
  <c r="HR160" i="18"/>
  <c r="JT160" i="18"/>
  <c r="HB160" i="18"/>
  <c r="IK160" i="18"/>
  <c r="GN160" i="18"/>
  <c r="GI160" i="18"/>
  <c r="GD160" i="18"/>
  <c r="FY160" i="18"/>
  <c r="FT160" i="18"/>
  <c r="FO160" i="18"/>
  <c r="FJ160" i="18"/>
  <c r="FE160" i="18"/>
  <c r="EZ160" i="18"/>
  <c r="EU160" i="18"/>
  <c r="EP160" i="18"/>
  <c r="EK160" i="18"/>
  <c r="EF160" i="18"/>
  <c r="EA160" i="18"/>
  <c r="DV160" i="18"/>
  <c r="DQ160" i="18"/>
  <c r="DL160" i="18"/>
  <c r="DG160" i="18"/>
  <c r="DB160" i="18"/>
  <c r="H160" i="18"/>
  <c r="D160" i="18"/>
  <c r="GK160" i="18"/>
  <c r="GC160" i="18"/>
  <c r="FW160" i="18"/>
  <c r="FQ160" i="18"/>
  <c r="FI160" i="18"/>
  <c r="FC160" i="18"/>
  <c r="EW160" i="18"/>
  <c r="EO160" i="18"/>
  <c r="EI160" i="18"/>
  <c r="EC160" i="18"/>
  <c r="DU160" i="18"/>
  <c r="DO160" i="18"/>
  <c r="DI160" i="18"/>
  <c r="DA160" i="18"/>
  <c r="C160" i="18"/>
  <c r="A161" i="18" s="1" a="1"/>
  <c r="A161" i="18" s="1"/>
  <c r="GH160" i="18"/>
  <c r="GA160" i="18"/>
  <c r="FR160" i="18"/>
  <c r="FH160" i="18"/>
  <c r="EY160" i="18"/>
  <c r="ER160" i="18"/>
  <c r="EH160" i="18"/>
  <c r="DY160" i="18"/>
  <c r="DP160" i="18"/>
  <c r="DF160" i="18"/>
  <c r="CY160" i="18"/>
  <c r="F160" i="18"/>
  <c r="GM160" i="18"/>
  <c r="GF160" i="18"/>
  <c r="FV160" i="18"/>
  <c r="FM160" i="18"/>
  <c r="FD160" i="18"/>
  <c r="ET160" i="18"/>
  <c r="EM160" i="18"/>
  <c r="ED160" i="18"/>
  <c r="DT160" i="18"/>
  <c r="DK160" i="18"/>
  <c r="DD160" i="18"/>
  <c r="GL160" i="18"/>
  <c r="GB160" i="18"/>
  <c r="FS160" i="18"/>
  <c r="FL160" i="18"/>
  <c r="FB160" i="18"/>
  <c r="ES160" i="18"/>
  <c r="EJ160" i="18"/>
  <c r="DZ160" i="18"/>
  <c r="DS160" i="18"/>
  <c r="DJ160" i="18"/>
  <c r="CZ160" i="18"/>
  <c r="G160" i="18"/>
  <c r="FX160" i="18"/>
  <c r="EN160" i="18"/>
  <c r="DE160" i="18"/>
  <c r="E160" i="18"/>
  <c r="AH160" i="18" s="1"/>
  <c r="AX160" i="18" s="1"/>
  <c r="FG160" i="18"/>
  <c r="DX160" i="18"/>
  <c r="B161" i="18"/>
  <c r="GG160" i="18"/>
  <c r="EX160" i="18"/>
  <c r="DN160" i="18"/>
  <c r="EE160" i="18"/>
  <c r="FN160" i="18"/>
  <c r="AS159" i="18"/>
  <c r="AR159" i="18"/>
  <c r="AB159" i="18"/>
  <c r="AC159" i="18"/>
  <c r="U159" i="18"/>
  <c r="A160" i="18" a="1"/>
  <c r="A160" i="18" s="1"/>
  <c r="W158" i="18"/>
  <c r="X158" i="18"/>
  <c r="Z158" i="18"/>
  <c r="Y158" i="18"/>
  <c r="V158" i="18"/>
  <c r="DO105" i="16" l="1"/>
  <c r="DN105" i="16" s="1"/>
  <c r="DP105" i="16" s="1"/>
  <c r="DJ108" i="16"/>
  <c r="DI108" i="16" s="1"/>
  <c r="DK108" i="16" s="1"/>
  <c r="DM107" i="16"/>
  <c r="AN151" i="16"/>
  <c r="AO150" i="16"/>
  <c r="AF153" i="16"/>
  <c r="AV153" i="16"/>
  <c r="AW152" i="16"/>
  <c r="AG152" i="16"/>
  <c r="B162" i="18"/>
  <c r="GM161" i="18"/>
  <c r="GH161" i="18"/>
  <c r="GC161" i="18"/>
  <c r="FX161" i="18"/>
  <c r="FS161" i="18"/>
  <c r="FN161" i="18"/>
  <c r="FI161" i="18"/>
  <c r="FD161" i="18"/>
  <c r="EY161" i="18"/>
  <c r="ET161" i="18"/>
  <c r="EO161" i="18"/>
  <c r="EJ161" i="18"/>
  <c r="EE161" i="18"/>
  <c r="DZ161" i="18"/>
  <c r="DU161" i="18"/>
  <c r="DP161" i="18"/>
  <c r="DK161" i="18"/>
  <c r="DF161" i="18"/>
  <c r="DA161" i="18"/>
  <c r="G161" i="18"/>
  <c r="C161" i="18"/>
  <c r="GK161" i="18"/>
  <c r="GD161" i="18"/>
  <c r="FW161" i="18"/>
  <c r="FQ161" i="18"/>
  <c r="FJ161" i="18"/>
  <c r="FC161" i="18"/>
  <c r="EW161" i="18"/>
  <c r="EP161" i="18"/>
  <c r="EI161" i="18"/>
  <c r="EC161" i="18"/>
  <c r="DV161" i="18"/>
  <c r="DO161" i="18"/>
  <c r="DI161" i="18"/>
  <c r="DB161" i="18"/>
  <c r="E161" i="18"/>
  <c r="AH161" i="18" s="1"/>
  <c r="AX161" i="18" s="1"/>
  <c r="GL161" i="18"/>
  <c r="GB161" i="18"/>
  <c r="FT161" i="18"/>
  <c r="FL161" i="18"/>
  <c r="FB161" i="18"/>
  <c r="ES161" i="18"/>
  <c r="EK161" i="18"/>
  <c r="EA161" i="18"/>
  <c r="DS161" i="18"/>
  <c r="DJ161" i="18"/>
  <c r="CZ161" i="18"/>
  <c r="D161" i="18"/>
  <c r="GG161" i="18"/>
  <c r="FY161" i="18"/>
  <c r="FO161" i="18"/>
  <c r="FG161" i="18"/>
  <c r="EX161" i="18"/>
  <c r="EN161" i="18"/>
  <c r="EF161" i="18"/>
  <c r="DX161" i="18"/>
  <c r="DN161" i="18"/>
  <c r="DE161" i="18"/>
  <c r="H161" i="18"/>
  <c r="GN161" i="18"/>
  <c r="GF161" i="18"/>
  <c r="FV161" i="18"/>
  <c r="FM161" i="18"/>
  <c r="FE161" i="18"/>
  <c r="EU161" i="18"/>
  <c r="EM161" i="18"/>
  <c r="ED161" i="18"/>
  <c r="DT161" i="18"/>
  <c r="DL161" i="18"/>
  <c r="DD161" i="18"/>
  <c r="F161" i="18"/>
  <c r="GA161" i="18"/>
  <c r="ER161" i="18"/>
  <c r="DG161" i="18"/>
  <c r="FH161" i="18"/>
  <c r="DY161" i="18"/>
  <c r="GI161" i="18"/>
  <c r="EZ161" i="18"/>
  <c r="DQ161" i="18"/>
  <c r="EH161" i="18"/>
  <c r="FR161" i="18"/>
  <c r="CY161" i="18"/>
  <c r="I161" i="18" a="1"/>
  <c r="I161" i="18" s="1"/>
  <c r="Z159" i="18"/>
  <c r="V159" i="18"/>
  <c r="X159" i="18"/>
  <c r="Y159" i="18"/>
  <c r="W159" i="18"/>
  <c r="AB160" i="18"/>
  <c r="AC160" i="18"/>
  <c r="AR160" i="18"/>
  <c r="AS160" i="18"/>
  <c r="BF160" i="18"/>
  <c r="KF161" i="18"/>
  <c r="KA161" i="18"/>
  <c r="JV161" i="18"/>
  <c r="JQ161" i="18"/>
  <c r="JL161" i="18"/>
  <c r="JG161" i="18"/>
  <c r="JB161" i="18"/>
  <c r="IW161" i="18"/>
  <c r="IR161" i="18"/>
  <c r="IM161" i="18"/>
  <c r="IH161" i="18"/>
  <c r="IC161" i="18"/>
  <c r="HX161" i="18"/>
  <c r="HS161" i="18"/>
  <c r="HN161" i="18"/>
  <c r="HI161" i="18"/>
  <c r="HD161" i="18"/>
  <c r="GY161" i="18"/>
  <c r="GT161" i="18"/>
  <c r="K162" i="18"/>
  <c r="KB161" i="18"/>
  <c r="JU161" i="18"/>
  <c r="JO161" i="18"/>
  <c r="JH161" i="18"/>
  <c r="JA161" i="18"/>
  <c r="IU161" i="18"/>
  <c r="IN161" i="18"/>
  <c r="IG161" i="18"/>
  <c r="IA161" i="18"/>
  <c r="HT161" i="18"/>
  <c r="HM161" i="18"/>
  <c r="HG161" i="18"/>
  <c r="GZ161" i="18"/>
  <c r="GS161" i="18"/>
  <c r="KG161" i="18"/>
  <c r="JY161" i="18"/>
  <c r="JP161" i="18"/>
  <c r="JF161" i="18"/>
  <c r="IX161" i="18"/>
  <c r="IP161" i="18"/>
  <c r="IF161" i="18"/>
  <c r="HW161" i="18"/>
  <c r="HO161" i="18"/>
  <c r="HE161" i="18"/>
  <c r="GW161" i="18"/>
  <c r="P161" i="18"/>
  <c r="L161" i="18"/>
  <c r="BF161" i="18" s="1"/>
  <c r="KD161" i="18"/>
  <c r="JT161" i="18"/>
  <c r="JK161" i="18"/>
  <c r="JC161" i="18"/>
  <c r="IS161" i="18"/>
  <c r="IK161" i="18"/>
  <c r="IB161" i="18"/>
  <c r="HR161" i="18"/>
  <c r="HJ161" i="18"/>
  <c r="HB161" i="18"/>
  <c r="GR161" i="18"/>
  <c r="N161" i="18"/>
  <c r="AP161" i="18" s="1"/>
  <c r="JZ161" i="18"/>
  <c r="JR161" i="18"/>
  <c r="JJ161" i="18"/>
  <c r="IZ161" i="18"/>
  <c r="IQ161" i="18"/>
  <c r="II161" i="18"/>
  <c r="HY161" i="18"/>
  <c r="HQ161" i="18"/>
  <c r="HH161" i="18"/>
  <c r="GX161" i="18"/>
  <c r="Q161" i="18"/>
  <c r="M161" i="18"/>
  <c r="KE161" i="18"/>
  <c r="IV161" i="18"/>
  <c r="HL161" i="18"/>
  <c r="JM161" i="18"/>
  <c r="ID161" i="18"/>
  <c r="GU161" i="18"/>
  <c r="JE161" i="18"/>
  <c r="HV161" i="18"/>
  <c r="JW161" i="18"/>
  <c r="HC161" i="18"/>
  <c r="IL161" i="18"/>
  <c r="U160" i="18"/>
  <c r="I162" i="18" l="1" a="1"/>
  <c r="I162" i="18" s="1"/>
  <c r="DO106" i="16"/>
  <c r="DN106" i="16" s="1"/>
  <c r="DP106" i="16" s="1"/>
  <c r="DJ109" i="16"/>
  <c r="DI109" i="16" s="1"/>
  <c r="DK109" i="16" s="1"/>
  <c r="DM108" i="16"/>
  <c r="AW153" i="16"/>
  <c r="AG153" i="16"/>
  <c r="AF154" i="16"/>
  <c r="AV154" i="16"/>
  <c r="AN152" i="16"/>
  <c r="AO151" i="16"/>
  <c r="U161" i="18"/>
  <c r="A162" i="18" a="1"/>
  <c r="A162" i="18" s="1"/>
  <c r="KE162" i="18"/>
  <c r="JZ162" i="18"/>
  <c r="JU162" i="18"/>
  <c r="JP162" i="18"/>
  <c r="JK162" i="18"/>
  <c r="JF162" i="18"/>
  <c r="JA162" i="18"/>
  <c r="IV162" i="18"/>
  <c r="IQ162" i="18"/>
  <c r="IL162" i="18"/>
  <c r="IG162" i="18"/>
  <c r="IB162" i="18"/>
  <c r="HW162" i="18"/>
  <c r="HR162" i="18"/>
  <c r="HM162" i="18"/>
  <c r="HH162" i="18"/>
  <c r="HC162" i="18"/>
  <c r="GX162" i="18"/>
  <c r="GS162" i="18"/>
  <c r="N162" i="18"/>
  <c r="AP162" i="18" s="1"/>
  <c r="KD162" i="18"/>
  <c r="JW162" i="18"/>
  <c r="JQ162" i="18"/>
  <c r="JJ162" i="18"/>
  <c r="JC162" i="18"/>
  <c r="IW162" i="18"/>
  <c r="IP162" i="18"/>
  <c r="II162" i="18"/>
  <c r="IC162" i="18"/>
  <c r="HV162" i="18"/>
  <c r="HO162" i="18"/>
  <c r="HI162" i="18"/>
  <c r="HB162" i="18"/>
  <c r="GU162" i="18"/>
  <c r="P162" i="18"/>
  <c r="KB162" i="18"/>
  <c r="JT162" i="18"/>
  <c r="JL162" i="18"/>
  <c r="JB162" i="18"/>
  <c r="IS162" i="18"/>
  <c r="IK162" i="18"/>
  <c r="IA162" i="18"/>
  <c r="HS162" i="18"/>
  <c r="HJ162" i="18"/>
  <c r="GZ162" i="18"/>
  <c r="GR162" i="18"/>
  <c r="M162" i="18"/>
  <c r="KG162" i="18"/>
  <c r="JY162" i="18"/>
  <c r="JO162" i="18"/>
  <c r="JG162" i="18"/>
  <c r="IX162" i="18"/>
  <c r="IN162" i="18"/>
  <c r="IF162" i="18"/>
  <c r="HX162" i="18"/>
  <c r="HN162" i="18"/>
  <c r="HE162" i="18"/>
  <c r="GW162" i="18"/>
  <c r="Q162" i="18"/>
  <c r="K163" i="18"/>
  <c r="KF162" i="18"/>
  <c r="JV162" i="18"/>
  <c r="JM162" i="18"/>
  <c r="JE162" i="18"/>
  <c r="IU162" i="18"/>
  <c r="IM162" i="18"/>
  <c r="ID162" i="18"/>
  <c r="HT162" i="18"/>
  <c r="HL162" i="18"/>
  <c r="HD162" i="18"/>
  <c r="GT162" i="18"/>
  <c r="JH162" i="18"/>
  <c r="HY162" i="18"/>
  <c r="KA162" i="18"/>
  <c r="IR162" i="18"/>
  <c r="HG162" i="18"/>
  <c r="L162" i="18"/>
  <c r="BF162" i="18" s="1"/>
  <c r="JR162" i="18"/>
  <c r="IH162" i="18"/>
  <c r="GY162" i="18"/>
  <c r="IZ162" i="18"/>
  <c r="HQ162" i="18"/>
  <c r="AS161" i="18"/>
  <c r="AC161" i="18"/>
  <c r="AR161" i="18"/>
  <c r="AB161" i="18"/>
  <c r="GL162" i="18"/>
  <c r="GG162" i="18"/>
  <c r="GB162" i="18"/>
  <c r="FW162" i="18"/>
  <c r="FR162" i="18"/>
  <c r="FM162" i="18"/>
  <c r="FH162" i="18"/>
  <c r="FC162" i="18"/>
  <c r="EX162" i="18"/>
  <c r="ES162" i="18"/>
  <c r="EN162" i="18"/>
  <c r="EI162" i="18"/>
  <c r="ED162" i="18"/>
  <c r="DY162" i="18"/>
  <c r="DT162" i="18"/>
  <c r="DO162" i="18"/>
  <c r="DJ162" i="18"/>
  <c r="DE162" i="18"/>
  <c r="CZ162" i="18"/>
  <c r="F162" i="18"/>
  <c r="B163" i="18"/>
  <c r="GM162" i="18"/>
  <c r="GF162" i="18"/>
  <c r="FY162" i="18"/>
  <c r="FS162" i="18"/>
  <c r="FL162" i="18"/>
  <c r="FE162" i="18"/>
  <c r="EY162" i="18"/>
  <c r="ER162" i="18"/>
  <c r="EK162" i="18"/>
  <c r="EE162" i="18"/>
  <c r="DX162" i="18"/>
  <c r="DQ162" i="18"/>
  <c r="DK162" i="18"/>
  <c r="DD162" i="18"/>
  <c r="E162" i="18"/>
  <c r="AH162" i="18" s="1"/>
  <c r="AX162" i="18" s="1"/>
  <c r="GH162" i="18"/>
  <c r="FX162" i="18"/>
  <c r="FO162" i="18"/>
  <c r="FG162" i="18"/>
  <c r="EW162" i="18"/>
  <c r="EO162" i="18"/>
  <c r="EF162" i="18"/>
  <c r="DV162" i="18"/>
  <c r="DN162" i="18"/>
  <c r="DF162" i="18"/>
  <c r="G162" i="18"/>
  <c r="GK162" i="18"/>
  <c r="GC162" i="18"/>
  <c r="FT162" i="18"/>
  <c r="FJ162" i="18"/>
  <c r="FB162" i="18"/>
  <c r="ET162" i="18"/>
  <c r="EJ162" i="18"/>
  <c r="EA162" i="18"/>
  <c r="DS162" i="18"/>
  <c r="DI162" i="18"/>
  <c r="DA162" i="18"/>
  <c r="C162" i="18"/>
  <c r="GI162" i="18"/>
  <c r="GA162" i="18"/>
  <c r="FQ162" i="18"/>
  <c r="FI162" i="18"/>
  <c r="EZ162" i="18"/>
  <c r="EP162" i="18"/>
  <c r="EH162" i="18"/>
  <c r="DZ162" i="18"/>
  <c r="DP162" i="18"/>
  <c r="DG162" i="18"/>
  <c r="CY162" i="18"/>
  <c r="H162" i="18"/>
  <c r="GN162" i="18"/>
  <c r="FD162" i="18"/>
  <c r="DU162" i="18"/>
  <c r="FV162" i="18"/>
  <c r="EM162" i="18"/>
  <c r="DB162" i="18"/>
  <c r="FN162" i="18"/>
  <c r="EC162" i="18"/>
  <c r="D162" i="18"/>
  <c r="GD162" i="18"/>
  <c r="DL162" i="18"/>
  <c r="EU162" i="18"/>
  <c r="W160" i="18"/>
  <c r="V160" i="18"/>
  <c r="X160" i="18"/>
  <c r="Z160" i="18"/>
  <c r="Y160" i="18"/>
  <c r="I163" i="18" l="1" a="1"/>
  <c r="I163" i="18" s="1"/>
  <c r="DO107" i="16"/>
  <c r="DN107" i="16" s="1"/>
  <c r="DP107" i="16" s="1"/>
  <c r="DJ110" i="16"/>
  <c r="DI110" i="16" s="1"/>
  <c r="DK110" i="16" s="1"/>
  <c r="DM109" i="16"/>
  <c r="AF155" i="16"/>
  <c r="AV155" i="16"/>
  <c r="AW154" i="16"/>
  <c r="AG154" i="16"/>
  <c r="AO152" i="16"/>
  <c r="AN153" i="16"/>
  <c r="A163" i="18" a="1"/>
  <c r="A163" i="18" s="1"/>
  <c r="GK163" i="18"/>
  <c r="GF163" i="18"/>
  <c r="GA163" i="18"/>
  <c r="FV163" i="18"/>
  <c r="FQ163" i="18"/>
  <c r="FL163" i="18"/>
  <c r="FG163" i="18"/>
  <c r="FB163" i="18"/>
  <c r="EW163" i="18"/>
  <c r="ER163" i="18"/>
  <c r="EM163" i="18"/>
  <c r="EH163" i="18"/>
  <c r="EC163" i="18"/>
  <c r="DX163" i="18"/>
  <c r="DS163" i="18"/>
  <c r="DN163" i="18"/>
  <c r="DI163" i="18"/>
  <c r="DD163" i="18"/>
  <c r="CY163" i="18"/>
  <c r="E163" i="18"/>
  <c r="AH163" i="18" s="1"/>
  <c r="AX163" i="18" s="1"/>
  <c r="GL163" i="18"/>
  <c r="GD163" i="18"/>
  <c r="FX163" i="18"/>
  <c r="FR163" i="18"/>
  <c r="FJ163" i="18"/>
  <c r="FD163" i="18"/>
  <c r="EX163" i="18"/>
  <c r="EP163" i="18"/>
  <c r="EJ163" i="18"/>
  <c r="ED163" i="18"/>
  <c r="DV163" i="18"/>
  <c r="DP163" i="18"/>
  <c r="DJ163" i="18"/>
  <c r="DB163" i="18"/>
  <c r="GN163" i="18"/>
  <c r="GH163" i="18"/>
  <c r="GB163" i="18"/>
  <c r="FT163" i="18"/>
  <c r="FN163" i="18"/>
  <c r="FH163" i="18"/>
  <c r="EZ163" i="18"/>
  <c r="ET163" i="18"/>
  <c r="EN163" i="18"/>
  <c r="EF163" i="18"/>
  <c r="DZ163" i="18"/>
  <c r="DT163" i="18"/>
  <c r="DL163" i="18"/>
  <c r="DF163" i="18"/>
  <c r="CZ163" i="18"/>
  <c r="G163" i="18"/>
  <c r="GI163" i="18"/>
  <c r="FW163" i="18"/>
  <c r="FI163" i="18"/>
  <c r="EU163" i="18"/>
  <c r="EI163" i="18"/>
  <c r="DU163" i="18"/>
  <c r="DG163" i="18"/>
  <c r="C163" i="18"/>
  <c r="A164" i="18" s="1" a="1"/>
  <c r="A164" i="18" s="1"/>
  <c r="GC163" i="18"/>
  <c r="FO163" i="18"/>
  <c r="FC163" i="18"/>
  <c r="EO163" i="18"/>
  <c r="EA163" i="18"/>
  <c r="DO163" i="18"/>
  <c r="DA163" i="18"/>
  <c r="F163" i="18"/>
  <c r="GM163" i="18"/>
  <c r="FY163" i="18"/>
  <c r="FM163" i="18"/>
  <c r="EY163" i="18"/>
  <c r="EK163" i="18"/>
  <c r="DY163" i="18"/>
  <c r="DK163" i="18"/>
  <c r="D163" i="18"/>
  <c r="ES163" i="18"/>
  <c r="H163" i="18"/>
  <c r="FS163" i="18"/>
  <c r="DQ163" i="18"/>
  <c r="FE163" i="18"/>
  <c r="DE163" i="18"/>
  <c r="B164" i="18"/>
  <c r="GG163" i="18"/>
  <c r="EE163" i="18"/>
  <c r="AR162" i="18"/>
  <c r="AS162" i="18"/>
  <c r="AB162" i="18"/>
  <c r="AC162" i="18"/>
  <c r="KD163" i="18"/>
  <c r="JY163" i="18"/>
  <c r="JT163" i="18"/>
  <c r="JO163" i="18"/>
  <c r="JJ163" i="18"/>
  <c r="JE163" i="18"/>
  <c r="IZ163" i="18"/>
  <c r="IU163" i="18"/>
  <c r="IP163" i="18"/>
  <c r="IK163" i="18"/>
  <c r="IF163" i="18"/>
  <c r="IA163" i="18"/>
  <c r="HV163" i="18"/>
  <c r="HQ163" i="18"/>
  <c r="HL163" i="18"/>
  <c r="HG163" i="18"/>
  <c r="HB163" i="18"/>
  <c r="GW163" i="18"/>
  <c r="GR163" i="18"/>
  <c r="Q163" i="18"/>
  <c r="M163" i="18"/>
  <c r="K164" i="18"/>
  <c r="KB163" i="18"/>
  <c r="JV163" i="18"/>
  <c r="JP163" i="18"/>
  <c r="JH163" i="18"/>
  <c r="JB163" i="18"/>
  <c r="IV163" i="18"/>
  <c r="IN163" i="18"/>
  <c r="IH163" i="18"/>
  <c r="IB163" i="18"/>
  <c r="HT163" i="18"/>
  <c r="HN163" i="18"/>
  <c r="HH163" i="18"/>
  <c r="GZ163" i="18"/>
  <c r="GT163" i="18"/>
  <c r="KF163" i="18"/>
  <c r="JZ163" i="18"/>
  <c r="JR163" i="18"/>
  <c r="JL163" i="18"/>
  <c r="JF163" i="18"/>
  <c r="IX163" i="18"/>
  <c r="IR163" i="18"/>
  <c r="IL163" i="18"/>
  <c r="ID163" i="18"/>
  <c r="HX163" i="18"/>
  <c r="HR163" i="18"/>
  <c r="HJ163" i="18"/>
  <c r="HD163" i="18"/>
  <c r="GX163" i="18"/>
  <c r="L163" i="18"/>
  <c r="BF163" i="18" s="1"/>
  <c r="KA163" i="18"/>
  <c r="JM163" i="18"/>
  <c r="JA163" i="18"/>
  <c r="IM163" i="18"/>
  <c r="HY163" i="18"/>
  <c r="HM163" i="18"/>
  <c r="GY163" i="18"/>
  <c r="P163" i="18"/>
  <c r="KG163" i="18"/>
  <c r="JU163" i="18"/>
  <c r="JG163" i="18"/>
  <c r="IS163" i="18"/>
  <c r="IG163" i="18"/>
  <c r="HS163" i="18"/>
  <c r="HE163" i="18"/>
  <c r="GS163" i="18"/>
  <c r="N163" i="18"/>
  <c r="AP163" i="18" s="1"/>
  <c r="KE163" i="18"/>
  <c r="JQ163" i="18"/>
  <c r="JC163" i="18"/>
  <c r="IQ163" i="18"/>
  <c r="IC163" i="18"/>
  <c r="HO163" i="18"/>
  <c r="HC163" i="18"/>
  <c r="IW163" i="18"/>
  <c r="GU163" i="18"/>
  <c r="JW163" i="18"/>
  <c r="HW163" i="18"/>
  <c r="JK163" i="18"/>
  <c r="HI163" i="18"/>
  <c r="II163" i="18"/>
  <c r="U162" i="18"/>
  <c r="Z161" i="18"/>
  <c r="V161" i="18"/>
  <c r="W161" i="18"/>
  <c r="Y161" i="18"/>
  <c r="X161" i="18"/>
  <c r="DO108" i="16" l="1"/>
  <c r="DN108" i="16" s="1"/>
  <c r="DP108" i="16" s="1"/>
  <c r="DJ111" i="16"/>
  <c r="DI111" i="16" s="1"/>
  <c r="DK111" i="16" s="1"/>
  <c r="DM110" i="16"/>
  <c r="AN154" i="16"/>
  <c r="AO153" i="16"/>
  <c r="AF156" i="16"/>
  <c r="AV156" i="16"/>
  <c r="AW155" i="16"/>
  <c r="AG155" i="16"/>
  <c r="AC163" i="18"/>
  <c r="AS163" i="18"/>
  <c r="AB163" i="18"/>
  <c r="AR163" i="18"/>
  <c r="U163" i="18"/>
  <c r="Y162" i="18"/>
  <c r="X162" i="18"/>
  <c r="W162" i="18"/>
  <c r="Z162" i="18"/>
  <c r="V162" i="18"/>
  <c r="GN164" i="18"/>
  <c r="GI164" i="18"/>
  <c r="GD164" i="18"/>
  <c r="FY164" i="18"/>
  <c r="FT164" i="18"/>
  <c r="FO164" i="18"/>
  <c r="FJ164" i="18"/>
  <c r="FE164" i="18"/>
  <c r="EZ164" i="18"/>
  <c r="EU164" i="18"/>
  <c r="EP164" i="18"/>
  <c r="EK164" i="18"/>
  <c r="EF164" i="18"/>
  <c r="EA164" i="18"/>
  <c r="DV164" i="18"/>
  <c r="DQ164" i="18"/>
  <c r="DL164" i="18"/>
  <c r="DG164" i="18"/>
  <c r="DB164" i="18"/>
  <c r="H164" i="18"/>
  <c r="D164" i="18"/>
  <c r="B165" i="18"/>
  <c r="GM164" i="18"/>
  <c r="GG164" i="18"/>
  <c r="GA164" i="18"/>
  <c r="FS164" i="18"/>
  <c r="FM164" i="18"/>
  <c r="FG164" i="18"/>
  <c r="EY164" i="18"/>
  <c r="ES164" i="18"/>
  <c r="EM164" i="18"/>
  <c r="EE164" i="18"/>
  <c r="DY164" i="18"/>
  <c r="DS164" i="18"/>
  <c r="DK164" i="18"/>
  <c r="DE164" i="18"/>
  <c r="CY164" i="18"/>
  <c r="F164" i="18"/>
  <c r="GK164" i="18"/>
  <c r="GC164" i="18"/>
  <c r="FW164" i="18"/>
  <c r="FQ164" i="18"/>
  <c r="FI164" i="18"/>
  <c r="FC164" i="18"/>
  <c r="EW164" i="18"/>
  <c r="EO164" i="18"/>
  <c r="EI164" i="18"/>
  <c r="EC164" i="18"/>
  <c r="DU164" i="18"/>
  <c r="DO164" i="18"/>
  <c r="DI164" i="18"/>
  <c r="DA164" i="18"/>
  <c r="C164" i="18"/>
  <c r="A165" i="18" s="1" a="1"/>
  <c r="A165" i="18" s="1"/>
  <c r="GH164" i="18"/>
  <c r="GB164" i="18"/>
  <c r="FV164" i="18"/>
  <c r="FN164" i="18"/>
  <c r="FH164" i="18"/>
  <c r="FB164" i="18"/>
  <c r="FX164" i="18"/>
  <c r="EX164" i="18"/>
  <c r="EJ164" i="18"/>
  <c r="DX164" i="18"/>
  <c r="DJ164" i="18"/>
  <c r="E164" i="18"/>
  <c r="AH164" i="18" s="1"/>
  <c r="AX164" i="18" s="1"/>
  <c r="GL164" i="18"/>
  <c r="FL164" i="18"/>
  <c r="ER164" i="18"/>
  <c r="ED164" i="18"/>
  <c r="DP164" i="18"/>
  <c r="DD164" i="18"/>
  <c r="GF164" i="18"/>
  <c r="FD164" i="18"/>
  <c r="EN164" i="18"/>
  <c r="DZ164" i="18"/>
  <c r="DN164" i="18"/>
  <c r="CZ164" i="18"/>
  <c r="G164" i="18"/>
  <c r="ET164" i="18"/>
  <c r="DT164" i="18"/>
  <c r="FR164" i="18"/>
  <c r="DF164" i="18"/>
  <c r="EH164" i="18"/>
  <c r="K165" i="18"/>
  <c r="KG164" i="18"/>
  <c r="KB164" i="18"/>
  <c r="JW164" i="18"/>
  <c r="JR164" i="18"/>
  <c r="JM164" i="18"/>
  <c r="JH164" i="18"/>
  <c r="JC164" i="18"/>
  <c r="IX164" i="18"/>
  <c r="IS164" i="18"/>
  <c r="IN164" i="18"/>
  <c r="II164" i="18"/>
  <c r="ID164" i="18"/>
  <c r="HY164" i="18"/>
  <c r="HT164" i="18"/>
  <c r="HO164" i="18"/>
  <c r="HJ164" i="18"/>
  <c r="HE164" i="18"/>
  <c r="GZ164" i="18"/>
  <c r="GU164" i="18"/>
  <c r="P164" i="18"/>
  <c r="L164" i="18"/>
  <c r="I165" i="18" s="1" a="1"/>
  <c r="I165" i="18" s="1"/>
  <c r="KE164" i="18"/>
  <c r="JY164" i="18"/>
  <c r="JQ164" i="18"/>
  <c r="JK164" i="18"/>
  <c r="JE164" i="18"/>
  <c r="IW164" i="18"/>
  <c r="IQ164" i="18"/>
  <c r="IK164" i="18"/>
  <c r="IC164" i="18"/>
  <c r="HW164" i="18"/>
  <c r="HQ164" i="18"/>
  <c r="HI164" i="18"/>
  <c r="HC164" i="18"/>
  <c r="GW164" i="18"/>
  <c r="Q164" i="18"/>
  <c r="KA164" i="18"/>
  <c r="JU164" i="18"/>
  <c r="JO164" i="18"/>
  <c r="JG164" i="18"/>
  <c r="JA164" i="18"/>
  <c r="IU164" i="18"/>
  <c r="IM164" i="18"/>
  <c r="IG164" i="18"/>
  <c r="IA164" i="18"/>
  <c r="HS164" i="18"/>
  <c r="HM164" i="18"/>
  <c r="HG164" i="18"/>
  <c r="GY164" i="18"/>
  <c r="GS164" i="18"/>
  <c r="N164" i="18"/>
  <c r="AP164" i="18" s="1"/>
  <c r="KF164" i="18"/>
  <c r="JZ164" i="18"/>
  <c r="JT164" i="18"/>
  <c r="JL164" i="18"/>
  <c r="JF164" i="18"/>
  <c r="IZ164" i="18"/>
  <c r="IR164" i="18"/>
  <c r="IL164" i="18"/>
  <c r="IF164" i="18"/>
  <c r="HX164" i="18"/>
  <c r="HR164" i="18"/>
  <c r="HL164" i="18"/>
  <c r="HD164" i="18"/>
  <c r="GX164" i="18"/>
  <c r="GR164" i="18"/>
  <c r="KD164" i="18"/>
  <c r="JB164" i="18"/>
  <c r="IB164" i="18"/>
  <c r="HB164" i="18"/>
  <c r="JP164" i="18"/>
  <c r="IP164" i="18"/>
  <c r="HN164" i="18"/>
  <c r="JJ164" i="18"/>
  <c r="IH164" i="18"/>
  <c r="HH164" i="18"/>
  <c r="IV164" i="18"/>
  <c r="M164" i="18"/>
  <c r="GT164" i="18"/>
  <c r="JV164" i="18"/>
  <c r="HV164" i="18"/>
  <c r="I164" i="18" a="1"/>
  <c r="I164" i="18" s="1"/>
  <c r="DO109" i="16" l="1"/>
  <c r="DN109" i="16" s="1"/>
  <c r="DP109" i="16" s="1"/>
  <c r="DJ112" i="16"/>
  <c r="DI112" i="16" s="1"/>
  <c r="DK112" i="16" s="1"/>
  <c r="DM111" i="16"/>
  <c r="AG156" i="16"/>
  <c r="AV157" i="16"/>
  <c r="AF157" i="16"/>
  <c r="AW156" i="16"/>
  <c r="AO154" i="16"/>
  <c r="AN155" i="16"/>
  <c r="BF164" i="18"/>
  <c r="B166" i="18"/>
  <c r="GM165" i="18"/>
  <c r="GH165" i="18"/>
  <c r="GC165" i="18"/>
  <c r="FX165" i="18"/>
  <c r="FS165" i="18"/>
  <c r="FN165" i="18"/>
  <c r="FI165" i="18"/>
  <c r="FD165" i="18"/>
  <c r="EY165" i="18"/>
  <c r="ET165" i="18"/>
  <c r="EO165" i="18"/>
  <c r="EJ165" i="18"/>
  <c r="EE165" i="18"/>
  <c r="DZ165" i="18"/>
  <c r="DU165" i="18"/>
  <c r="DP165" i="18"/>
  <c r="DK165" i="18"/>
  <c r="DF165" i="18"/>
  <c r="DA165" i="18"/>
  <c r="G165" i="18"/>
  <c r="C165" i="18"/>
  <c r="A166" i="18" s="1" a="1"/>
  <c r="A166" i="18" s="1"/>
  <c r="GN165" i="18"/>
  <c r="GG165" i="18"/>
  <c r="GA165" i="18"/>
  <c r="FT165" i="18"/>
  <c r="FM165" i="18"/>
  <c r="FG165" i="18"/>
  <c r="EZ165" i="18"/>
  <c r="ES165" i="18"/>
  <c r="EM165" i="18"/>
  <c r="EF165" i="18"/>
  <c r="DY165" i="18"/>
  <c r="DS165" i="18"/>
  <c r="DL165" i="18"/>
  <c r="DE165" i="18"/>
  <c r="CY165" i="18"/>
  <c r="H165" i="18"/>
  <c r="GK165" i="18"/>
  <c r="GD165" i="18"/>
  <c r="FW165" i="18"/>
  <c r="FQ165" i="18"/>
  <c r="FJ165" i="18"/>
  <c r="FC165" i="18"/>
  <c r="EW165" i="18"/>
  <c r="EP165" i="18"/>
  <c r="EI165" i="18"/>
  <c r="EC165" i="18"/>
  <c r="DV165" i="18"/>
  <c r="DO165" i="18"/>
  <c r="DI165" i="18"/>
  <c r="DB165" i="18"/>
  <c r="E165" i="18"/>
  <c r="AH165" i="18" s="1"/>
  <c r="AX165" i="18" s="1"/>
  <c r="GI165" i="18"/>
  <c r="GB165" i="18"/>
  <c r="FV165" i="18"/>
  <c r="FO165" i="18"/>
  <c r="FH165" i="18"/>
  <c r="FB165" i="18"/>
  <c r="EU165" i="18"/>
  <c r="EN165" i="18"/>
  <c r="EH165" i="18"/>
  <c r="EA165" i="18"/>
  <c r="DT165" i="18"/>
  <c r="DN165" i="18"/>
  <c r="DG165" i="18"/>
  <c r="CZ165" i="18"/>
  <c r="D165" i="18"/>
  <c r="GL165" i="18"/>
  <c r="FL165" i="18"/>
  <c r="EK165" i="18"/>
  <c r="DJ165" i="18"/>
  <c r="FY165" i="18"/>
  <c r="EX165" i="18"/>
  <c r="DX165" i="18"/>
  <c r="F165" i="18"/>
  <c r="FR165" i="18"/>
  <c r="ER165" i="18"/>
  <c r="DQ165" i="18"/>
  <c r="DD165" i="18"/>
  <c r="FE165" i="18"/>
  <c r="ED165" i="18"/>
  <c r="GF165" i="18"/>
  <c r="KF165" i="18"/>
  <c r="KA165" i="18"/>
  <c r="JV165" i="18"/>
  <c r="JQ165" i="18"/>
  <c r="JL165" i="18"/>
  <c r="JG165" i="18"/>
  <c r="JB165" i="18"/>
  <c r="IW165" i="18"/>
  <c r="IR165" i="18"/>
  <c r="IM165" i="18"/>
  <c r="IH165" i="18"/>
  <c r="IC165" i="18"/>
  <c r="HX165" i="18"/>
  <c r="HS165" i="18"/>
  <c r="HN165" i="18"/>
  <c r="HI165" i="18"/>
  <c r="HD165" i="18"/>
  <c r="GY165" i="18"/>
  <c r="GT165" i="18"/>
  <c r="KE165" i="18"/>
  <c r="JY165" i="18"/>
  <c r="JR165" i="18"/>
  <c r="JK165" i="18"/>
  <c r="JE165" i="18"/>
  <c r="IX165" i="18"/>
  <c r="IQ165" i="18"/>
  <c r="IK165" i="18"/>
  <c r="ID165" i="18"/>
  <c r="HW165" i="18"/>
  <c r="HQ165" i="18"/>
  <c r="HJ165" i="18"/>
  <c r="HC165" i="18"/>
  <c r="GW165" i="18"/>
  <c r="Q165" i="18"/>
  <c r="M165" i="18"/>
  <c r="K166" i="18"/>
  <c r="KB165" i="18"/>
  <c r="JU165" i="18"/>
  <c r="JO165" i="18"/>
  <c r="JH165" i="18"/>
  <c r="JA165" i="18"/>
  <c r="IU165" i="18"/>
  <c r="IN165" i="18"/>
  <c r="IG165" i="18"/>
  <c r="IA165" i="18"/>
  <c r="HT165" i="18"/>
  <c r="HM165" i="18"/>
  <c r="HG165" i="18"/>
  <c r="GZ165" i="18"/>
  <c r="GS165" i="18"/>
  <c r="KG165" i="18"/>
  <c r="JZ165" i="18"/>
  <c r="JT165" i="18"/>
  <c r="JM165" i="18"/>
  <c r="JF165" i="18"/>
  <c r="IZ165" i="18"/>
  <c r="IS165" i="18"/>
  <c r="IL165" i="18"/>
  <c r="IF165" i="18"/>
  <c r="HY165" i="18"/>
  <c r="HR165" i="18"/>
  <c r="HL165" i="18"/>
  <c r="HE165" i="18"/>
  <c r="GX165" i="18"/>
  <c r="GR165" i="18"/>
  <c r="N165" i="18"/>
  <c r="AP165" i="18" s="1"/>
  <c r="JP165" i="18"/>
  <c r="IP165" i="18"/>
  <c r="HO165" i="18"/>
  <c r="KD165" i="18"/>
  <c r="JC165" i="18"/>
  <c r="IB165" i="18"/>
  <c r="HB165" i="18"/>
  <c r="JW165" i="18"/>
  <c r="IV165" i="18"/>
  <c r="HV165" i="18"/>
  <c r="GU165" i="18"/>
  <c r="P165" i="18"/>
  <c r="HH165" i="18"/>
  <c r="JJ165" i="18"/>
  <c r="L165" i="18"/>
  <c r="BF165" i="18" s="1"/>
  <c r="II165" i="18"/>
  <c r="U164" i="18"/>
  <c r="AB164" i="18"/>
  <c r="AR164" i="18"/>
  <c r="AC164" i="18"/>
  <c r="AS164" i="18"/>
  <c r="X163" i="18"/>
  <c r="Z163" i="18"/>
  <c r="W163" i="18"/>
  <c r="V163" i="18"/>
  <c r="Y163" i="18"/>
  <c r="DO110" i="16" l="1"/>
  <c r="DN110" i="16" s="1"/>
  <c r="DP110" i="16" s="1"/>
  <c r="DJ113" i="16"/>
  <c r="DI113" i="16" s="1"/>
  <c r="DK113" i="16" s="1"/>
  <c r="DM112" i="16"/>
  <c r="AW157" i="16"/>
  <c r="AV158" i="16"/>
  <c r="AG157" i="16"/>
  <c r="AF158" i="16"/>
  <c r="AO155" i="16"/>
  <c r="AN156" i="16"/>
  <c r="W164" i="18"/>
  <c r="Y164" i="18"/>
  <c r="V164" i="18"/>
  <c r="X164" i="18"/>
  <c r="Z164" i="18"/>
  <c r="U165" i="18"/>
  <c r="KE166" i="18"/>
  <c r="JZ166" i="18"/>
  <c r="JU166" i="18"/>
  <c r="JP166" i="18"/>
  <c r="JK166" i="18"/>
  <c r="JF166" i="18"/>
  <c r="JA166" i="18"/>
  <c r="IV166" i="18"/>
  <c r="IQ166" i="18"/>
  <c r="IL166" i="18"/>
  <c r="IG166" i="18"/>
  <c r="IB166" i="18"/>
  <c r="HW166" i="18"/>
  <c r="HR166" i="18"/>
  <c r="HM166" i="18"/>
  <c r="HH166" i="18"/>
  <c r="HC166" i="18"/>
  <c r="GX166" i="18"/>
  <c r="GS166" i="18"/>
  <c r="N166" i="18"/>
  <c r="AP166" i="18" s="1"/>
  <c r="KG166" i="18"/>
  <c r="KA166" i="18"/>
  <c r="JT166" i="18"/>
  <c r="JM166" i="18"/>
  <c r="JG166" i="18"/>
  <c r="IZ166" i="18"/>
  <c r="IS166" i="18"/>
  <c r="IM166" i="18"/>
  <c r="IF166" i="18"/>
  <c r="HY166" i="18"/>
  <c r="HS166" i="18"/>
  <c r="HL166" i="18"/>
  <c r="HE166" i="18"/>
  <c r="GY166" i="18"/>
  <c r="GR166" i="18"/>
  <c r="M166" i="18"/>
  <c r="KD166" i="18"/>
  <c r="JW166" i="18"/>
  <c r="JQ166" i="18"/>
  <c r="JJ166" i="18"/>
  <c r="JC166" i="18"/>
  <c r="IW166" i="18"/>
  <c r="IP166" i="18"/>
  <c r="II166" i="18"/>
  <c r="IC166" i="18"/>
  <c r="HV166" i="18"/>
  <c r="HO166" i="18"/>
  <c r="HI166" i="18"/>
  <c r="HB166" i="18"/>
  <c r="GU166" i="18"/>
  <c r="P166" i="18"/>
  <c r="K167" i="18"/>
  <c r="KB166" i="18"/>
  <c r="JV166" i="18"/>
  <c r="JO166" i="18"/>
  <c r="JH166" i="18"/>
  <c r="JB166" i="18"/>
  <c r="IU166" i="18"/>
  <c r="IN166" i="18"/>
  <c r="IH166" i="18"/>
  <c r="IA166" i="18"/>
  <c r="HT166" i="18"/>
  <c r="HN166" i="18"/>
  <c r="HG166" i="18"/>
  <c r="GZ166" i="18"/>
  <c r="GT166" i="18"/>
  <c r="JY166" i="18"/>
  <c r="IX166" i="18"/>
  <c r="HX166" i="18"/>
  <c r="GW166" i="18"/>
  <c r="JL166" i="18"/>
  <c r="IK166" i="18"/>
  <c r="HJ166" i="18"/>
  <c r="KF166" i="18"/>
  <c r="JE166" i="18"/>
  <c r="ID166" i="18"/>
  <c r="HD166" i="18"/>
  <c r="L166" i="18"/>
  <c r="BF166" i="18" s="1"/>
  <c r="HQ166" i="18"/>
  <c r="JR166" i="18"/>
  <c r="IR166" i="18"/>
  <c r="Q166" i="18"/>
  <c r="GL166" i="18"/>
  <c r="GG166" i="18"/>
  <c r="GB166" i="18"/>
  <c r="FW166" i="18"/>
  <c r="FR166" i="18"/>
  <c r="FM166" i="18"/>
  <c r="FH166" i="18"/>
  <c r="FC166" i="18"/>
  <c r="EX166" i="18"/>
  <c r="ES166" i="18"/>
  <c r="EN166" i="18"/>
  <c r="EI166" i="18"/>
  <c r="ED166" i="18"/>
  <c r="DY166" i="18"/>
  <c r="DT166" i="18"/>
  <c r="DO166" i="18"/>
  <c r="DJ166" i="18"/>
  <c r="DE166" i="18"/>
  <c r="CZ166" i="18"/>
  <c r="F166" i="18"/>
  <c r="GI166" i="18"/>
  <c r="GC166" i="18"/>
  <c r="FV166" i="18"/>
  <c r="FO166" i="18"/>
  <c r="FI166" i="18"/>
  <c r="FB166" i="18"/>
  <c r="EU166" i="18"/>
  <c r="EO166" i="18"/>
  <c r="EH166" i="18"/>
  <c r="EA166" i="18"/>
  <c r="DU166" i="18"/>
  <c r="DN166" i="18"/>
  <c r="DG166" i="18"/>
  <c r="DA166" i="18"/>
  <c r="H166" i="18"/>
  <c r="C166" i="18"/>
  <c r="B167" i="18"/>
  <c r="GM166" i="18"/>
  <c r="GF166" i="18"/>
  <c r="FY166" i="18"/>
  <c r="FS166" i="18"/>
  <c r="FL166" i="18"/>
  <c r="FE166" i="18"/>
  <c r="EY166" i="18"/>
  <c r="ER166" i="18"/>
  <c r="EK166" i="18"/>
  <c r="EE166" i="18"/>
  <c r="DX166" i="18"/>
  <c r="DQ166" i="18"/>
  <c r="DK166" i="18"/>
  <c r="DD166" i="18"/>
  <c r="E166" i="18"/>
  <c r="AH166" i="18" s="1"/>
  <c r="AX166" i="18" s="1"/>
  <c r="GK166" i="18"/>
  <c r="GD166" i="18"/>
  <c r="FX166" i="18"/>
  <c r="FQ166" i="18"/>
  <c r="FJ166" i="18"/>
  <c r="FD166" i="18"/>
  <c r="EW166" i="18"/>
  <c r="EP166" i="18"/>
  <c r="EJ166" i="18"/>
  <c r="EC166" i="18"/>
  <c r="DV166" i="18"/>
  <c r="DP166" i="18"/>
  <c r="DI166" i="18"/>
  <c r="DB166" i="18"/>
  <c r="D166" i="18"/>
  <c r="FT166" i="18"/>
  <c r="ET166" i="18"/>
  <c r="DS166" i="18"/>
  <c r="G166" i="18"/>
  <c r="GH166" i="18"/>
  <c r="FG166" i="18"/>
  <c r="EF166" i="18"/>
  <c r="DF166" i="18"/>
  <c r="GA166" i="18"/>
  <c r="EZ166" i="18"/>
  <c r="DZ166" i="18"/>
  <c r="CY166" i="18"/>
  <c r="DL166" i="18"/>
  <c r="FN166" i="18"/>
  <c r="EM166" i="18"/>
  <c r="GN166" i="18"/>
  <c r="AS165" i="18"/>
  <c r="AC165" i="18"/>
  <c r="AR165" i="18"/>
  <c r="AB165" i="18"/>
  <c r="I166" i="18" a="1"/>
  <c r="I166" i="18" s="1"/>
  <c r="DO111" i="16" l="1"/>
  <c r="DN111" i="16" s="1"/>
  <c r="DP111" i="16" s="1"/>
  <c r="DJ114" i="16"/>
  <c r="DI114" i="16" s="1"/>
  <c r="DK114" i="16" s="1"/>
  <c r="DM113" i="16"/>
  <c r="AN157" i="16"/>
  <c r="AO156" i="16"/>
  <c r="AF159" i="16"/>
  <c r="AG158" i="16"/>
  <c r="AV159" i="16"/>
  <c r="AW158" i="16"/>
  <c r="KD167" i="18"/>
  <c r="JY167" i="18"/>
  <c r="JT167" i="18"/>
  <c r="JO167" i="18"/>
  <c r="JJ167" i="18"/>
  <c r="JE167" i="18"/>
  <c r="IZ167" i="18"/>
  <c r="IU167" i="18"/>
  <c r="IP167" i="18"/>
  <c r="IK167" i="18"/>
  <c r="IF167" i="18"/>
  <c r="IA167" i="18"/>
  <c r="HV167" i="18"/>
  <c r="HQ167" i="18"/>
  <c r="HL167" i="18"/>
  <c r="HG167" i="18"/>
  <c r="HB167" i="18"/>
  <c r="GW167" i="18"/>
  <c r="GR167" i="18"/>
  <c r="Q167" i="18"/>
  <c r="M167" i="18"/>
  <c r="KG167" i="18"/>
  <c r="KA167" i="18"/>
  <c r="JU167" i="18"/>
  <c r="JM167" i="18"/>
  <c r="JG167" i="18"/>
  <c r="JA167" i="18"/>
  <c r="IS167" i="18"/>
  <c r="IM167" i="18"/>
  <c r="IG167" i="18"/>
  <c r="HY167" i="18"/>
  <c r="HS167" i="18"/>
  <c r="HM167" i="18"/>
  <c r="HE167" i="18"/>
  <c r="GY167" i="18"/>
  <c r="GS167" i="18"/>
  <c r="KF167" i="18"/>
  <c r="JW167" i="18"/>
  <c r="JP167" i="18"/>
  <c r="JF167" i="18"/>
  <c r="IW167" i="18"/>
  <c r="IN167" i="18"/>
  <c r="ID167" i="18"/>
  <c r="HW167" i="18"/>
  <c r="HN167" i="18"/>
  <c r="HD167" i="18"/>
  <c r="GU167" i="18"/>
  <c r="KB167" i="18"/>
  <c r="JR167" i="18"/>
  <c r="JK167" i="18"/>
  <c r="JB167" i="18"/>
  <c r="IR167" i="18"/>
  <c r="II167" i="18"/>
  <c r="IB167" i="18"/>
  <c r="HR167" i="18"/>
  <c r="HI167" i="18"/>
  <c r="GZ167" i="18"/>
  <c r="L167" i="18"/>
  <c r="JZ167" i="18"/>
  <c r="JQ167" i="18"/>
  <c r="JH167" i="18"/>
  <c r="IX167" i="18"/>
  <c r="IQ167" i="18"/>
  <c r="IH167" i="18"/>
  <c r="HX167" i="18"/>
  <c r="HO167" i="18"/>
  <c r="HH167" i="18"/>
  <c r="GX167" i="18"/>
  <c r="P167" i="18"/>
  <c r="KE167" i="18"/>
  <c r="IV167" i="18"/>
  <c r="HJ167" i="18"/>
  <c r="N167" i="18"/>
  <c r="AP167" i="18" s="1"/>
  <c r="K168" i="18"/>
  <c r="JL167" i="18"/>
  <c r="IC167" i="18"/>
  <c r="GT167" i="18"/>
  <c r="JC167" i="18"/>
  <c r="HT167" i="18"/>
  <c r="JV167" i="18"/>
  <c r="HC167" i="18"/>
  <c r="IL167" i="18"/>
  <c r="GK167" i="18"/>
  <c r="GF167" i="18"/>
  <c r="GA167" i="18"/>
  <c r="FV167" i="18"/>
  <c r="FQ167" i="18"/>
  <c r="FL167" i="18"/>
  <c r="FG167" i="18"/>
  <c r="FB167" i="18"/>
  <c r="EW167" i="18"/>
  <c r="ER167" i="18"/>
  <c r="EM167" i="18"/>
  <c r="EH167" i="18"/>
  <c r="EC167" i="18"/>
  <c r="DX167" i="18"/>
  <c r="DS167" i="18"/>
  <c r="DN167" i="18"/>
  <c r="DI167" i="18"/>
  <c r="DD167" i="18"/>
  <c r="CY167" i="18"/>
  <c r="E167" i="18"/>
  <c r="AH167" i="18" s="1"/>
  <c r="AX167" i="18" s="1"/>
  <c r="GI167" i="18"/>
  <c r="GC167" i="18"/>
  <c r="FW167" i="18"/>
  <c r="FO167" i="18"/>
  <c r="FI167" i="18"/>
  <c r="FC167" i="18"/>
  <c r="EU167" i="18"/>
  <c r="EO167" i="18"/>
  <c r="EI167" i="18"/>
  <c r="EA167" i="18"/>
  <c r="DU167" i="18"/>
  <c r="DO167" i="18"/>
  <c r="DG167" i="18"/>
  <c r="DA167" i="18"/>
  <c r="GL167" i="18"/>
  <c r="GB167" i="18"/>
  <c r="FS167" i="18"/>
  <c r="FJ167" i="18"/>
  <c r="EZ167" i="18"/>
  <c r="ES167" i="18"/>
  <c r="EJ167" i="18"/>
  <c r="DZ167" i="18"/>
  <c r="DQ167" i="18"/>
  <c r="DJ167" i="18"/>
  <c r="CZ167" i="18"/>
  <c r="D167" i="18"/>
  <c r="B168" i="18"/>
  <c r="GN167" i="18"/>
  <c r="GG167" i="18"/>
  <c r="FX167" i="18"/>
  <c r="FN167" i="18"/>
  <c r="FE167" i="18"/>
  <c r="EX167" i="18"/>
  <c r="EN167" i="18"/>
  <c r="EE167" i="18"/>
  <c r="DV167" i="18"/>
  <c r="DL167" i="18"/>
  <c r="DE167" i="18"/>
  <c r="G167" i="18"/>
  <c r="GM167" i="18"/>
  <c r="GD167" i="18"/>
  <c r="FT167" i="18"/>
  <c r="FM167" i="18"/>
  <c r="FD167" i="18"/>
  <c r="ET167" i="18"/>
  <c r="EK167" i="18"/>
  <c r="ED167" i="18"/>
  <c r="DT167" i="18"/>
  <c r="DK167" i="18"/>
  <c r="DB167" i="18"/>
  <c r="F167" i="18"/>
  <c r="FY167" i="18"/>
  <c r="EP167" i="18"/>
  <c r="DF167" i="18"/>
  <c r="FH167" i="18"/>
  <c r="DY167" i="18"/>
  <c r="C167" i="18"/>
  <c r="A168" i="18" s="1" a="1"/>
  <c r="A168" i="18" s="1"/>
  <c r="GH167" i="18"/>
  <c r="EY167" i="18"/>
  <c r="DP167" i="18"/>
  <c r="EF167" i="18"/>
  <c r="FR167" i="18"/>
  <c r="H167" i="18"/>
  <c r="U166" i="18"/>
  <c r="A167" i="18" a="1"/>
  <c r="A167" i="18" s="1"/>
  <c r="BF167" i="18"/>
  <c r="I168" i="18" a="1"/>
  <c r="I168" i="18" s="1"/>
  <c r="Z165" i="18"/>
  <c r="V165" i="18"/>
  <c r="Y165" i="18"/>
  <c r="W165" i="18"/>
  <c r="X165" i="18"/>
  <c r="AR166" i="18"/>
  <c r="AS166" i="18"/>
  <c r="AB166" i="18"/>
  <c r="AC166" i="18"/>
  <c r="I167" i="18" a="1"/>
  <c r="I167" i="18" s="1"/>
  <c r="DO112" i="16" l="1"/>
  <c r="DN112" i="16" s="1"/>
  <c r="DP112" i="16" s="1"/>
  <c r="DM114" i="16"/>
  <c r="DJ115" i="16"/>
  <c r="DI115" i="16" s="1"/>
  <c r="DK115" i="16" s="1"/>
  <c r="AG159" i="16"/>
  <c r="AW159" i="16"/>
  <c r="AV160" i="16"/>
  <c r="AF160" i="16"/>
  <c r="AO157" i="16"/>
  <c r="AN158" i="16"/>
  <c r="GN168" i="18"/>
  <c r="GI168" i="18"/>
  <c r="GD168" i="18"/>
  <c r="FY168" i="18"/>
  <c r="FT168" i="18"/>
  <c r="FO168" i="18"/>
  <c r="FJ168" i="18"/>
  <c r="FE168" i="18"/>
  <c r="EZ168" i="18"/>
  <c r="EU168" i="18"/>
  <c r="EP168" i="18"/>
  <c r="EK168" i="18"/>
  <c r="EF168" i="18"/>
  <c r="EA168" i="18"/>
  <c r="DV168" i="18"/>
  <c r="DQ168" i="18"/>
  <c r="DL168" i="18"/>
  <c r="DG168" i="18"/>
  <c r="DB168" i="18"/>
  <c r="H168" i="18"/>
  <c r="D168" i="18"/>
  <c r="GL168" i="18"/>
  <c r="GF168" i="18"/>
  <c r="FX168" i="18"/>
  <c r="FR168" i="18"/>
  <c r="FL168" i="18"/>
  <c r="FD168" i="18"/>
  <c r="EX168" i="18"/>
  <c r="ER168" i="18"/>
  <c r="EJ168" i="18"/>
  <c r="ED168" i="18"/>
  <c r="DX168" i="18"/>
  <c r="DP168" i="18"/>
  <c r="DJ168" i="18"/>
  <c r="DD168" i="18"/>
  <c r="E168" i="18"/>
  <c r="AH168" i="18" s="1"/>
  <c r="AX168" i="18" s="1"/>
  <c r="GM168" i="18"/>
  <c r="GC168" i="18"/>
  <c r="FV168" i="18"/>
  <c r="FM168" i="18"/>
  <c r="FC168" i="18"/>
  <c r="ET168" i="18"/>
  <c r="EM168" i="18"/>
  <c r="EC168" i="18"/>
  <c r="DT168" i="18"/>
  <c r="DK168" i="18"/>
  <c r="DA168" i="18"/>
  <c r="F168" i="18"/>
  <c r="GH168" i="18"/>
  <c r="GA168" i="18"/>
  <c r="FQ168" i="18"/>
  <c r="FH168" i="18"/>
  <c r="EY168" i="18"/>
  <c r="EO168" i="18"/>
  <c r="EH168" i="18"/>
  <c r="DY168" i="18"/>
  <c r="DO168" i="18"/>
  <c r="DF168" i="18"/>
  <c r="CY168" i="18"/>
  <c r="B169" i="18"/>
  <c r="GG168" i="18"/>
  <c r="FW168" i="18"/>
  <c r="FN168" i="18"/>
  <c r="FG168" i="18"/>
  <c r="EW168" i="18"/>
  <c r="EN168" i="18"/>
  <c r="EE168" i="18"/>
  <c r="DU168" i="18"/>
  <c r="DN168" i="18"/>
  <c r="DE168" i="18"/>
  <c r="G168" i="18"/>
  <c r="FI168" i="18"/>
  <c r="DZ168" i="18"/>
  <c r="GB168" i="18"/>
  <c r="ES168" i="18"/>
  <c r="DI168" i="18"/>
  <c r="FS168" i="18"/>
  <c r="EI168" i="18"/>
  <c r="CZ168" i="18"/>
  <c r="C168" i="18"/>
  <c r="A169" i="18" s="1" a="1"/>
  <c r="A169" i="18" s="1"/>
  <c r="GK168" i="18"/>
  <c r="DS168" i="18"/>
  <c r="FB168" i="18"/>
  <c r="K169" i="18"/>
  <c r="KG168" i="18"/>
  <c r="KB168" i="18"/>
  <c r="JW168" i="18"/>
  <c r="JR168" i="18"/>
  <c r="JM168" i="18"/>
  <c r="JH168" i="18"/>
  <c r="JC168" i="18"/>
  <c r="IX168" i="18"/>
  <c r="IS168" i="18"/>
  <c r="IN168" i="18"/>
  <c r="II168" i="18"/>
  <c r="ID168" i="18"/>
  <c r="HY168" i="18"/>
  <c r="HT168" i="18"/>
  <c r="HO168" i="18"/>
  <c r="HJ168" i="18"/>
  <c r="HE168" i="18"/>
  <c r="GZ168" i="18"/>
  <c r="GU168" i="18"/>
  <c r="P168" i="18"/>
  <c r="L168" i="18"/>
  <c r="KD168" i="18"/>
  <c r="JV168" i="18"/>
  <c r="JP168" i="18"/>
  <c r="JJ168" i="18"/>
  <c r="JB168" i="18"/>
  <c r="IV168" i="18"/>
  <c r="IP168" i="18"/>
  <c r="IH168" i="18"/>
  <c r="IB168" i="18"/>
  <c r="HV168" i="18"/>
  <c r="HN168" i="18"/>
  <c r="HH168" i="18"/>
  <c r="HB168" i="18"/>
  <c r="GT168" i="18"/>
  <c r="JZ168" i="18"/>
  <c r="JQ168" i="18"/>
  <c r="JG168" i="18"/>
  <c r="IZ168" i="18"/>
  <c r="IQ168" i="18"/>
  <c r="IG168" i="18"/>
  <c r="HX168" i="18"/>
  <c r="HQ168" i="18"/>
  <c r="HG168" i="18"/>
  <c r="GX168" i="18"/>
  <c r="M168" i="18"/>
  <c r="KE168" i="18"/>
  <c r="JU168" i="18"/>
  <c r="JL168" i="18"/>
  <c r="JE168" i="18"/>
  <c r="IU168" i="18"/>
  <c r="IL168" i="18"/>
  <c r="IC168" i="18"/>
  <c r="HS168" i="18"/>
  <c r="HL168" i="18"/>
  <c r="HC168" i="18"/>
  <c r="GS168" i="18"/>
  <c r="KA168" i="18"/>
  <c r="JT168" i="18"/>
  <c r="JK168" i="18"/>
  <c r="JA168" i="18"/>
  <c r="IR168" i="18"/>
  <c r="IK168" i="18"/>
  <c r="IA168" i="18"/>
  <c r="HR168" i="18"/>
  <c r="HI168" i="18"/>
  <c r="GY168" i="18"/>
  <c r="GR168" i="18"/>
  <c r="N168" i="18"/>
  <c r="AP168" i="18" s="1"/>
  <c r="JO168" i="18"/>
  <c r="IF168" i="18"/>
  <c r="GW168" i="18"/>
  <c r="Q168" i="18"/>
  <c r="KF168" i="18"/>
  <c r="IW168" i="18"/>
  <c r="HM168" i="18"/>
  <c r="JY168" i="18"/>
  <c r="IM168" i="18"/>
  <c r="HD168" i="18"/>
  <c r="JF168" i="18"/>
  <c r="HW168" i="18"/>
  <c r="I169" i="18" a="1"/>
  <c r="I169" i="18" s="1"/>
  <c r="AC167" i="18"/>
  <c r="AS167" i="18"/>
  <c r="AR167" i="18"/>
  <c r="AB167" i="18"/>
  <c r="Y166" i="18"/>
  <c r="V166" i="18"/>
  <c r="X166" i="18"/>
  <c r="W166" i="18"/>
  <c r="Z166" i="18"/>
  <c r="U167" i="18"/>
  <c r="BF168" i="18"/>
  <c r="DJ116" i="16" l="1"/>
  <c r="DI116" i="16" s="1"/>
  <c r="DK116" i="16" s="1"/>
  <c r="DO113" i="16"/>
  <c r="DN113" i="16" s="1"/>
  <c r="DP113" i="16" s="1"/>
  <c r="DM115" i="16"/>
  <c r="AN159" i="16"/>
  <c r="AO158" i="16"/>
  <c r="AG160" i="16"/>
  <c r="AV161" i="16"/>
  <c r="AW160" i="16"/>
  <c r="AF161" i="16"/>
  <c r="AB168" i="18"/>
  <c r="AR168" i="18"/>
  <c r="AC168" i="18"/>
  <c r="AS168" i="18"/>
  <c r="X167" i="18"/>
  <c r="W167" i="18"/>
  <c r="Z167" i="18"/>
  <c r="Y167" i="18"/>
  <c r="V167" i="18"/>
  <c r="KF169" i="18"/>
  <c r="KA169" i="18"/>
  <c r="JV169" i="18"/>
  <c r="JQ169" i="18"/>
  <c r="JL169" i="18"/>
  <c r="JG169" i="18"/>
  <c r="JB169" i="18"/>
  <c r="IW169" i="18"/>
  <c r="IR169" i="18"/>
  <c r="IM169" i="18"/>
  <c r="IH169" i="18"/>
  <c r="IC169" i="18"/>
  <c r="HX169" i="18"/>
  <c r="HS169" i="18"/>
  <c r="HN169" i="18"/>
  <c r="HI169" i="18"/>
  <c r="HD169" i="18"/>
  <c r="GY169" i="18"/>
  <c r="GT169" i="18"/>
  <c r="KD169" i="18"/>
  <c r="JW169" i="18"/>
  <c r="JP169" i="18"/>
  <c r="JJ169" i="18"/>
  <c r="JC169" i="18"/>
  <c r="IV169" i="18"/>
  <c r="IP169" i="18"/>
  <c r="II169" i="18"/>
  <c r="IB169" i="18"/>
  <c r="HV169" i="18"/>
  <c r="HO169" i="18"/>
  <c r="HH169" i="18"/>
  <c r="HB169" i="18"/>
  <c r="GU169" i="18"/>
  <c r="P169" i="18"/>
  <c r="L169" i="18"/>
  <c r="I170" i="18" s="1" a="1"/>
  <c r="I170" i="18" s="1"/>
  <c r="KB169" i="18"/>
  <c r="JT169" i="18"/>
  <c r="JK169" i="18"/>
  <c r="JA169" i="18"/>
  <c r="IS169" i="18"/>
  <c r="IK169" i="18"/>
  <c r="IA169" i="18"/>
  <c r="HR169" i="18"/>
  <c r="HJ169" i="18"/>
  <c r="GZ169" i="18"/>
  <c r="GR169" i="18"/>
  <c r="N169" i="18"/>
  <c r="AP169" i="18" s="1"/>
  <c r="KG169" i="18"/>
  <c r="JY169" i="18"/>
  <c r="JO169" i="18"/>
  <c r="JF169" i="18"/>
  <c r="IX169" i="18"/>
  <c r="IN169" i="18"/>
  <c r="IF169" i="18"/>
  <c r="HW169" i="18"/>
  <c r="HM169" i="18"/>
  <c r="HE169" i="18"/>
  <c r="GW169" i="18"/>
  <c r="Q169" i="18"/>
  <c r="K170" i="18"/>
  <c r="KE169" i="18"/>
  <c r="JU169" i="18"/>
  <c r="JM169" i="18"/>
  <c r="JE169" i="18"/>
  <c r="IU169" i="18"/>
  <c r="IL169" i="18"/>
  <c r="ID169" i="18"/>
  <c r="HT169" i="18"/>
  <c r="HL169" i="18"/>
  <c r="HC169" i="18"/>
  <c r="GS169" i="18"/>
  <c r="JZ169" i="18"/>
  <c r="IQ169" i="18"/>
  <c r="HG169" i="18"/>
  <c r="M169" i="18"/>
  <c r="JH169" i="18"/>
  <c r="HY169" i="18"/>
  <c r="IZ169" i="18"/>
  <c r="HQ169" i="18"/>
  <c r="JR169" i="18"/>
  <c r="GX169" i="18"/>
  <c r="IG169" i="18"/>
  <c r="U168" i="18"/>
  <c r="B170" i="18"/>
  <c r="GM169" i="18"/>
  <c r="GH169" i="18"/>
  <c r="GC169" i="18"/>
  <c r="FX169" i="18"/>
  <c r="FS169" i="18"/>
  <c r="FN169" i="18"/>
  <c r="FI169" i="18"/>
  <c r="FD169" i="18"/>
  <c r="EY169" i="18"/>
  <c r="ET169" i="18"/>
  <c r="EO169" i="18"/>
  <c r="EJ169" i="18"/>
  <c r="EE169" i="18"/>
  <c r="DZ169" i="18"/>
  <c r="DU169" i="18"/>
  <c r="DP169" i="18"/>
  <c r="DK169" i="18"/>
  <c r="DF169" i="18"/>
  <c r="DA169" i="18"/>
  <c r="G169" i="18"/>
  <c r="C169" i="18"/>
  <c r="GL169" i="18"/>
  <c r="GF169" i="18"/>
  <c r="FY169" i="18"/>
  <c r="FR169" i="18"/>
  <c r="FL169" i="18"/>
  <c r="FE169" i="18"/>
  <c r="EX169" i="18"/>
  <c r="ER169" i="18"/>
  <c r="EK169" i="18"/>
  <c r="ED169" i="18"/>
  <c r="DX169" i="18"/>
  <c r="DQ169" i="18"/>
  <c r="DJ169" i="18"/>
  <c r="DD169" i="18"/>
  <c r="F169" i="18"/>
  <c r="GG169" i="18"/>
  <c r="FW169" i="18"/>
  <c r="FO169" i="18"/>
  <c r="FG169" i="18"/>
  <c r="EW169" i="18"/>
  <c r="EN169" i="18"/>
  <c r="EF169" i="18"/>
  <c r="DV169" i="18"/>
  <c r="DN169" i="18"/>
  <c r="DE169" i="18"/>
  <c r="H169" i="18"/>
  <c r="GK169" i="18"/>
  <c r="GB169" i="18"/>
  <c r="FT169" i="18"/>
  <c r="FJ169" i="18"/>
  <c r="FB169" i="18"/>
  <c r="ES169" i="18"/>
  <c r="EI169" i="18"/>
  <c r="EA169" i="18"/>
  <c r="DS169" i="18"/>
  <c r="DI169" i="18"/>
  <c r="CZ169" i="18"/>
  <c r="D169" i="18"/>
  <c r="GI169" i="18"/>
  <c r="GA169" i="18"/>
  <c r="FQ169" i="18"/>
  <c r="FH169" i="18"/>
  <c r="EZ169" i="18"/>
  <c r="EP169" i="18"/>
  <c r="EH169" i="18"/>
  <c r="DY169" i="18"/>
  <c r="DO169" i="18"/>
  <c r="DG169" i="18"/>
  <c r="CY169" i="18"/>
  <c r="FV169" i="18"/>
  <c r="EM169" i="18"/>
  <c r="DB169" i="18"/>
  <c r="GN169" i="18"/>
  <c r="FC169" i="18"/>
  <c r="DT169" i="18"/>
  <c r="GD169" i="18"/>
  <c r="EU169" i="18"/>
  <c r="DL169" i="18"/>
  <c r="EC169" i="18"/>
  <c r="FM169" i="18"/>
  <c r="E169" i="18"/>
  <c r="AH169" i="18" s="1"/>
  <c r="AX169" i="18" s="1"/>
  <c r="DM116" i="16" l="1"/>
  <c r="DO114" i="16"/>
  <c r="DN114" i="16" s="1"/>
  <c r="DP114" i="16" s="1"/>
  <c r="AW161" i="16"/>
  <c r="AV162" i="16"/>
  <c r="AF162" i="16"/>
  <c r="AG161" i="16"/>
  <c r="AN160" i="16"/>
  <c r="AO159" i="16"/>
  <c r="W168" i="18"/>
  <c r="X168" i="18"/>
  <c r="Y168" i="18"/>
  <c r="V168" i="18"/>
  <c r="Z168" i="18"/>
  <c r="KE170" i="18"/>
  <c r="JZ170" i="18"/>
  <c r="JU170" i="18"/>
  <c r="JP170" i="18"/>
  <c r="JK170" i="18"/>
  <c r="JF170" i="18"/>
  <c r="JA170" i="18"/>
  <c r="IV170" i="18"/>
  <c r="IQ170" i="18"/>
  <c r="IL170" i="18"/>
  <c r="IG170" i="18"/>
  <c r="IB170" i="18"/>
  <c r="HW170" i="18"/>
  <c r="HR170" i="18"/>
  <c r="HM170" i="18"/>
  <c r="HH170" i="18"/>
  <c r="HC170" i="18"/>
  <c r="GX170" i="18"/>
  <c r="GS170" i="18"/>
  <c r="N170" i="18"/>
  <c r="AP170" i="18" s="1"/>
  <c r="KF170" i="18"/>
  <c r="JY170" i="18"/>
  <c r="JR170" i="18"/>
  <c r="JL170" i="18"/>
  <c r="JE170" i="18"/>
  <c r="IX170" i="18"/>
  <c r="IR170" i="18"/>
  <c r="IK170" i="18"/>
  <c r="ID170" i="18"/>
  <c r="HX170" i="18"/>
  <c r="HQ170" i="18"/>
  <c r="HJ170" i="18"/>
  <c r="HD170" i="18"/>
  <c r="GW170" i="18"/>
  <c r="Q170" i="18"/>
  <c r="L170" i="18"/>
  <c r="BF170" i="18" s="1"/>
  <c r="K171" i="18"/>
  <c r="KA170" i="18"/>
  <c r="JQ170" i="18"/>
  <c r="JH170" i="18"/>
  <c r="IZ170" i="18"/>
  <c r="IP170" i="18"/>
  <c r="IH170" i="18"/>
  <c r="HY170" i="18"/>
  <c r="HO170" i="18"/>
  <c r="HG170" i="18"/>
  <c r="GY170" i="18"/>
  <c r="P170" i="18"/>
  <c r="KD170" i="18"/>
  <c r="JV170" i="18"/>
  <c r="JM170" i="18"/>
  <c r="JC170" i="18"/>
  <c r="IU170" i="18"/>
  <c r="IM170" i="18"/>
  <c r="IC170" i="18"/>
  <c r="HT170" i="18"/>
  <c r="HL170" i="18"/>
  <c r="HB170" i="18"/>
  <c r="GT170" i="18"/>
  <c r="M170" i="18"/>
  <c r="KB170" i="18"/>
  <c r="JT170" i="18"/>
  <c r="JJ170" i="18"/>
  <c r="JB170" i="18"/>
  <c r="IS170" i="18"/>
  <c r="II170" i="18"/>
  <c r="IA170" i="18"/>
  <c r="HS170" i="18"/>
  <c r="HI170" i="18"/>
  <c r="GZ170" i="18"/>
  <c r="GR170" i="18"/>
  <c r="KG170" i="18"/>
  <c r="IW170" i="18"/>
  <c r="HN170" i="18"/>
  <c r="JO170" i="18"/>
  <c r="IF170" i="18"/>
  <c r="GU170" i="18"/>
  <c r="JG170" i="18"/>
  <c r="HV170" i="18"/>
  <c r="JW170" i="18"/>
  <c r="HE170" i="18"/>
  <c r="IN170" i="18"/>
  <c r="U169" i="18"/>
  <c r="GL170" i="18"/>
  <c r="GG170" i="18"/>
  <c r="GB170" i="18"/>
  <c r="FW170" i="18"/>
  <c r="FR170" i="18"/>
  <c r="FM170" i="18"/>
  <c r="FH170" i="18"/>
  <c r="FC170" i="18"/>
  <c r="EX170" i="18"/>
  <c r="ES170" i="18"/>
  <c r="EN170" i="18"/>
  <c r="EI170" i="18"/>
  <c r="ED170" i="18"/>
  <c r="DY170" i="18"/>
  <c r="DT170" i="18"/>
  <c r="DO170" i="18"/>
  <c r="DJ170" i="18"/>
  <c r="DE170" i="18"/>
  <c r="CZ170" i="18"/>
  <c r="F170" i="18"/>
  <c r="GN170" i="18"/>
  <c r="GH170" i="18"/>
  <c r="GA170" i="18"/>
  <c r="FT170" i="18"/>
  <c r="FN170" i="18"/>
  <c r="FG170" i="18"/>
  <c r="EZ170" i="18"/>
  <c r="ET170" i="18"/>
  <c r="EM170" i="18"/>
  <c r="EF170" i="18"/>
  <c r="DZ170" i="18"/>
  <c r="DS170" i="18"/>
  <c r="DL170" i="18"/>
  <c r="DF170" i="18"/>
  <c r="CY170" i="18"/>
  <c r="G170" i="18"/>
  <c r="B171" i="18"/>
  <c r="GM170" i="18"/>
  <c r="GD170" i="18"/>
  <c r="FV170" i="18"/>
  <c r="FL170" i="18"/>
  <c r="FD170" i="18"/>
  <c r="EU170" i="18"/>
  <c r="EK170" i="18"/>
  <c r="EC170" i="18"/>
  <c r="DU170" i="18"/>
  <c r="DK170" i="18"/>
  <c r="DB170" i="18"/>
  <c r="C170" i="18"/>
  <c r="GI170" i="18"/>
  <c r="FY170" i="18"/>
  <c r="FQ170" i="18"/>
  <c r="FI170" i="18"/>
  <c r="EY170" i="18"/>
  <c r="EP170" i="18"/>
  <c r="EH170" i="18"/>
  <c r="DX170" i="18"/>
  <c r="DP170" i="18"/>
  <c r="DG170" i="18"/>
  <c r="E170" i="18"/>
  <c r="AH170" i="18" s="1"/>
  <c r="AX170" i="18" s="1"/>
  <c r="GF170" i="18"/>
  <c r="FX170" i="18"/>
  <c r="FO170" i="18"/>
  <c r="FE170" i="18"/>
  <c r="EW170" i="18"/>
  <c r="EO170" i="18"/>
  <c r="EE170" i="18"/>
  <c r="DV170" i="18"/>
  <c r="DN170" i="18"/>
  <c r="DD170" i="18"/>
  <c r="D170" i="18"/>
  <c r="GC170" i="18"/>
  <c r="ER170" i="18"/>
  <c r="DI170" i="18"/>
  <c r="FJ170" i="18"/>
  <c r="EA170" i="18"/>
  <c r="H170" i="18"/>
  <c r="GK170" i="18"/>
  <c r="FB170" i="18"/>
  <c r="DQ170" i="18"/>
  <c r="EJ170" i="18"/>
  <c r="FS170" i="18"/>
  <c r="DA170" i="18"/>
  <c r="I171" i="18" a="1"/>
  <c r="I171" i="18" s="1"/>
  <c r="AS169" i="18"/>
  <c r="AR169" i="18"/>
  <c r="AB169" i="18"/>
  <c r="AC169" i="18"/>
  <c r="A170" i="18" a="1"/>
  <c r="A170" i="18" s="1"/>
  <c r="BF169" i="18"/>
  <c r="DO115" i="16" l="1"/>
  <c r="DN115" i="16" s="1"/>
  <c r="DP115" i="16" s="1"/>
  <c r="AF163" i="16"/>
  <c r="AG162" i="16"/>
  <c r="AV163" i="16"/>
  <c r="AW162" i="16"/>
  <c r="AO160" i="16"/>
  <c r="AN161" i="16"/>
  <c r="U170" i="18"/>
  <c r="GK171" i="18"/>
  <c r="GF171" i="18"/>
  <c r="GA171" i="18"/>
  <c r="FV171" i="18"/>
  <c r="FQ171" i="18"/>
  <c r="FL171" i="18"/>
  <c r="FG171" i="18"/>
  <c r="FB171" i="18"/>
  <c r="EW171" i="18"/>
  <c r="ER171" i="18"/>
  <c r="EM171" i="18"/>
  <c r="EH171" i="18"/>
  <c r="EC171" i="18"/>
  <c r="DX171" i="18"/>
  <c r="DS171" i="18"/>
  <c r="DN171" i="18"/>
  <c r="DI171" i="18"/>
  <c r="DD171" i="18"/>
  <c r="CY171" i="18"/>
  <c r="E171" i="18"/>
  <c r="AH171" i="18" s="1"/>
  <c r="AX171" i="18" s="1"/>
  <c r="GI171" i="18"/>
  <c r="GC171" i="18"/>
  <c r="FW171" i="18"/>
  <c r="FO171" i="18"/>
  <c r="FI171" i="18"/>
  <c r="FC171" i="18"/>
  <c r="EU171" i="18"/>
  <c r="EO171" i="18"/>
  <c r="EI171" i="18"/>
  <c r="EA171" i="18"/>
  <c r="DU171" i="18"/>
  <c r="DO171" i="18"/>
  <c r="DG171" i="18"/>
  <c r="DA171" i="18"/>
  <c r="H171" i="18"/>
  <c r="C171" i="18"/>
  <c r="B172" i="18"/>
  <c r="GL171" i="18"/>
  <c r="GB171" i="18"/>
  <c r="FS171" i="18"/>
  <c r="FJ171" i="18"/>
  <c r="EZ171" i="18"/>
  <c r="ES171" i="18"/>
  <c r="EJ171" i="18"/>
  <c r="DZ171" i="18"/>
  <c r="DQ171" i="18"/>
  <c r="DJ171" i="18"/>
  <c r="CZ171" i="18"/>
  <c r="G171" i="18"/>
  <c r="GM171" i="18"/>
  <c r="FY171" i="18"/>
  <c r="FN171" i="18"/>
  <c r="FD171" i="18"/>
  <c r="EP171" i="18"/>
  <c r="EE171" i="18"/>
  <c r="DT171" i="18"/>
  <c r="DF171" i="18"/>
  <c r="GG171" i="18"/>
  <c r="FT171" i="18"/>
  <c r="FH171" i="18"/>
  <c r="EX171" i="18"/>
  <c r="EK171" i="18"/>
  <c r="DY171" i="18"/>
  <c r="DL171" i="18"/>
  <c r="DB171" i="18"/>
  <c r="F171" i="18"/>
  <c r="GN171" i="18"/>
  <c r="GD171" i="18"/>
  <c r="FR171" i="18"/>
  <c r="FE171" i="18"/>
  <c r="ET171" i="18"/>
  <c r="EF171" i="18"/>
  <c r="DV171" i="18"/>
  <c r="DK171" i="18"/>
  <c r="D171" i="18"/>
  <c r="FX171" i="18"/>
  <c r="ED171" i="18"/>
  <c r="EY171" i="18"/>
  <c r="DE171" i="18"/>
  <c r="GH171" i="18"/>
  <c r="EN171" i="18"/>
  <c r="FM171" i="18"/>
  <c r="DP171" i="18"/>
  <c r="KD171" i="18"/>
  <c r="JY171" i="18"/>
  <c r="JT171" i="18"/>
  <c r="JO171" i="18"/>
  <c r="JJ171" i="18"/>
  <c r="JE171" i="18"/>
  <c r="IZ171" i="18"/>
  <c r="IU171" i="18"/>
  <c r="IP171" i="18"/>
  <c r="IK171" i="18"/>
  <c r="IF171" i="18"/>
  <c r="IA171" i="18"/>
  <c r="HV171" i="18"/>
  <c r="HQ171" i="18"/>
  <c r="HL171" i="18"/>
  <c r="HG171" i="18"/>
  <c r="HB171" i="18"/>
  <c r="GW171" i="18"/>
  <c r="GR171" i="18"/>
  <c r="Q171" i="18"/>
  <c r="M171" i="18"/>
  <c r="KG171" i="18"/>
  <c r="KA171" i="18"/>
  <c r="JU171" i="18"/>
  <c r="JM171" i="18"/>
  <c r="JG171" i="18"/>
  <c r="JA171" i="18"/>
  <c r="IS171" i="18"/>
  <c r="IM171" i="18"/>
  <c r="IG171" i="18"/>
  <c r="HY171" i="18"/>
  <c r="HS171" i="18"/>
  <c r="HM171" i="18"/>
  <c r="HE171" i="18"/>
  <c r="GY171" i="18"/>
  <c r="GS171" i="18"/>
  <c r="N171" i="18"/>
  <c r="AP171" i="18" s="1"/>
  <c r="KE171" i="18"/>
  <c r="JW171" i="18"/>
  <c r="JQ171" i="18"/>
  <c r="JK171" i="18"/>
  <c r="JC171" i="18"/>
  <c r="IW171" i="18"/>
  <c r="IQ171" i="18"/>
  <c r="II171" i="18"/>
  <c r="IC171" i="18"/>
  <c r="HW171" i="18"/>
  <c r="HO171" i="18"/>
  <c r="KB171" i="18"/>
  <c r="JP171" i="18"/>
  <c r="JB171" i="18"/>
  <c r="IN171" i="18"/>
  <c r="IB171" i="18"/>
  <c r="HN171" i="18"/>
  <c r="HD171" i="18"/>
  <c r="GU171" i="18"/>
  <c r="K172" i="18"/>
  <c r="KF171" i="18"/>
  <c r="JL171" i="18"/>
  <c r="IV171" i="18"/>
  <c r="ID171" i="18"/>
  <c r="HJ171" i="18"/>
  <c r="GZ171" i="18"/>
  <c r="JV171" i="18"/>
  <c r="JF171" i="18"/>
  <c r="IL171" i="18"/>
  <c r="HT171" i="18"/>
  <c r="HH171" i="18"/>
  <c r="GT171" i="18"/>
  <c r="JR171" i="18"/>
  <c r="IX171" i="18"/>
  <c r="IH171" i="18"/>
  <c r="HR171" i="18"/>
  <c r="HC171" i="18"/>
  <c r="L171" i="18"/>
  <c r="HX171" i="18"/>
  <c r="JH171" i="18"/>
  <c r="GX171" i="18"/>
  <c r="IR171" i="18"/>
  <c r="JZ171" i="18"/>
  <c r="P171" i="18"/>
  <c r="HI171" i="18"/>
  <c r="A171" i="18" a="1"/>
  <c r="A171" i="18" s="1"/>
  <c r="Z169" i="18"/>
  <c r="V169" i="18"/>
  <c r="X169" i="18"/>
  <c r="W169" i="18"/>
  <c r="Y169" i="18"/>
  <c r="AR170" i="18"/>
  <c r="AB170" i="18"/>
  <c r="AS170" i="18"/>
  <c r="AC170" i="18"/>
  <c r="BF171" i="18"/>
  <c r="DO116" i="16" l="1"/>
  <c r="DN116" i="16" s="1"/>
  <c r="DP116" i="16" s="1"/>
  <c r="AO161" i="16"/>
  <c r="AN162" i="16"/>
  <c r="AW163" i="16"/>
  <c r="AV164" i="16"/>
  <c r="AG163" i="16"/>
  <c r="AF164" i="16"/>
  <c r="K173" i="18"/>
  <c r="KG172" i="18"/>
  <c r="KB172" i="18"/>
  <c r="JW172" i="18"/>
  <c r="JR172" i="18"/>
  <c r="JM172" i="18"/>
  <c r="JH172" i="18"/>
  <c r="JC172" i="18"/>
  <c r="IX172" i="18"/>
  <c r="IS172" i="18"/>
  <c r="IN172" i="18"/>
  <c r="II172" i="18"/>
  <c r="ID172" i="18"/>
  <c r="HY172" i="18"/>
  <c r="HT172" i="18"/>
  <c r="HO172" i="18"/>
  <c r="HJ172" i="18"/>
  <c r="HE172" i="18"/>
  <c r="GZ172" i="18"/>
  <c r="GU172" i="18"/>
  <c r="P172" i="18"/>
  <c r="L172" i="18"/>
  <c r="I173" i="18" s="1" a="1"/>
  <c r="I173" i="18" s="1"/>
  <c r="KD172" i="18"/>
  <c r="JV172" i="18"/>
  <c r="JP172" i="18"/>
  <c r="JJ172" i="18"/>
  <c r="JB172" i="18"/>
  <c r="IV172" i="18"/>
  <c r="IP172" i="18"/>
  <c r="IH172" i="18"/>
  <c r="IB172" i="18"/>
  <c r="HV172" i="18"/>
  <c r="HN172" i="18"/>
  <c r="HH172" i="18"/>
  <c r="HB172" i="18"/>
  <c r="GT172" i="18"/>
  <c r="KF172" i="18"/>
  <c r="JZ172" i="18"/>
  <c r="JT172" i="18"/>
  <c r="JL172" i="18"/>
  <c r="JF172" i="18"/>
  <c r="IZ172" i="18"/>
  <c r="IR172" i="18"/>
  <c r="IL172" i="18"/>
  <c r="IF172" i="18"/>
  <c r="HX172" i="18"/>
  <c r="HR172" i="18"/>
  <c r="HL172" i="18"/>
  <c r="HD172" i="18"/>
  <c r="GX172" i="18"/>
  <c r="GR172" i="18"/>
  <c r="M172" i="18"/>
  <c r="KA172" i="18"/>
  <c r="JO172" i="18"/>
  <c r="JA172" i="18"/>
  <c r="IM172" i="18"/>
  <c r="IA172" i="18"/>
  <c r="HM172" i="18"/>
  <c r="GY172" i="18"/>
  <c r="JU172" i="18"/>
  <c r="JE172" i="18"/>
  <c r="IK172" i="18"/>
  <c r="HS172" i="18"/>
  <c r="HC172" i="18"/>
  <c r="KE172" i="18"/>
  <c r="JK172" i="18"/>
  <c r="IU172" i="18"/>
  <c r="IC172" i="18"/>
  <c r="HI172" i="18"/>
  <c r="GS172" i="18"/>
  <c r="JY172" i="18"/>
  <c r="JG172" i="18"/>
  <c r="IQ172" i="18"/>
  <c r="HW172" i="18"/>
  <c r="HG172" i="18"/>
  <c r="N172" i="18"/>
  <c r="AP172" i="18" s="1"/>
  <c r="IW172" i="18"/>
  <c r="HQ172" i="18"/>
  <c r="Q172" i="18"/>
  <c r="JQ172" i="18"/>
  <c r="GW172" i="18"/>
  <c r="IG172" i="18"/>
  <c r="GN172" i="18"/>
  <c r="GI172" i="18"/>
  <c r="GD172" i="18"/>
  <c r="FY172" i="18"/>
  <c r="FT172" i="18"/>
  <c r="FO172" i="18"/>
  <c r="FJ172" i="18"/>
  <c r="FE172" i="18"/>
  <c r="EZ172" i="18"/>
  <c r="EU172" i="18"/>
  <c r="EP172" i="18"/>
  <c r="EK172" i="18"/>
  <c r="EF172" i="18"/>
  <c r="EA172" i="18"/>
  <c r="DV172" i="18"/>
  <c r="DQ172" i="18"/>
  <c r="DL172" i="18"/>
  <c r="DG172" i="18"/>
  <c r="DB172" i="18"/>
  <c r="H172" i="18"/>
  <c r="D172" i="18"/>
  <c r="GL172" i="18"/>
  <c r="GF172" i="18"/>
  <c r="FX172" i="18"/>
  <c r="FR172" i="18"/>
  <c r="FL172" i="18"/>
  <c r="FD172" i="18"/>
  <c r="EX172" i="18"/>
  <c r="ER172" i="18"/>
  <c r="EJ172" i="18"/>
  <c r="ED172" i="18"/>
  <c r="DX172" i="18"/>
  <c r="DP172" i="18"/>
  <c r="DJ172" i="18"/>
  <c r="DD172" i="18"/>
  <c r="E172" i="18"/>
  <c r="AH172" i="18" s="1"/>
  <c r="AX172" i="18" s="1"/>
  <c r="GH172" i="18"/>
  <c r="GB172" i="18"/>
  <c r="FV172" i="18"/>
  <c r="FN172" i="18"/>
  <c r="FH172" i="18"/>
  <c r="FB172" i="18"/>
  <c r="ET172" i="18"/>
  <c r="EN172" i="18"/>
  <c r="EH172" i="18"/>
  <c r="DZ172" i="18"/>
  <c r="DT172" i="18"/>
  <c r="DN172" i="18"/>
  <c r="DF172" i="18"/>
  <c r="CZ172" i="18"/>
  <c r="G172" i="18"/>
  <c r="GK172" i="18"/>
  <c r="FW172" i="18"/>
  <c r="FI172" i="18"/>
  <c r="EW172" i="18"/>
  <c r="EI172" i="18"/>
  <c r="DU172" i="18"/>
  <c r="DI172" i="18"/>
  <c r="F172" i="18"/>
  <c r="B173" i="18"/>
  <c r="GG172" i="18"/>
  <c r="FQ172" i="18"/>
  <c r="EY172" i="18"/>
  <c r="EE172" i="18"/>
  <c r="DO172" i="18"/>
  <c r="CY172" i="18"/>
  <c r="GA172" i="18"/>
  <c r="FG172" i="18"/>
  <c r="EO172" i="18"/>
  <c r="DY172" i="18"/>
  <c r="DE172" i="18"/>
  <c r="C172" i="18"/>
  <c r="GM172" i="18"/>
  <c r="FS172" i="18"/>
  <c r="FC172" i="18"/>
  <c r="EM172" i="18"/>
  <c r="DS172" i="18"/>
  <c r="DA172" i="18"/>
  <c r="GC172" i="18"/>
  <c r="DK172" i="18"/>
  <c r="ES172" i="18"/>
  <c r="EC172" i="18"/>
  <c r="FM172" i="18"/>
  <c r="BF172" i="18"/>
  <c r="U171" i="18"/>
  <c r="A172" i="18" a="1"/>
  <c r="A172" i="18" s="1"/>
  <c r="I172" i="18" a="1"/>
  <c r="I172" i="18" s="1"/>
  <c r="AC171" i="18"/>
  <c r="AB171" i="18"/>
  <c r="AR171" i="18"/>
  <c r="AS171" i="18"/>
  <c r="Y170" i="18"/>
  <c r="Z170" i="18"/>
  <c r="W170" i="18"/>
  <c r="V170" i="18"/>
  <c r="X170" i="18"/>
  <c r="DR80" i="16" l="1"/>
  <c r="AW164" i="16"/>
  <c r="AV165" i="16"/>
  <c r="AF165" i="16"/>
  <c r="AG164" i="16"/>
  <c r="AO162" i="16"/>
  <c r="AN163" i="16"/>
  <c r="X171" i="18"/>
  <c r="V171" i="18"/>
  <c r="Y171" i="18"/>
  <c r="Z171" i="18"/>
  <c r="W171" i="18"/>
  <c r="AB172" i="18"/>
  <c r="AS172" i="18"/>
  <c r="AC172" i="18"/>
  <c r="AR172" i="18"/>
  <c r="U172" i="18"/>
  <c r="A173" i="18" a="1"/>
  <c r="A173" i="18" s="1"/>
  <c r="B174" i="18"/>
  <c r="GM173" i="18"/>
  <c r="GH173" i="18"/>
  <c r="GC173" i="18"/>
  <c r="FX173" i="18"/>
  <c r="FS173" i="18"/>
  <c r="FN173" i="18"/>
  <c r="FI173" i="18"/>
  <c r="FD173" i="18"/>
  <c r="EY173" i="18"/>
  <c r="ET173" i="18"/>
  <c r="EO173" i="18"/>
  <c r="EJ173" i="18"/>
  <c r="EE173" i="18"/>
  <c r="DZ173" i="18"/>
  <c r="DU173" i="18"/>
  <c r="DP173" i="18"/>
  <c r="DK173" i="18"/>
  <c r="DF173" i="18"/>
  <c r="DA173" i="18"/>
  <c r="G173" i="18"/>
  <c r="C173" i="18"/>
  <c r="GL173" i="18"/>
  <c r="GF173" i="18"/>
  <c r="FY173" i="18"/>
  <c r="FR173" i="18"/>
  <c r="FL173" i="18"/>
  <c r="FE173" i="18"/>
  <c r="EX173" i="18"/>
  <c r="ER173" i="18"/>
  <c r="EK173" i="18"/>
  <c r="ED173" i="18"/>
  <c r="DX173" i="18"/>
  <c r="DQ173" i="18"/>
  <c r="DJ173" i="18"/>
  <c r="DD173" i="18"/>
  <c r="F173" i="18"/>
  <c r="GI173" i="18"/>
  <c r="GB173" i="18"/>
  <c r="FV173" i="18"/>
  <c r="FO173" i="18"/>
  <c r="FH173" i="18"/>
  <c r="FB173" i="18"/>
  <c r="EU173" i="18"/>
  <c r="EN173" i="18"/>
  <c r="EH173" i="18"/>
  <c r="EA173" i="18"/>
  <c r="DT173" i="18"/>
  <c r="DN173" i="18"/>
  <c r="DG173" i="18"/>
  <c r="CZ173" i="18"/>
  <c r="D173" i="18"/>
  <c r="GK173" i="18"/>
  <c r="FW173" i="18"/>
  <c r="FJ173" i="18"/>
  <c r="EW173" i="18"/>
  <c r="EI173" i="18"/>
  <c r="DV173" i="18"/>
  <c r="DI173" i="18"/>
  <c r="E173" i="18"/>
  <c r="AH173" i="18" s="1"/>
  <c r="AX173" i="18" s="1"/>
  <c r="GN173" i="18"/>
  <c r="GA173" i="18"/>
  <c r="FM173" i="18"/>
  <c r="GG173" i="18"/>
  <c r="FG173" i="18"/>
  <c r="EP173" i="18"/>
  <c r="DY173" i="18"/>
  <c r="DE173" i="18"/>
  <c r="FT173" i="18"/>
  <c r="EZ173" i="18"/>
  <c r="EF173" i="18"/>
  <c r="DO173" i="18"/>
  <c r="CY173" i="18"/>
  <c r="FQ173" i="18"/>
  <c r="ES173" i="18"/>
  <c r="EC173" i="18"/>
  <c r="DL173" i="18"/>
  <c r="H173" i="18"/>
  <c r="GD173" i="18"/>
  <c r="DB173" i="18"/>
  <c r="EM173" i="18"/>
  <c r="DS173" i="18"/>
  <c r="FC173" i="18"/>
  <c r="KF173" i="18"/>
  <c r="KA173" i="18"/>
  <c r="JV173" i="18"/>
  <c r="JQ173" i="18"/>
  <c r="JL173" i="18"/>
  <c r="JG173" i="18"/>
  <c r="JB173" i="18"/>
  <c r="IW173" i="18"/>
  <c r="IR173" i="18"/>
  <c r="IM173" i="18"/>
  <c r="IH173" i="18"/>
  <c r="IC173" i="18"/>
  <c r="HX173" i="18"/>
  <c r="HS173" i="18"/>
  <c r="HN173" i="18"/>
  <c r="HI173" i="18"/>
  <c r="HD173" i="18"/>
  <c r="GY173" i="18"/>
  <c r="GT173" i="18"/>
  <c r="KD173" i="18"/>
  <c r="JW173" i="18"/>
  <c r="JP173" i="18"/>
  <c r="JJ173" i="18"/>
  <c r="JC173" i="18"/>
  <c r="IV173" i="18"/>
  <c r="IP173" i="18"/>
  <c r="II173" i="18"/>
  <c r="IB173" i="18"/>
  <c r="HV173" i="18"/>
  <c r="HO173" i="18"/>
  <c r="HH173" i="18"/>
  <c r="HB173" i="18"/>
  <c r="GU173" i="18"/>
  <c r="P173" i="18"/>
  <c r="L173" i="18"/>
  <c r="KG173" i="18"/>
  <c r="JZ173" i="18"/>
  <c r="JT173" i="18"/>
  <c r="JM173" i="18"/>
  <c r="JF173" i="18"/>
  <c r="IZ173" i="18"/>
  <c r="IS173" i="18"/>
  <c r="IL173" i="18"/>
  <c r="IF173" i="18"/>
  <c r="HY173" i="18"/>
  <c r="HR173" i="18"/>
  <c r="HL173" i="18"/>
  <c r="HE173" i="18"/>
  <c r="GX173" i="18"/>
  <c r="GR173" i="18"/>
  <c r="N173" i="18"/>
  <c r="AP173" i="18" s="1"/>
  <c r="KB173" i="18"/>
  <c r="JO173" i="18"/>
  <c r="JA173" i="18"/>
  <c r="IN173" i="18"/>
  <c r="IA173" i="18"/>
  <c r="HM173" i="18"/>
  <c r="GZ173" i="18"/>
  <c r="KE173" i="18"/>
  <c r="JR173" i="18"/>
  <c r="JE173" i="18"/>
  <c r="IQ173" i="18"/>
  <c r="ID173" i="18"/>
  <c r="HQ173" i="18"/>
  <c r="HC173" i="18"/>
  <c r="JK173" i="18"/>
  <c r="IK173" i="18"/>
  <c r="HJ173" i="18"/>
  <c r="JY173" i="18"/>
  <c r="IX173" i="18"/>
  <c r="HW173" i="18"/>
  <c r="GW173" i="18"/>
  <c r="K174" i="18"/>
  <c r="JU173" i="18"/>
  <c r="IU173" i="18"/>
  <c r="HT173" i="18"/>
  <c r="GS173" i="18"/>
  <c r="Q173" i="18"/>
  <c r="IG173" i="18"/>
  <c r="HG173" i="18"/>
  <c r="JH173" i="18"/>
  <c r="M173" i="18"/>
  <c r="DR95" i="16" l="1"/>
  <c r="DR100" i="16"/>
  <c r="DR102" i="16"/>
  <c r="DR103" i="16"/>
  <c r="DR93" i="16"/>
  <c r="DR98" i="16"/>
  <c r="DR94" i="16"/>
  <c r="DR97" i="16"/>
  <c r="DR101" i="16"/>
  <c r="DR105" i="16"/>
  <c r="DR106" i="16"/>
  <c r="DR96" i="16"/>
  <c r="DR99" i="16"/>
  <c r="DR107" i="16"/>
  <c r="DR108" i="16"/>
  <c r="DR110" i="16"/>
  <c r="DR112" i="16"/>
  <c r="DR115" i="16"/>
  <c r="DR111" i="16"/>
  <c r="DR116" i="16"/>
  <c r="DR104" i="16"/>
  <c r="DR109" i="16"/>
  <c r="DR113" i="16"/>
  <c r="DR114" i="16"/>
  <c r="DR92" i="16"/>
  <c r="DR84" i="16"/>
  <c r="DR89" i="16"/>
  <c r="DR83" i="16"/>
  <c r="DR88" i="16"/>
  <c r="DR81" i="16"/>
  <c r="DR87" i="16"/>
  <c r="DU80" i="16"/>
  <c r="DR85" i="16"/>
  <c r="DR90" i="16"/>
  <c r="DR82" i="16"/>
  <c r="DR86" i="16"/>
  <c r="DR91" i="16"/>
  <c r="AW165" i="16"/>
  <c r="AF166" i="16"/>
  <c r="AV166" i="16"/>
  <c r="AG165" i="16"/>
  <c r="AN164" i="16"/>
  <c r="AO163" i="16"/>
  <c r="GL174" i="18"/>
  <c r="GG174" i="18"/>
  <c r="GB174" i="18"/>
  <c r="FW174" i="18"/>
  <c r="FR174" i="18"/>
  <c r="FM174" i="18"/>
  <c r="FH174" i="18"/>
  <c r="FC174" i="18"/>
  <c r="EX174" i="18"/>
  <c r="ES174" i="18"/>
  <c r="EN174" i="18"/>
  <c r="EI174" i="18"/>
  <c r="ED174" i="18"/>
  <c r="DY174" i="18"/>
  <c r="DT174" i="18"/>
  <c r="DO174" i="18"/>
  <c r="DJ174" i="18"/>
  <c r="DE174" i="18"/>
  <c r="CZ174" i="18"/>
  <c r="F174" i="18"/>
  <c r="GN174" i="18"/>
  <c r="GH174" i="18"/>
  <c r="GA174" i="18"/>
  <c r="FT174" i="18"/>
  <c r="FN174" i="18"/>
  <c r="FG174" i="18"/>
  <c r="EZ174" i="18"/>
  <c r="ET174" i="18"/>
  <c r="EM174" i="18"/>
  <c r="EF174" i="18"/>
  <c r="DZ174" i="18"/>
  <c r="DS174" i="18"/>
  <c r="DL174" i="18"/>
  <c r="DF174" i="18"/>
  <c r="CY174" i="18"/>
  <c r="G174" i="18"/>
  <c r="GK174" i="18"/>
  <c r="GD174" i="18"/>
  <c r="FX174" i="18"/>
  <c r="FQ174" i="18"/>
  <c r="FJ174" i="18"/>
  <c r="FD174" i="18"/>
  <c r="EW174" i="18"/>
  <c r="EP174" i="18"/>
  <c r="EJ174" i="18"/>
  <c r="EC174" i="18"/>
  <c r="DV174" i="18"/>
  <c r="DP174" i="18"/>
  <c r="DI174" i="18"/>
  <c r="DB174" i="18"/>
  <c r="D174" i="18"/>
  <c r="GI174" i="18"/>
  <c r="FV174" i="18"/>
  <c r="FI174" i="18"/>
  <c r="EU174" i="18"/>
  <c r="EH174" i="18"/>
  <c r="DU174" i="18"/>
  <c r="DG174" i="18"/>
  <c r="E174" i="18"/>
  <c r="AH174" i="18" s="1"/>
  <c r="AX174" i="18" s="1"/>
  <c r="GM174" i="18"/>
  <c r="FY174" i="18"/>
  <c r="FL174" i="18"/>
  <c r="EY174" i="18"/>
  <c r="EK174" i="18"/>
  <c r="DX174" i="18"/>
  <c r="DK174" i="18"/>
  <c r="H174" i="18"/>
  <c r="B175" i="18"/>
  <c r="GF174" i="18"/>
  <c r="FE174" i="18"/>
  <c r="EE174" i="18"/>
  <c r="DD174" i="18"/>
  <c r="C174" i="18"/>
  <c r="FS174" i="18"/>
  <c r="ER174" i="18"/>
  <c r="DQ174" i="18"/>
  <c r="FO174" i="18"/>
  <c r="EO174" i="18"/>
  <c r="DN174" i="18"/>
  <c r="FB174" i="18"/>
  <c r="DA174" i="18"/>
  <c r="GC174" i="18"/>
  <c r="EA174" i="18"/>
  <c r="I174" i="18" a="1"/>
  <c r="I174" i="18" s="1"/>
  <c r="W172" i="18"/>
  <c r="X172" i="18"/>
  <c r="Z172" i="18"/>
  <c r="V172" i="18"/>
  <c r="Y172" i="18"/>
  <c r="AS173" i="18"/>
  <c r="AR173" i="18"/>
  <c r="AB173" i="18"/>
  <c r="AC173" i="18"/>
  <c r="KE174" i="18"/>
  <c r="JZ174" i="18"/>
  <c r="JU174" i="18"/>
  <c r="JP174" i="18"/>
  <c r="JK174" i="18"/>
  <c r="JF174" i="18"/>
  <c r="JA174" i="18"/>
  <c r="IV174" i="18"/>
  <c r="IQ174" i="18"/>
  <c r="IL174" i="18"/>
  <c r="IG174" i="18"/>
  <c r="IB174" i="18"/>
  <c r="HW174" i="18"/>
  <c r="HR174" i="18"/>
  <c r="HM174" i="18"/>
  <c r="HH174" i="18"/>
  <c r="HC174" i="18"/>
  <c r="GX174" i="18"/>
  <c r="GS174" i="18"/>
  <c r="N174" i="18"/>
  <c r="AP174" i="18" s="1"/>
  <c r="KF174" i="18"/>
  <c r="JY174" i="18"/>
  <c r="JR174" i="18"/>
  <c r="JL174" i="18"/>
  <c r="JE174" i="18"/>
  <c r="IX174" i="18"/>
  <c r="IR174" i="18"/>
  <c r="IK174" i="18"/>
  <c r="ID174" i="18"/>
  <c r="HX174" i="18"/>
  <c r="HQ174" i="18"/>
  <c r="HJ174" i="18"/>
  <c r="HD174" i="18"/>
  <c r="GW174" i="18"/>
  <c r="Q174" i="18"/>
  <c r="L174" i="18"/>
  <c r="K175" i="18"/>
  <c r="KB174" i="18"/>
  <c r="JV174" i="18"/>
  <c r="JO174" i="18"/>
  <c r="JH174" i="18"/>
  <c r="JB174" i="18"/>
  <c r="IU174" i="18"/>
  <c r="IN174" i="18"/>
  <c r="IH174" i="18"/>
  <c r="IA174" i="18"/>
  <c r="HT174" i="18"/>
  <c r="HN174" i="18"/>
  <c r="HG174" i="18"/>
  <c r="GZ174" i="18"/>
  <c r="GT174" i="18"/>
  <c r="KA174" i="18"/>
  <c r="JM174" i="18"/>
  <c r="IZ174" i="18"/>
  <c r="IM174" i="18"/>
  <c r="HY174" i="18"/>
  <c r="HL174" i="18"/>
  <c r="GY174" i="18"/>
  <c r="KD174" i="18"/>
  <c r="JQ174" i="18"/>
  <c r="JC174" i="18"/>
  <c r="IP174" i="18"/>
  <c r="IC174" i="18"/>
  <c r="HO174" i="18"/>
  <c r="HB174" i="18"/>
  <c r="P174" i="18"/>
  <c r="JJ174" i="18"/>
  <c r="II174" i="18"/>
  <c r="HI174" i="18"/>
  <c r="JW174" i="18"/>
  <c r="IW174" i="18"/>
  <c r="HV174" i="18"/>
  <c r="GU174" i="18"/>
  <c r="M174" i="18"/>
  <c r="JT174" i="18"/>
  <c r="IS174" i="18"/>
  <c r="HS174" i="18"/>
  <c r="GR174" i="18"/>
  <c r="JG174" i="18"/>
  <c r="HE174" i="18"/>
  <c r="KG174" i="18"/>
  <c r="IF174" i="18"/>
  <c r="A174" i="18" a="1"/>
  <c r="A174" i="18" s="1"/>
  <c r="A175" i="18" a="1"/>
  <c r="A175" i="18" s="1"/>
  <c r="BF173" i="18"/>
  <c r="U173" i="18"/>
  <c r="DT81" i="16" l="1"/>
  <c r="DS81" i="16" s="1"/>
  <c r="AG166" i="16"/>
  <c r="AW166" i="16"/>
  <c r="AF167" i="16"/>
  <c r="AV167" i="16"/>
  <c r="AO164" i="16"/>
  <c r="AN165" i="16"/>
  <c r="Z173" i="18"/>
  <c r="V173" i="18"/>
  <c r="X173" i="18"/>
  <c r="W173" i="18"/>
  <c r="Y173" i="18"/>
  <c r="I175" i="18" a="1"/>
  <c r="I175" i="18" s="1"/>
  <c r="AR174" i="18"/>
  <c r="AC174" i="18"/>
  <c r="AB174" i="18"/>
  <c r="AS174" i="18"/>
  <c r="KD175" i="18"/>
  <c r="JY175" i="18"/>
  <c r="JT175" i="18"/>
  <c r="JO175" i="18"/>
  <c r="JJ175" i="18"/>
  <c r="JE175" i="18"/>
  <c r="IZ175" i="18"/>
  <c r="IU175" i="18"/>
  <c r="IP175" i="18"/>
  <c r="IK175" i="18"/>
  <c r="IF175" i="18"/>
  <c r="IA175" i="18"/>
  <c r="HV175" i="18"/>
  <c r="HQ175" i="18"/>
  <c r="HL175" i="18"/>
  <c r="HG175" i="18"/>
  <c r="HB175" i="18"/>
  <c r="GW175" i="18"/>
  <c r="GR175" i="18"/>
  <c r="Q175" i="18"/>
  <c r="M175" i="18"/>
  <c r="KG175" i="18"/>
  <c r="KA175" i="18"/>
  <c r="JU175" i="18"/>
  <c r="JM175" i="18"/>
  <c r="JG175" i="18"/>
  <c r="JA175" i="18"/>
  <c r="IS175" i="18"/>
  <c r="IM175" i="18"/>
  <c r="IG175" i="18"/>
  <c r="HY175" i="18"/>
  <c r="HS175" i="18"/>
  <c r="HM175" i="18"/>
  <c r="HE175" i="18"/>
  <c r="GY175" i="18"/>
  <c r="GS175" i="18"/>
  <c r="N175" i="18"/>
  <c r="AP175" i="18" s="1"/>
  <c r="KE175" i="18"/>
  <c r="JW175" i="18"/>
  <c r="JQ175" i="18"/>
  <c r="JK175" i="18"/>
  <c r="JC175" i="18"/>
  <c r="IW175" i="18"/>
  <c r="IQ175" i="18"/>
  <c r="II175" i="18"/>
  <c r="IC175" i="18"/>
  <c r="HW175" i="18"/>
  <c r="HO175" i="18"/>
  <c r="HI175" i="18"/>
  <c r="HC175" i="18"/>
  <c r="GU175" i="18"/>
  <c r="P175" i="18"/>
  <c r="KB175" i="18"/>
  <c r="JP175" i="18"/>
  <c r="JB175" i="18"/>
  <c r="IN175" i="18"/>
  <c r="IB175" i="18"/>
  <c r="HN175" i="18"/>
  <c r="GZ175" i="18"/>
  <c r="KF175" i="18"/>
  <c r="JR175" i="18"/>
  <c r="JF175" i="18"/>
  <c r="IR175" i="18"/>
  <c r="ID175" i="18"/>
  <c r="HR175" i="18"/>
  <c r="HD175" i="18"/>
  <c r="JL175" i="18"/>
  <c r="IL175" i="18"/>
  <c r="HJ175" i="18"/>
  <c r="JZ175" i="18"/>
  <c r="IX175" i="18"/>
  <c r="HX175" i="18"/>
  <c r="GX175" i="18"/>
  <c r="L175" i="18"/>
  <c r="I176" i="18" s="1" a="1"/>
  <c r="I176" i="18" s="1"/>
  <c r="K176" i="18"/>
  <c r="JV175" i="18"/>
  <c r="IV175" i="18"/>
  <c r="HT175" i="18"/>
  <c r="GT175" i="18"/>
  <c r="IH175" i="18"/>
  <c r="JH175" i="18"/>
  <c r="HH175" i="18"/>
  <c r="BF174" i="18"/>
  <c r="U174" i="18"/>
  <c r="GK175" i="18"/>
  <c r="GF175" i="18"/>
  <c r="GA175" i="18"/>
  <c r="FV175" i="18"/>
  <c r="FQ175" i="18"/>
  <c r="FL175" i="18"/>
  <c r="FG175" i="18"/>
  <c r="FB175" i="18"/>
  <c r="EW175" i="18"/>
  <c r="ER175" i="18"/>
  <c r="EM175" i="18"/>
  <c r="EH175" i="18"/>
  <c r="EC175" i="18"/>
  <c r="DX175" i="18"/>
  <c r="DS175" i="18"/>
  <c r="DN175" i="18"/>
  <c r="DI175" i="18"/>
  <c r="DD175" i="18"/>
  <c r="CY175" i="18"/>
  <c r="E175" i="18"/>
  <c r="AH175" i="18" s="1"/>
  <c r="AX175" i="18" s="1"/>
  <c r="GI175" i="18"/>
  <c r="GC175" i="18"/>
  <c r="FW175" i="18"/>
  <c r="FO175" i="18"/>
  <c r="FI175" i="18"/>
  <c r="FC175" i="18"/>
  <c r="EU175" i="18"/>
  <c r="EO175" i="18"/>
  <c r="EI175" i="18"/>
  <c r="EA175" i="18"/>
  <c r="DU175" i="18"/>
  <c r="DO175" i="18"/>
  <c r="DG175" i="18"/>
  <c r="DA175" i="18"/>
  <c r="H175" i="18"/>
  <c r="C175" i="18"/>
  <c r="B176" i="18"/>
  <c r="GM175" i="18"/>
  <c r="GG175" i="18"/>
  <c r="FY175" i="18"/>
  <c r="FS175" i="18"/>
  <c r="FM175" i="18"/>
  <c r="FE175" i="18"/>
  <c r="EY175" i="18"/>
  <c r="ES175" i="18"/>
  <c r="EK175" i="18"/>
  <c r="EE175" i="18"/>
  <c r="DY175" i="18"/>
  <c r="DQ175" i="18"/>
  <c r="DK175" i="18"/>
  <c r="DE175" i="18"/>
  <c r="F175" i="18"/>
  <c r="GL175" i="18"/>
  <c r="FX175" i="18"/>
  <c r="FJ175" i="18"/>
  <c r="EX175" i="18"/>
  <c r="EJ175" i="18"/>
  <c r="DV175" i="18"/>
  <c r="DJ175" i="18"/>
  <c r="D175" i="18"/>
  <c r="GN175" i="18"/>
  <c r="GB175" i="18"/>
  <c r="FN175" i="18"/>
  <c r="EZ175" i="18"/>
  <c r="EN175" i="18"/>
  <c r="DZ175" i="18"/>
  <c r="DL175" i="18"/>
  <c r="CZ175" i="18"/>
  <c r="G175" i="18"/>
  <c r="GH175" i="18"/>
  <c r="FH175" i="18"/>
  <c r="EF175" i="18"/>
  <c r="DF175" i="18"/>
  <c r="FT175" i="18"/>
  <c r="ET175" i="18"/>
  <c r="DT175" i="18"/>
  <c r="FR175" i="18"/>
  <c r="EP175" i="18"/>
  <c r="DP175" i="18"/>
  <c r="ED175" i="18"/>
  <c r="GD175" i="18"/>
  <c r="FD175" i="18"/>
  <c r="DB175" i="18"/>
  <c r="DU81" i="16" l="1"/>
  <c r="DT82" i="16" s="1"/>
  <c r="DS82" i="16" s="1"/>
  <c r="DU82" i="16" s="1"/>
  <c r="DT83" i="16" s="1"/>
  <c r="DS83" i="16" s="1"/>
  <c r="DU83" i="16" s="1"/>
  <c r="DT84" i="16" s="1"/>
  <c r="DS84" i="16" s="1"/>
  <c r="DU84" i="16" s="1"/>
  <c r="DT85" i="16" s="1"/>
  <c r="DS85" i="16" s="1"/>
  <c r="DU85" i="16" s="1"/>
  <c r="DT86" i="16" s="1"/>
  <c r="DS86" i="16" s="1"/>
  <c r="DU86" i="16" s="1"/>
  <c r="DT87" i="16" s="1"/>
  <c r="DS87" i="16" s="1"/>
  <c r="DU87" i="16" s="1"/>
  <c r="DT88" i="16" s="1"/>
  <c r="DS88" i="16" s="1"/>
  <c r="DU88" i="16" s="1"/>
  <c r="DT89" i="16" s="1"/>
  <c r="DS89" i="16" s="1"/>
  <c r="DU89" i="16" s="1"/>
  <c r="DT90" i="16" s="1"/>
  <c r="DS90" i="16" s="1"/>
  <c r="DU90" i="16" s="1"/>
  <c r="DT91" i="16" s="1"/>
  <c r="DS91" i="16" s="1"/>
  <c r="DU91" i="16" s="1"/>
  <c r="DT92" i="16" s="1"/>
  <c r="DS92" i="16" s="1"/>
  <c r="DU92" i="16" s="1"/>
  <c r="AO165" i="16"/>
  <c r="AN166" i="16"/>
  <c r="AG167" i="16"/>
  <c r="AF168" i="16"/>
  <c r="AV168" i="16"/>
  <c r="AW167" i="16"/>
  <c r="K177" i="18"/>
  <c r="KG176" i="18"/>
  <c r="KB176" i="18"/>
  <c r="JW176" i="18"/>
  <c r="JR176" i="18"/>
  <c r="JM176" i="18"/>
  <c r="JH176" i="18"/>
  <c r="JC176" i="18"/>
  <c r="IX176" i="18"/>
  <c r="IS176" i="18"/>
  <c r="IN176" i="18"/>
  <c r="II176" i="18"/>
  <c r="ID176" i="18"/>
  <c r="HY176" i="18"/>
  <c r="HT176" i="18"/>
  <c r="HO176" i="18"/>
  <c r="HJ176" i="18"/>
  <c r="HE176" i="18"/>
  <c r="GZ176" i="18"/>
  <c r="GU176" i="18"/>
  <c r="P176" i="18"/>
  <c r="L176" i="18"/>
  <c r="BF176" i="18" s="1"/>
  <c r="KD176" i="18"/>
  <c r="JV176" i="18"/>
  <c r="JP176" i="18"/>
  <c r="JJ176" i="18"/>
  <c r="JB176" i="18"/>
  <c r="IV176" i="18"/>
  <c r="IP176" i="18"/>
  <c r="IH176" i="18"/>
  <c r="IB176" i="18"/>
  <c r="HV176" i="18"/>
  <c r="HN176" i="18"/>
  <c r="HH176" i="18"/>
  <c r="HB176" i="18"/>
  <c r="GT176" i="18"/>
  <c r="KF176" i="18"/>
  <c r="JZ176" i="18"/>
  <c r="JT176" i="18"/>
  <c r="JL176" i="18"/>
  <c r="JF176" i="18"/>
  <c r="IZ176" i="18"/>
  <c r="IR176" i="18"/>
  <c r="IL176" i="18"/>
  <c r="IF176" i="18"/>
  <c r="HX176" i="18"/>
  <c r="HR176" i="18"/>
  <c r="HL176" i="18"/>
  <c r="HD176" i="18"/>
  <c r="GX176" i="18"/>
  <c r="GR176" i="18"/>
  <c r="M176" i="18"/>
  <c r="KA176" i="18"/>
  <c r="JO176" i="18"/>
  <c r="JA176" i="18"/>
  <c r="IM176" i="18"/>
  <c r="IA176" i="18"/>
  <c r="HM176" i="18"/>
  <c r="GY176" i="18"/>
  <c r="KE176" i="18"/>
  <c r="JQ176" i="18"/>
  <c r="JE176" i="18"/>
  <c r="IQ176" i="18"/>
  <c r="IC176" i="18"/>
  <c r="HQ176" i="18"/>
  <c r="HC176" i="18"/>
  <c r="Q176" i="18"/>
  <c r="JU176" i="18"/>
  <c r="IU176" i="18"/>
  <c r="HS176" i="18"/>
  <c r="GS176" i="18"/>
  <c r="JG176" i="18"/>
  <c r="IG176" i="18"/>
  <c r="HG176" i="18"/>
  <c r="N176" i="18"/>
  <c r="AP176" i="18" s="1"/>
  <c r="JY176" i="18"/>
  <c r="IW176" i="18"/>
  <c r="HW176" i="18"/>
  <c r="GW176" i="18"/>
  <c r="HI176" i="18"/>
  <c r="JK176" i="18"/>
  <c r="IK176" i="18"/>
  <c r="AC175" i="18"/>
  <c r="AB175" i="18"/>
  <c r="AR175" i="18"/>
  <c r="AS175" i="18"/>
  <c r="BF175" i="18"/>
  <c r="GN176" i="18"/>
  <c r="GI176" i="18"/>
  <c r="GD176" i="18"/>
  <c r="FY176" i="18"/>
  <c r="FT176" i="18"/>
  <c r="FO176" i="18"/>
  <c r="FJ176" i="18"/>
  <c r="FE176" i="18"/>
  <c r="EZ176" i="18"/>
  <c r="EU176" i="18"/>
  <c r="EP176" i="18"/>
  <c r="EK176" i="18"/>
  <c r="EF176" i="18"/>
  <c r="EA176" i="18"/>
  <c r="DV176" i="18"/>
  <c r="DQ176" i="18"/>
  <c r="DL176" i="18"/>
  <c r="DG176" i="18"/>
  <c r="DB176" i="18"/>
  <c r="H176" i="18"/>
  <c r="D176" i="18"/>
  <c r="GL176" i="18"/>
  <c r="GF176" i="18"/>
  <c r="FX176" i="18"/>
  <c r="FR176" i="18"/>
  <c r="FL176" i="18"/>
  <c r="FD176" i="18"/>
  <c r="EX176" i="18"/>
  <c r="ER176" i="18"/>
  <c r="EJ176" i="18"/>
  <c r="ED176" i="18"/>
  <c r="DX176" i="18"/>
  <c r="DP176" i="18"/>
  <c r="DJ176" i="18"/>
  <c r="DD176" i="18"/>
  <c r="E176" i="18"/>
  <c r="AH176" i="18" s="1"/>
  <c r="AX176" i="18" s="1"/>
  <c r="GH176" i="18"/>
  <c r="GB176" i="18"/>
  <c r="FV176" i="18"/>
  <c r="FN176" i="18"/>
  <c r="FH176" i="18"/>
  <c r="FB176" i="18"/>
  <c r="ET176" i="18"/>
  <c r="EN176" i="18"/>
  <c r="EH176" i="18"/>
  <c r="DZ176" i="18"/>
  <c r="DT176" i="18"/>
  <c r="DN176" i="18"/>
  <c r="DF176" i="18"/>
  <c r="CZ176" i="18"/>
  <c r="G176" i="18"/>
  <c r="GK176" i="18"/>
  <c r="FW176" i="18"/>
  <c r="FI176" i="18"/>
  <c r="EW176" i="18"/>
  <c r="EI176" i="18"/>
  <c r="DU176" i="18"/>
  <c r="DI176" i="18"/>
  <c r="F176" i="18"/>
  <c r="GM176" i="18"/>
  <c r="GA176" i="18"/>
  <c r="FM176" i="18"/>
  <c r="EY176" i="18"/>
  <c r="EM176" i="18"/>
  <c r="DY176" i="18"/>
  <c r="DK176" i="18"/>
  <c r="CY176" i="18"/>
  <c r="FQ176" i="18"/>
  <c r="EO176" i="18"/>
  <c r="DO176" i="18"/>
  <c r="C176" i="18"/>
  <c r="A177" i="18" s="1" a="1"/>
  <c r="A177" i="18" s="1"/>
  <c r="GC176" i="18"/>
  <c r="FC176" i="18"/>
  <c r="EC176" i="18"/>
  <c r="DA176" i="18"/>
  <c r="FS176" i="18"/>
  <c r="ES176" i="18"/>
  <c r="DS176" i="18"/>
  <c r="DE176" i="18"/>
  <c r="FG176" i="18"/>
  <c r="EE176" i="18"/>
  <c r="B177" i="18"/>
  <c r="GG176" i="18"/>
  <c r="U175" i="18"/>
  <c r="A176" i="18" a="1"/>
  <c r="A176" i="18" s="1"/>
  <c r="Y174" i="18"/>
  <c r="Z174" i="18"/>
  <c r="W174" i="18"/>
  <c r="V174" i="18"/>
  <c r="X174" i="18"/>
  <c r="DX81" i="16" l="1"/>
  <c r="DT93" i="16"/>
  <c r="DS93" i="16" s="1"/>
  <c r="DU93" i="16" s="1"/>
  <c r="AN167" i="16"/>
  <c r="AO166" i="16"/>
  <c r="AV169" i="16"/>
  <c r="AG168" i="16"/>
  <c r="AW168" i="16"/>
  <c r="AF169" i="16"/>
  <c r="U176" i="18"/>
  <c r="KF177" i="18"/>
  <c r="KA177" i="18"/>
  <c r="JV177" i="18"/>
  <c r="JQ177" i="18"/>
  <c r="JL177" i="18"/>
  <c r="JG177" i="18"/>
  <c r="JB177" i="18"/>
  <c r="IW177" i="18"/>
  <c r="IR177" i="18"/>
  <c r="IM177" i="18"/>
  <c r="IH177" i="18"/>
  <c r="IC177" i="18"/>
  <c r="HX177" i="18"/>
  <c r="HS177" i="18"/>
  <c r="HN177" i="18"/>
  <c r="HI177" i="18"/>
  <c r="HD177" i="18"/>
  <c r="GY177" i="18"/>
  <c r="GT177" i="18"/>
  <c r="KD177" i="18"/>
  <c r="JW177" i="18"/>
  <c r="JP177" i="18"/>
  <c r="JJ177" i="18"/>
  <c r="JC177" i="18"/>
  <c r="IV177" i="18"/>
  <c r="IP177" i="18"/>
  <c r="II177" i="18"/>
  <c r="IB177" i="18"/>
  <c r="HV177" i="18"/>
  <c r="HO177" i="18"/>
  <c r="HH177" i="18"/>
  <c r="HB177" i="18"/>
  <c r="GU177" i="18"/>
  <c r="P177" i="18"/>
  <c r="L177" i="18"/>
  <c r="BF177" i="18" s="1"/>
  <c r="KG177" i="18"/>
  <c r="JZ177" i="18"/>
  <c r="JT177" i="18"/>
  <c r="JM177" i="18"/>
  <c r="JF177" i="18"/>
  <c r="IZ177" i="18"/>
  <c r="IS177" i="18"/>
  <c r="IL177" i="18"/>
  <c r="IF177" i="18"/>
  <c r="HY177" i="18"/>
  <c r="HR177" i="18"/>
  <c r="HL177" i="18"/>
  <c r="HE177" i="18"/>
  <c r="GX177" i="18"/>
  <c r="GR177" i="18"/>
  <c r="N177" i="18"/>
  <c r="AP177" i="18" s="1"/>
  <c r="KB177" i="18"/>
  <c r="JO177" i="18"/>
  <c r="JA177" i="18"/>
  <c r="IN177" i="18"/>
  <c r="IA177" i="18"/>
  <c r="HM177" i="18"/>
  <c r="GZ177" i="18"/>
  <c r="KE177" i="18"/>
  <c r="JR177" i="18"/>
  <c r="JE177" i="18"/>
  <c r="IQ177" i="18"/>
  <c r="ID177" i="18"/>
  <c r="HQ177" i="18"/>
  <c r="HC177" i="18"/>
  <c r="Q177" i="18"/>
  <c r="JY177" i="18"/>
  <c r="IX177" i="18"/>
  <c r="HW177" i="18"/>
  <c r="GW177" i="18"/>
  <c r="JK177" i="18"/>
  <c r="IK177" i="18"/>
  <c r="HJ177" i="18"/>
  <c r="JH177" i="18"/>
  <c r="IG177" i="18"/>
  <c r="HG177" i="18"/>
  <c r="M177" i="18"/>
  <c r="HT177" i="18"/>
  <c r="JU177" i="18"/>
  <c r="IU177" i="18"/>
  <c r="K178" i="18"/>
  <c r="GS177" i="18"/>
  <c r="B178" i="18"/>
  <c r="GM177" i="18"/>
  <c r="GH177" i="18"/>
  <c r="GC177" i="18"/>
  <c r="FX177" i="18"/>
  <c r="FS177" i="18"/>
  <c r="FN177" i="18"/>
  <c r="FI177" i="18"/>
  <c r="FD177" i="18"/>
  <c r="EY177" i="18"/>
  <c r="ET177" i="18"/>
  <c r="EO177" i="18"/>
  <c r="EJ177" i="18"/>
  <c r="EE177" i="18"/>
  <c r="DZ177" i="18"/>
  <c r="DU177" i="18"/>
  <c r="DP177" i="18"/>
  <c r="DK177" i="18"/>
  <c r="DF177" i="18"/>
  <c r="DA177" i="18"/>
  <c r="G177" i="18"/>
  <c r="C177" i="18"/>
  <c r="GL177" i="18"/>
  <c r="GF177" i="18"/>
  <c r="FY177" i="18"/>
  <c r="FR177" i="18"/>
  <c r="FL177" i="18"/>
  <c r="FE177" i="18"/>
  <c r="EX177" i="18"/>
  <c r="ER177" i="18"/>
  <c r="EK177" i="18"/>
  <c r="ED177" i="18"/>
  <c r="DX177" i="18"/>
  <c r="DQ177" i="18"/>
  <c r="DJ177" i="18"/>
  <c r="DD177" i="18"/>
  <c r="F177" i="18"/>
  <c r="GI177" i="18"/>
  <c r="GB177" i="18"/>
  <c r="FV177" i="18"/>
  <c r="FO177" i="18"/>
  <c r="FH177" i="18"/>
  <c r="FB177" i="18"/>
  <c r="EU177" i="18"/>
  <c r="EN177" i="18"/>
  <c r="EH177" i="18"/>
  <c r="EA177" i="18"/>
  <c r="DT177" i="18"/>
  <c r="DN177" i="18"/>
  <c r="DG177" i="18"/>
  <c r="CZ177" i="18"/>
  <c r="D177" i="18"/>
  <c r="GK177" i="18"/>
  <c r="FW177" i="18"/>
  <c r="FJ177" i="18"/>
  <c r="EW177" i="18"/>
  <c r="EI177" i="18"/>
  <c r="DV177" i="18"/>
  <c r="DI177" i="18"/>
  <c r="E177" i="18"/>
  <c r="AH177" i="18" s="1"/>
  <c r="AX177" i="18" s="1"/>
  <c r="GN177" i="18"/>
  <c r="GA177" i="18"/>
  <c r="FM177" i="18"/>
  <c r="EZ177" i="18"/>
  <c r="EM177" i="18"/>
  <c r="DY177" i="18"/>
  <c r="DL177" i="18"/>
  <c r="CY177" i="18"/>
  <c r="H177" i="18"/>
  <c r="FT177" i="18"/>
  <c r="ES177" i="18"/>
  <c r="DS177" i="18"/>
  <c r="GG177" i="18"/>
  <c r="FG177" i="18"/>
  <c r="EF177" i="18"/>
  <c r="DE177" i="18"/>
  <c r="GD177" i="18"/>
  <c r="FC177" i="18"/>
  <c r="EC177" i="18"/>
  <c r="DB177" i="18"/>
  <c r="DO177" i="18"/>
  <c r="FQ177" i="18"/>
  <c r="EP177" i="18"/>
  <c r="AB176" i="18"/>
  <c r="AS176" i="18"/>
  <c r="AC176" i="18"/>
  <c r="AR176" i="18"/>
  <c r="X175" i="18"/>
  <c r="V175" i="18"/>
  <c r="Y175" i="18"/>
  <c r="W175" i="18"/>
  <c r="Z175" i="18"/>
  <c r="I177" i="18" a="1"/>
  <c r="I177" i="18" s="1"/>
  <c r="DZ81" i="16" l="1"/>
  <c r="DY82" i="16" s="1"/>
  <c r="DW81" i="16"/>
  <c r="DW82" i="16" s="1"/>
  <c r="DW83" i="16" s="1"/>
  <c r="DW84" i="16" s="1"/>
  <c r="DW85" i="16" s="1"/>
  <c r="DW86" i="16" s="1"/>
  <c r="DW87" i="16" s="1"/>
  <c r="DW88" i="16" s="1"/>
  <c r="DW89" i="16" s="1"/>
  <c r="DW90" i="16" s="1"/>
  <c r="DW91" i="16" s="1"/>
  <c r="DW92" i="16" s="1"/>
  <c r="DW93" i="16" s="1"/>
  <c r="DW94" i="16" s="1"/>
  <c r="DT94" i="16"/>
  <c r="DS94" i="16" s="1"/>
  <c r="DU94" i="16" s="1"/>
  <c r="AG169" i="16"/>
  <c r="AV170" i="16"/>
  <c r="AF170" i="16"/>
  <c r="AW169" i="16"/>
  <c r="AN168" i="16"/>
  <c r="AO167" i="16"/>
  <c r="KF178" i="18"/>
  <c r="KA178" i="18"/>
  <c r="JV178" i="18"/>
  <c r="JQ178" i="18"/>
  <c r="JL178" i="18"/>
  <c r="JG178" i="18"/>
  <c r="JB178" i="18"/>
  <c r="IW178" i="18"/>
  <c r="IR178" i="18"/>
  <c r="IM178" i="18"/>
  <c r="IH178" i="18"/>
  <c r="IC178" i="18"/>
  <c r="HX178" i="18"/>
  <c r="HS178" i="18"/>
  <c r="HN178" i="18"/>
  <c r="HI178" i="18"/>
  <c r="HD178" i="18"/>
  <c r="GY178" i="18"/>
  <c r="GT178" i="18"/>
  <c r="KG178" i="18"/>
  <c r="JZ178" i="18"/>
  <c r="JT178" i="18"/>
  <c r="JM178" i="18"/>
  <c r="JF178" i="18"/>
  <c r="IZ178" i="18"/>
  <c r="IS178" i="18"/>
  <c r="IL178" i="18"/>
  <c r="IF178" i="18"/>
  <c r="HY178" i="18"/>
  <c r="HR178" i="18"/>
  <c r="HL178" i="18"/>
  <c r="HE178" i="18"/>
  <c r="GX178" i="18"/>
  <c r="GR178" i="18"/>
  <c r="KD178" i="18"/>
  <c r="JW178" i="18"/>
  <c r="JP178" i="18"/>
  <c r="JJ178" i="18"/>
  <c r="JC178" i="18"/>
  <c r="IV178" i="18"/>
  <c r="IP178" i="18"/>
  <c r="II178" i="18"/>
  <c r="IB178" i="18"/>
  <c r="HV178" i="18"/>
  <c r="HO178" i="18"/>
  <c r="HH178" i="18"/>
  <c r="HB178" i="18"/>
  <c r="GU178" i="18"/>
  <c r="N178" i="18"/>
  <c r="AP178" i="18" s="1"/>
  <c r="KE178" i="18"/>
  <c r="JR178" i="18"/>
  <c r="JE178" i="18"/>
  <c r="IQ178" i="18"/>
  <c r="ID178" i="18"/>
  <c r="HQ178" i="18"/>
  <c r="HC178" i="18"/>
  <c r="Q178" i="18"/>
  <c r="L178" i="18"/>
  <c r="JY178" i="18"/>
  <c r="JK178" i="18"/>
  <c r="IX178" i="18"/>
  <c r="IK178" i="18"/>
  <c r="HW178" i="18"/>
  <c r="HJ178" i="18"/>
  <c r="GW178" i="18"/>
  <c r="JH178" i="18"/>
  <c r="IG178" i="18"/>
  <c r="HG178" i="18"/>
  <c r="JO178" i="18"/>
  <c r="IN178" i="18"/>
  <c r="HM178" i="18"/>
  <c r="P178" i="18"/>
  <c r="JA178" i="18"/>
  <c r="GZ178" i="18"/>
  <c r="M178" i="18"/>
  <c r="KB178" i="18"/>
  <c r="IA178" i="18"/>
  <c r="JU178" i="18"/>
  <c r="HT178" i="18"/>
  <c r="IU178" i="18"/>
  <c r="GS178" i="18"/>
  <c r="K179" i="18"/>
  <c r="U177" i="18"/>
  <c r="A178" i="18" a="1"/>
  <c r="A178" i="18" s="1"/>
  <c r="B179" i="18"/>
  <c r="GM178" i="18"/>
  <c r="GH178" i="18"/>
  <c r="GC178" i="18"/>
  <c r="FX178" i="18"/>
  <c r="FS178" i="18"/>
  <c r="FN178" i="18"/>
  <c r="FI178" i="18"/>
  <c r="FD178" i="18"/>
  <c r="EY178" i="18"/>
  <c r="ET178" i="18"/>
  <c r="EO178" i="18"/>
  <c r="EJ178" i="18"/>
  <c r="EE178" i="18"/>
  <c r="DZ178" i="18"/>
  <c r="DU178" i="18"/>
  <c r="DP178" i="18"/>
  <c r="DK178" i="18"/>
  <c r="DF178" i="18"/>
  <c r="DA178" i="18"/>
  <c r="GI178" i="18"/>
  <c r="GB178" i="18"/>
  <c r="FV178" i="18"/>
  <c r="FO178" i="18"/>
  <c r="FH178" i="18"/>
  <c r="FB178" i="18"/>
  <c r="EU178" i="18"/>
  <c r="EN178" i="18"/>
  <c r="EH178" i="18"/>
  <c r="EA178" i="18"/>
  <c r="DT178" i="18"/>
  <c r="DN178" i="18"/>
  <c r="DG178" i="18"/>
  <c r="CZ178" i="18"/>
  <c r="GL178" i="18"/>
  <c r="GF178" i="18"/>
  <c r="FY178" i="18"/>
  <c r="FR178" i="18"/>
  <c r="FL178" i="18"/>
  <c r="FE178" i="18"/>
  <c r="EX178" i="18"/>
  <c r="ER178" i="18"/>
  <c r="EK178" i="18"/>
  <c r="ED178" i="18"/>
  <c r="DX178" i="18"/>
  <c r="DQ178" i="18"/>
  <c r="DJ178" i="18"/>
  <c r="DD178" i="18"/>
  <c r="F178" i="18"/>
  <c r="GN178" i="18"/>
  <c r="GA178" i="18"/>
  <c r="FM178" i="18"/>
  <c r="EZ178" i="18"/>
  <c r="EM178" i="18"/>
  <c r="DY178" i="18"/>
  <c r="DL178" i="18"/>
  <c r="CY178" i="18"/>
  <c r="G178" i="18"/>
  <c r="GG178" i="18"/>
  <c r="FT178" i="18"/>
  <c r="FG178" i="18"/>
  <c r="ES178" i="18"/>
  <c r="EF178" i="18"/>
  <c r="DS178" i="18"/>
  <c r="DE178" i="18"/>
  <c r="D178" i="18"/>
  <c r="GD178" i="18"/>
  <c r="FC178" i="18"/>
  <c r="EC178" i="18"/>
  <c r="DB178" i="18"/>
  <c r="E178" i="18"/>
  <c r="AH178" i="18" s="1"/>
  <c r="AX178" i="18" s="1"/>
  <c r="GK178" i="18"/>
  <c r="FJ178" i="18"/>
  <c r="EI178" i="18"/>
  <c r="DI178" i="18"/>
  <c r="H178" i="18"/>
  <c r="EW178" i="18"/>
  <c r="FW178" i="18"/>
  <c r="DV178" i="18"/>
  <c r="C178" i="18"/>
  <c r="FQ178" i="18"/>
  <c r="DO178" i="18"/>
  <c r="EP178" i="18"/>
  <c r="I178" i="18" a="1"/>
  <c r="I178" i="18" s="1"/>
  <c r="I179" i="18" a="1"/>
  <c r="I179" i="18" s="1"/>
  <c r="W176" i="18"/>
  <c r="X176" i="18"/>
  <c r="Z176" i="18"/>
  <c r="V176" i="18"/>
  <c r="Y176" i="18"/>
  <c r="AS177" i="18"/>
  <c r="AR177" i="18"/>
  <c r="AB177" i="18"/>
  <c r="AC177" i="18"/>
  <c r="BF178" i="18"/>
  <c r="DX82" i="16" l="1"/>
  <c r="DZ82" i="16" s="1"/>
  <c r="DY83" i="16" s="1"/>
  <c r="DX83" i="16" s="1"/>
  <c r="DZ83" i="16" s="1"/>
  <c r="DY84" i="16" s="1"/>
  <c r="DX84" i="16" s="1"/>
  <c r="DZ84" i="16" s="1"/>
  <c r="DY85" i="16" s="1"/>
  <c r="DX85" i="16" s="1"/>
  <c r="DZ85" i="16" s="1"/>
  <c r="DY86" i="16" s="1"/>
  <c r="DX86" i="16" s="1"/>
  <c r="DZ86" i="16" s="1"/>
  <c r="DY87" i="16" s="1"/>
  <c r="DX87" i="16" s="1"/>
  <c r="DZ87" i="16" s="1"/>
  <c r="DY88" i="16" s="1"/>
  <c r="DX88" i="16" s="1"/>
  <c r="DZ88" i="16" s="1"/>
  <c r="DY89" i="16" s="1"/>
  <c r="DX89" i="16" s="1"/>
  <c r="DZ89" i="16" s="1"/>
  <c r="DY90" i="16" s="1"/>
  <c r="DX90" i="16" s="1"/>
  <c r="DZ90" i="16" s="1"/>
  <c r="DY91" i="16" s="1"/>
  <c r="DX91" i="16" s="1"/>
  <c r="DZ91" i="16" s="1"/>
  <c r="DY92" i="16" s="1"/>
  <c r="DX92" i="16" s="1"/>
  <c r="DZ92" i="16" s="1"/>
  <c r="DY93" i="16" s="1"/>
  <c r="DX93" i="16" s="1"/>
  <c r="DZ93" i="16" s="1"/>
  <c r="DY94" i="16" s="1"/>
  <c r="DX94" i="16" s="1"/>
  <c r="DZ94" i="16" s="1"/>
  <c r="DT95" i="16"/>
  <c r="DS95" i="16" s="1"/>
  <c r="DU95" i="16" s="1"/>
  <c r="DW95" i="16"/>
  <c r="AN169" i="16"/>
  <c r="AO168" i="16"/>
  <c r="AW170" i="16"/>
  <c r="AV171" i="16"/>
  <c r="AF171" i="16"/>
  <c r="AG170" i="16"/>
  <c r="U178" i="18"/>
  <c r="Z177" i="18"/>
  <c r="V177" i="18"/>
  <c r="X177" i="18"/>
  <c r="Y177" i="18"/>
  <c r="W177" i="18"/>
  <c r="A179" i="18" a="1"/>
  <c r="A179" i="18" s="1"/>
  <c r="AR178" i="18"/>
  <c r="AC178" i="18"/>
  <c r="AB178" i="18"/>
  <c r="AS178" i="18"/>
  <c r="KE179" i="18"/>
  <c r="JZ179" i="18"/>
  <c r="JU179" i="18"/>
  <c r="JP179" i="18"/>
  <c r="JK179" i="18"/>
  <c r="JF179" i="18"/>
  <c r="JA179" i="18"/>
  <c r="IV179" i="18"/>
  <c r="IQ179" i="18"/>
  <c r="IL179" i="18"/>
  <c r="IG179" i="18"/>
  <c r="IB179" i="18"/>
  <c r="HW179" i="18"/>
  <c r="HR179" i="18"/>
  <c r="HM179" i="18"/>
  <c r="HH179" i="18"/>
  <c r="HC179" i="18"/>
  <c r="GX179" i="18"/>
  <c r="GS179" i="18"/>
  <c r="N179" i="18"/>
  <c r="AP179" i="18" s="1"/>
  <c r="K180" i="18"/>
  <c r="KB179" i="18"/>
  <c r="JV179" i="18"/>
  <c r="JO179" i="18"/>
  <c r="JH179" i="18"/>
  <c r="JB179" i="18"/>
  <c r="IU179" i="18"/>
  <c r="IN179" i="18"/>
  <c r="IH179" i="18"/>
  <c r="IA179" i="18"/>
  <c r="HT179" i="18"/>
  <c r="HN179" i="18"/>
  <c r="HG179" i="18"/>
  <c r="GZ179" i="18"/>
  <c r="GT179" i="18"/>
  <c r="KF179" i="18"/>
  <c r="JY179" i="18"/>
  <c r="JR179" i="18"/>
  <c r="JL179" i="18"/>
  <c r="JE179" i="18"/>
  <c r="IX179" i="18"/>
  <c r="IR179" i="18"/>
  <c r="IK179" i="18"/>
  <c r="ID179" i="18"/>
  <c r="HX179" i="18"/>
  <c r="HQ179" i="18"/>
  <c r="HJ179" i="18"/>
  <c r="HD179" i="18"/>
  <c r="GW179" i="18"/>
  <c r="Q179" i="18"/>
  <c r="L179" i="18"/>
  <c r="KD179" i="18"/>
  <c r="JQ179" i="18"/>
  <c r="JC179" i="18"/>
  <c r="IP179" i="18"/>
  <c r="IC179" i="18"/>
  <c r="HO179" i="18"/>
  <c r="HB179" i="18"/>
  <c r="P179" i="18"/>
  <c r="JW179" i="18"/>
  <c r="JJ179" i="18"/>
  <c r="IW179" i="18"/>
  <c r="II179" i="18"/>
  <c r="HV179" i="18"/>
  <c r="HI179" i="18"/>
  <c r="GU179" i="18"/>
  <c r="M179" i="18"/>
  <c r="JT179" i="18"/>
  <c r="IS179" i="18"/>
  <c r="HS179" i="18"/>
  <c r="GR179" i="18"/>
  <c r="KA179" i="18"/>
  <c r="IZ179" i="18"/>
  <c r="HY179" i="18"/>
  <c r="GY179" i="18"/>
  <c r="IM179" i="18"/>
  <c r="JM179" i="18"/>
  <c r="HL179" i="18"/>
  <c r="JG179" i="18"/>
  <c r="HE179" i="18"/>
  <c r="KG179" i="18"/>
  <c r="IF179" i="18"/>
  <c r="I180" i="18" a="1"/>
  <c r="I180" i="18" s="1"/>
  <c r="GL179" i="18"/>
  <c r="GG179" i="18"/>
  <c r="GB179" i="18"/>
  <c r="FW179" i="18"/>
  <c r="FR179" i="18"/>
  <c r="FM179" i="18"/>
  <c r="FH179" i="18"/>
  <c r="FC179" i="18"/>
  <c r="EX179" i="18"/>
  <c r="ES179" i="18"/>
  <c r="EN179" i="18"/>
  <c r="EI179" i="18"/>
  <c r="ED179" i="18"/>
  <c r="DY179" i="18"/>
  <c r="DT179" i="18"/>
  <c r="DO179" i="18"/>
  <c r="DJ179" i="18"/>
  <c r="DE179" i="18"/>
  <c r="CZ179" i="18"/>
  <c r="F179" i="18"/>
  <c r="GK179" i="18"/>
  <c r="GD179" i="18"/>
  <c r="FX179" i="18"/>
  <c r="FQ179" i="18"/>
  <c r="FJ179" i="18"/>
  <c r="FD179" i="18"/>
  <c r="EW179" i="18"/>
  <c r="EP179" i="18"/>
  <c r="EJ179" i="18"/>
  <c r="EC179" i="18"/>
  <c r="DV179" i="18"/>
  <c r="DP179" i="18"/>
  <c r="DI179" i="18"/>
  <c r="DB179" i="18"/>
  <c r="D179" i="18"/>
  <c r="GN179" i="18"/>
  <c r="GH179" i="18"/>
  <c r="GA179" i="18"/>
  <c r="FT179" i="18"/>
  <c r="FN179" i="18"/>
  <c r="FG179" i="18"/>
  <c r="EZ179" i="18"/>
  <c r="ET179" i="18"/>
  <c r="EM179" i="18"/>
  <c r="EF179" i="18"/>
  <c r="DZ179" i="18"/>
  <c r="DS179" i="18"/>
  <c r="DL179" i="18"/>
  <c r="DF179" i="18"/>
  <c r="CY179" i="18"/>
  <c r="G179" i="18"/>
  <c r="GM179" i="18"/>
  <c r="FY179" i="18"/>
  <c r="FL179" i="18"/>
  <c r="EY179" i="18"/>
  <c r="EK179" i="18"/>
  <c r="DX179" i="18"/>
  <c r="DK179" i="18"/>
  <c r="H179" i="18"/>
  <c r="B180" i="18"/>
  <c r="GF179" i="18"/>
  <c r="FS179" i="18"/>
  <c r="FE179" i="18"/>
  <c r="ER179" i="18"/>
  <c r="EE179" i="18"/>
  <c r="DQ179" i="18"/>
  <c r="DD179" i="18"/>
  <c r="C179" i="18"/>
  <c r="FO179" i="18"/>
  <c r="EO179" i="18"/>
  <c r="DN179" i="18"/>
  <c r="FV179" i="18"/>
  <c r="EU179" i="18"/>
  <c r="DU179" i="18"/>
  <c r="E179" i="18"/>
  <c r="AH179" i="18" s="1"/>
  <c r="AX179" i="18" s="1"/>
  <c r="GI179" i="18"/>
  <c r="EH179" i="18"/>
  <c r="FI179" i="18"/>
  <c r="DG179" i="18"/>
  <c r="FB179" i="18"/>
  <c r="DA179" i="18"/>
  <c r="GC179" i="18"/>
  <c r="EA179" i="18"/>
  <c r="BF179" i="18"/>
  <c r="DY95" i="16" l="1"/>
  <c r="DX95" i="16" s="1"/>
  <c r="DZ95" i="16" s="1"/>
  <c r="DT96" i="16"/>
  <c r="DS96" i="16" s="1"/>
  <c r="DU96" i="16" s="1"/>
  <c r="DW96" i="16"/>
  <c r="AW171" i="16"/>
  <c r="AG171" i="16"/>
  <c r="AF172" i="16"/>
  <c r="AV172" i="16"/>
  <c r="AN170" i="16"/>
  <c r="AO169" i="16"/>
  <c r="AR179" i="18"/>
  <c r="AC179" i="18"/>
  <c r="AS179" i="18"/>
  <c r="AB179" i="18"/>
  <c r="A180" i="18" a="1"/>
  <c r="A180" i="18" s="1"/>
  <c r="Y178" i="18"/>
  <c r="Z178" i="18"/>
  <c r="W178" i="18"/>
  <c r="V178" i="18"/>
  <c r="X178" i="18"/>
  <c r="U179" i="18"/>
  <c r="GK180" i="18"/>
  <c r="GF180" i="18"/>
  <c r="GA180" i="18"/>
  <c r="FV180" i="18"/>
  <c r="FQ180" i="18"/>
  <c r="FL180" i="18"/>
  <c r="FG180" i="18"/>
  <c r="FB180" i="18"/>
  <c r="EW180" i="18"/>
  <c r="ER180" i="18"/>
  <c r="EM180" i="18"/>
  <c r="EH180" i="18"/>
  <c r="EC180" i="18"/>
  <c r="DX180" i="18"/>
  <c r="DS180" i="18"/>
  <c r="DN180" i="18"/>
  <c r="DI180" i="18"/>
  <c r="DD180" i="18"/>
  <c r="CY180" i="18"/>
  <c r="E180" i="18"/>
  <c r="AH180" i="18" s="1"/>
  <c r="AX180" i="18" s="1"/>
  <c r="B181" i="18"/>
  <c r="GM180" i="18"/>
  <c r="GG180" i="18"/>
  <c r="FY180" i="18"/>
  <c r="FS180" i="18"/>
  <c r="FM180" i="18"/>
  <c r="FE180" i="18"/>
  <c r="EY180" i="18"/>
  <c r="ES180" i="18"/>
  <c r="EK180" i="18"/>
  <c r="EE180" i="18"/>
  <c r="DY180" i="18"/>
  <c r="DQ180" i="18"/>
  <c r="DK180" i="18"/>
  <c r="DE180" i="18"/>
  <c r="F180" i="18"/>
  <c r="GI180" i="18"/>
  <c r="GC180" i="18"/>
  <c r="FW180" i="18"/>
  <c r="FO180" i="18"/>
  <c r="FI180" i="18"/>
  <c r="FC180" i="18"/>
  <c r="EU180" i="18"/>
  <c r="EO180" i="18"/>
  <c r="EI180" i="18"/>
  <c r="EA180" i="18"/>
  <c r="DU180" i="18"/>
  <c r="DO180" i="18"/>
  <c r="DG180" i="18"/>
  <c r="DA180" i="18"/>
  <c r="H180" i="18"/>
  <c r="C180" i="18"/>
  <c r="GN180" i="18"/>
  <c r="GB180" i="18"/>
  <c r="FN180" i="18"/>
  <c r="EZ180" i="18"/>
  <c r="EN180" i="18"/>
  <c r="DZ180" i="18"/>
  <c r="DL180" i="18"/>
  <c r="CZ180" i="18"/>
  <c r="G180" i="18"/>
  <c r="GH180" i="18"/>
  <c r="FT180" i="18"/>
  <c r="FH180" i="18"/>
  <c r="ET180" i="18"/>
  <c r="EF180" i="18"/>
  <c r="DT180" i="18"/>
  <c r="DF180" i="18"/>
  <c r="GD180" i="18"/>
  <c r="FD180" i="18"/>
  <c r="ED180" i="18"/>
  <c r="DB180" i="18"/>
  <c r="GL180" i="18"/>
  <c r="FJ180" i="18"/>
  <c r="EJ180" i="18"/>
  <c r="DJ180" i="18"/>
  <c r="FX180" i="18"/>
  <c r="DV180" i="18"/>
  <c r="D180" i="18"/>
  <c r="EX180" i="18"/>
  <c r="EP180" i="18"/>
  <c r="DP180" i="18"/>
  <c r="FR180" i="18"/>
  <c r="KD180" i="18"/>
  <c r="JY180" i="18"/>
  <c r="JT180" i="18"/>
  <c r="JO180" i="18"/>
  <c r="JJ180" i="18"/>
  <c r="JE180" i="18"/>
  <c r="IZ180" i="18"/>
  <c r="IU180" i="18"/>
  <c r="IP180" i="18"/>
  <c r="IK180" i="18"/>
  <c r="IF180" i="18"/>
  <c r="IA180" i="18"/>
  <c r="HV180" i="18"/>
  <c r="HQ180" i="18"/>
  <c r="HL180" i="18"/>
  <c r="HG180" i="18"/>
  <c r="HB180" i="18"/>
  <c r="GW180" i="18"/>
  <c r="GR180" i="18"/>
  <c r="Q180" i="18"/>
  <c r="M180" i="18"/>
  <c r="KE180" i="18"/>
  <c r="JW180" i="18"/>
  <c r="JQ180" i="18"/>
  <c r="JK180" i="18"/>
  <c r="JC180" i="18"/>
  <c r="IW180" i="18"/>
  <c r="IQ180" i="18"/>
  <c r="II180" i="18"/>
  <c r="IC180" i="18"/>
  <c r="HW180" i="18"/>
  <c r="HO180" i="18"/>
  <c r="HI180" i="18"/>
  <c r="HC180" i="18"/>
  <c r="GU180" i="18"/>
  <c r="P180" i="18"/>
  <c r="KG180" i="18"/>
  <c r="KA180" i="18"/>
  <c r="JU180" i="18"/>
  <c r="JM180" i="18"/>
  <c r="JG180" i="18"/>
  <c r="JA180" i="18"/>
  <c r="IS180" i="18"/>
  <c r="IM180" i="18"/>
  <c r="IG180" i="18"/>
  <c r="HY180" i="18"/>
  <c r="HS180" i="18"/>
  <c r="HM180" i="18"/>
  <c r="HE180" i="18"/>
  <c r="GY180" i="18"/>
  <c r="GS180" i="18"/>
  <c r="N180" i="18"/>
  <c r="AP180" i="18" s="1"/>
  <c r="KF180" i="18"/>
  <c r="JR180" i="18"/>
  <c r="JF180" i="18"/>
  <c r="IR180" i="18"/>
  <c r="ID180" i="18"/>
  <c r="HR180" i="18"/>
  <c r="HD180" i="18"/>
  <c r="JZ180" i="18"/>
  <c r="JL180" i="18"/>
  <c r="IX180" i="18"/>
  <c r="IL180" i="18"/>
  <c r="HX180" i="18"/>
  <c r="HJ180" i="18"/>
  <c r="GX180" i="18"/>
  <c r="L180" i="18"/>
  <c r="JH180" i="18"/>
  <c r="IH180" i="18"/>
  <c r="HH180" i="18"/>
  <c r="JP180" i="18"/>
  <c r="IN180" i="18"/>
  <c r="HN180" i="18"/>
  <c r="KB180" i="18"/>
  <c r="IB180" i="18"/>
  <c r="JB180" i="18"/>
  <c r="GZ180" i="18"/>
  <c r="K181" i="18"/>
  <c r="IV180" i="18"/>
  <c r="GT180" i="18"/>
  <c r="HT180" i="18"/>
  <c r="JV180" i="18"/>
  <c r="DY96" i="16" l="1"/>
  <c r="DX96" i="16" s="1"/>
  <c r="DZ96" i="16" s="1"/>
  <c r="DT97" i="16"/>
  <c r="DS97" i="16" s="1"/>
  <c r="DU97" i="16" s="1"/>
  <c r="DW97" i="16"/>
  <c r="AW172" i="16"/>
  <c r="AF173" i="16"/>
  <c r="AV173" i="16"/>
  <c r="AG172" i="16"/>
  <c r="AN171" i="16"/>
  <c r="AO170" i="16"/>
  <c r="K182" i="18"/>
  <c r="KG181" i="18"/>
  <c r="KB181" i="18"/>
  <c r="JW181" i="18"/>
  <c r="JR181" i="18"/>
  <c r="JM181" i="18"/>
  <c r="JH181" i="18"/>
  <c r="JC181" i="18"/>
  <c r="IX181" i="18"/>
  <c r="IS181" i="18"/>
  <c r="IN181" i="18"/>
  <c r="II181" i="18"/>
  <c r="ID181" i="18"/>
  <c r="HY181" i="18"/>
  <c r="HT181" i="18"/>
  <c r="HO181" i="18"/>
  <c r="HJ181" i="18"/>
  <c r="HE181" i="18"/>
  <c r="GZ181" i="18"/>
  <c r="GU181" i="18"/>
  <c r="P181" i="18"/>
  <c r="L181" i="18"/>
  <c r="KF181" i="18"/>
  <c r="JZ181" i="18"/>
  <c r="JT181" i="18"/>
  <c r="JL181" i="18"/>
  <c r="JF181" i="18"/>
  <c r="IZ181" i="18"/>
  <c r="IR181" i="18"/>
  <c r="IL181" i="18"/>
  <c r="IF181" i="18"/>
  <c r="HX181" i="18"/>
  <c r="HR181" i="18"/>
  <c r="HL181" i="18"/>
  <c r="HD181" i="18"/>
  <c r="GX181" i="18"/>
  <c r="GR181" i="18"/>
  <c r="M181" i="18"/>
  <c r="KD181" i="18"/>
  <c r="JV181" i="18"/>
  <c r="JP181" i="18"/>
  <c r="JJ181" i="18"/>
  <c r="JB181" i="18"/>
  <c r="IV181" i="18"/>
  <c r="IP181" i="18"/>
  <c r="IH181" i="18"/>
  <c r="IB181" i="18"/>
  <c r="HV181" i="18"/>
  <c r="HN181" i="18"/>
  <c r="HH181" i="18"/>
  <c r="HB181" i="18"/>
  <c r="GT181" i="18"/>
  <c r="KE181" i="18"/>
  <c r="JQ181" i="18"/>
  <c r="JE181" i="18"/>
  <c r="IQ181" i="18"/>
  <c r="IC181" i="18"/>
  <c r="HQ181" i="18"/>
  <c r="HC181" i="18"/>
  <c r="Q181" i="18"/>
  <c r="JY181" i="18"/>
  <c r="JK181" i="18"/>
  <c r="IW181" i="18"/>
  <c r="IK181" i="18"/>
  <c r="HW181" i="18"/>
  <c r="HI181" i="18"/>
  <c r="GW181" i="18"/>
  <c r="N181" i="18"/>
  <c r="AP181" i="18" s="1"/>
  <c r="JU181" i="18"/>
  <c r="IU181" i="18"/>
  <c r="HS181" i="18"/>
  <c r="GS181" i="18"/>
  <c r="KA181" i="18"/>
  <c r="JA181" i="18"/>
  <c r="IA181" i="18"/>
  <c r="GY181" i="18"/>
  <c r="JO181" i="18"/>
  <c r="HM181" i="18"/>
  <c r="IM181" i="18"/>
  <c r="IG181" i="18"/>
  <c r="JG181" i="18"/>
  <c r="HG181" i="18"/>
  <c r="GN181" i="18"/>
  <c r="GI181" i="18"/>
  <c r="GD181" i="18"/>
  <c r="FY181" i="18"/>
  <c r="FT181" i="18"/>
  <c r="FO181" i="18"/>
  <c r="FJ181" i="18"/>
  <c r="FE181" i="18"/>
  <c r="EZ181" i="18"/>
  <c r="EU181" i="18"/>
  <c r="EP181" i="18"/>
  <c r="EK181" i="18"/>
  <c r="EF181" i="18"/>
  <c r="EA181" i="18"/>
  <c r="DV181" i="18"/>
  <c r="DQ181" i="18"/>
  <c r="DL181" i="18"/>
  <c r="DG181" i="18"/>
  <c r="DB181" i="18"/>
  <c r="H181" i="18"/>
  <c r="D181" i="18"/>
  <c r="GH181" i="18"/>
  <c r="GB181" i="18"/>
  <c r="FV181" i="18"/>
  <c r="FN181" i="18"/>
  <c r="FH181" i="18"/>
  <c r="FB181" i="18"/>
  <c r="ET181" i="18"/>
  <c r="EN181" i="18"/>
  <c r="EH181" i="18"/>
  <c r="DZ181" i="18"/>
  <c r="DT181" i="18"/>
  <c r="DN181" i="18"/>
  <c r="DF181" i="18"/>
  <c r="CZ181" i="18"/>
  <c r="G181" i="18"/>
  <c r="GL181" i="18"/>
  <c r="GF181" i="18"/>
  <c r="FX181" i="18"/>
  <c r="FR181" i="18"/>
  <c r="FL181" i="18"/>
  <c r="FD181" i="18"/>
  <c r="EX181" i="18"/>
  <c r="ER181" i="18"/>
  <c r="EJ181" i="18"/>
  <c r="ED181" i="18"/>
  <c r="DX181" i="18"/>
  <c r="DP181" i="18"/>
  <c r="DJ181" i="18"/>
  <c r="DD181" i="18"/>
  <c r="E181" i="18"/>
  <c r="AH181" i="18" s="1"/>
  <c r="AX181" i="18" s="1"/>
  <c r="GM181" i="18"/>
  <c r="GA181" i="18"/>
  <c r="FM181" i="18"/>
  <c r="EY181" i="18"/>
  <c r="EM181" i="18"/>
  <c r="DY181" i="18"/>
  <c r="DK181" i="18"/>
  <c r="CY181" i="18"/>
  <c r="B182" i="18"/>
  <c r="GG181" i="18"/>
  <c r="FS181" i="18"/>
  <c r="FG181" i="18"/>
  <c r="ES181" i="18"/>
  <c r="EE181" i="18"/>
  <c r="DS181" i="18"/>
  <c r="DE181" i="18"/>
  <c r="C181" i="18"/>
  <c r="A182" i="18" s="1" a="1"/>
  <c r="A182" i="18" s="1"/>
  <c r="FQ181" i="18"/>
  <c r="EO181" i="18"/>
  <c r="DO181" i="18"/>
  <c r="FW181" i="18"/>
  <c r="EW181" i="18"/>
  <c r="DU181" i="18"/>
  <c r="F181" i="18"/>
  <c r="FI181" i="18"/>
  <c r="DI181" i="18"/>
  <c r="GK181" i="18"/>
  <c r="EI181" i="18"/>
  <c r="GC181" i="18"/>
  <c r="EC181" i="18"/>
  <c r="FC181" i="18"/>
  <c r="DA181" i="18"/>
  <c r="U180" i="18"/>
  <c r="BF181" i="18"/>
  <c r="AC180" i="18"/>
  <c r="AR180" i="18"/>
  <c r="AB180" i="18"/>
  <c r="AS180" i="18"/>
  <c r="Y179" i="18"/>
  <c r="W179" i="18"/>
  <c r="Z179" i="18"/>
  <c r="X179" i="18"/>
  <c r="V179" i="18"/>
  <c r="BF180" i="18"/>
  <c r="A181" i="18" a="1"/>
  <c r="A181" i="18" s="1"/>
  <c r="I181" i="18" a="1"/>
  <c r="I181" i="18" s="1"/>
  <c r="I182" i="18" a="1"/>
  <c r="I182" i="18" s="1"/>
  <c r="DY97" i="16" l="1"/>
  <c r="DX97" i="16" s="1"/>
  <c r="DZ97" i="16" s="1"/>
  <c r="DT98" i="16"/>
  <c r="DS98" i="16" s="1"/>
  <c r="DU98" i="16" s="1"/>
  <c r="DW98" i="16"/>
  <c r="AN172" i="16"/>
  <c r="AO171" i="16"/>
  <c r="AV174" i="16"/>
  <c r="AF174" i="16"/>
  <c r="AG173" i="16"/>
  <c r="AW173" i="16"/>
  <c r="KF182" i="18"/>
  <c r="KA182" i="18"/>
  <c r="JV182" i="18"/>
  <c r="JQ182" i="18"/>
  <c r="JL182" i="18"/>
  <c r="JG182" i="18"/>
  <c r="JB182" i="18"/>
  <c r="IW182" i="18"/>
  <c r="IR182" i="18"/>
  <c r="IM182" i="18"/>
  <c r="IH182" i="18"/>
  <c r="IC182" i="18"/>
  <c r="HX182" i="18"/>
  <c r="HS182" i="18"/>
  <c r="HN182" i="18"/>
  <c r="HI182" i="18"/>
  <c r="HD182" i="18"/>
  <c r="GY182" i="18"/>
  <c r="GT182" i="18"/>
  <c r="KG182" i="18"/>
  <c r="JZ182" i="18"/>
  <c r="JT182" i="18"/>
  <c r="JM182" i="18"/>
  <c r="JF182" i="18"/>
  <c r="IZ182" i="18"/>
  <c r="IS182" i="18"/>
  <c r="IL182" i="18"/>
  <c r="IF182" i="18"/>
  <c r="HY182" i="18"/>
  <c r="HR182" i="18"/>
  <c r="HL182" i="18"/>
  <c r="HE182" i="18"/>
  <c r="GX182" i="18"/>
  <c r="GR182" i="18"/>
  <c r="N182" i="18"/>
  <c r="AP182" i="18" s="1"/>
  <c r="KD182" i="18"/>
  <c r="JW182" i="18"/>
  <c r="JP182" i="18"/>
  <c r="JJ182" i="18"/>
  <c r="JC182" i="18"/>
  <c r="IV182" i="18"/>
  <c r="IP182" i="18"/>
  <c r="II182" i="18"/>
  <c r="IB182" i="18"/>
  <c r="HV182" i="18"/>
  <c r="HO182" i="18"/>
  <c r="HH182" i="18"/>
  <c r="HB182" i="18"/>
  <c r="GU182" i="18"/>
  <c r="P182" i="18"/>
  <c r="L182" i="18"/>
  <c r="KE182" i="18"/>
  <c r="JR182" i="18"/>
  <c r="JE182" i="18"/>
  <c r="IQ182" i="18"/>
  <c r="ID182" i="18"/>
  <c r="HQ182" i="18"/>
  <c r="HC182" i="18"/>
  <c r="Q182" i="18"/>
  <c r="JY182" i="18"/>
  <c r="JK182" i="18"/>
  <c r="IX182" i="18"/>
  <c r="IK182" i="18"/>
  <c r="HW182" i="18"/>
  <c r="HJ182" i="18"/>
  <c r="GW182" i="18"/>
  <c r="M182" i="18"/>
  <c r="JH182" i="18"/>
  <c r="IG182" i="18"/>
  <c r="HG182" i="18"/>
  <c r="JO182" i="18"/>
  <c r="IN182" i="18"/>
  <c r="HM182" i="18"/>
  <c r="K183" i="18"/>
  <c r="IU182" i="18"/>
  <c r="GS182" i="18"/>
  <c r="JU182" i="18"/>
  <c r="HT182" i="18"/>
  <c r="JA182" i="18"/>
  <c r="GZ182" i="18"/>
  <c r="IA182" i="18"/>
  <c r="KB182" i="18"/>
  <c r="BF182" i="18"/>
  <c r="AB181" i="18"/>
  <c r="AS181" i="18"/>
  <c r="AR181" i="18"/>
  <c r="AC181" i="18"/>
  <c r="X180" i="18"/>
  <c r="Y180" i="18"/>
  <c r="V180" i="18"/>
  <c r="Z180" i="18"/>
  <c r="W180" i="18"/>
  <c r="U181" i="18"/>
  <c r="B183" i="18"/>
  <c r="GM182" i="18"/>
  <c r="GH182" i="18"/>
  <c r="GC182" i="18"/>
  <c r="FX182" i="18"/>
  <c r="FS182" i="18"/>
  <c r="FN182" i="18"/>
  <c r="FI182" i="18"/>
  <c r="FD182" i="18"/>
  <c r="EY182" i="18"/>
  <c r="ET182" i="18"/>
  <c r="EO182" i="18"/>
  <c r="EJ182" i="18"/>
  <c r="EE182" i="18"/>
  <c r="DZ182" i="18"/>
  <c r="DU182" i="18"/>
  <c r="DP182" i="18"/>
  <c r="DK182" i="18"/>
  <c r="DF182" i="18"/>
  <c r="DA182" i="18"/>
  <c r="G182" i="18"/>
  <c r="C182" i="18"/>
  <c r="GI182" i="18"/>
  <c r="GB182" i="18"/>
  <c r="FV182" i="18"/>
  <c r="FO182" i="18"/>
  <c r="FH182" i="18"/>
  <c r="FB182" i="18"/>
  <c r="EU182" i="18"/>
  <c r="EN182" i="18"/>
  <c r="EH182" i="18"/>
  <c r="EA182" i="18"/>
  <c r="DT182" i="18"/>
  <c r="DN182" i="18"/>
  <c r="DG182" i="18"/>
  <c r="CZ182" i="18"/>
  <c r="D182" i="18"/>
  <c r="GL182" i="18"/>
  <c r="GF182" i="18"/>
  <c r="FY182" i="18"/>
  <c r="FR182" i="18"/>
  <c r="FL182" i="18"/>
  <c r="FE182" i="18"/>
  <c r="EX182" i="18"/>
  <c r="ER182" i="18"/>
  <c r="EK182" i="18"/>
  <c r="ED182" i="18"/>
  <c r="DX182" i="18"/>
  <c r="DQ182" i="18"/>
  <c r="DJ182" i="18"/>
  <c r="DD182" i="18"/>
  <c r="F182" i="18"/>
  <c r="GN182" i="18"/>
  <c r="GA182" i="18"/>
  <c r="FM182" i="18"/>
  <c r="EZ182" i="18"/>
  <c r="EM182" i="18"/>
  <c r="DY182" i="18"/>
  <c r="DL182" i="18"/>
  <c r="CY182" i="18"/>
  <c r="H182" i="18"/>
  <c r="GG182" i="18"/>
  <c r="FT182" i="18"/>
  <c r="FG182" i="18"/>
  <c r="ES182" i="18"/>
  <c r="EF182" i="18"/>
  <c r="DS182" i="18"/>
  <c r="DE182" i="18"/>
  <c r="GD182" i="18"/>
  <c r="FC182" i="18"/>
  <c r="EC182" i="18"/>
  <c r="DB182" i="18"/>
  <c r="GK182" i="18"/>
  <c r="FJ182" i="18"/>
  <c r="EI182" i="18"/>
  <c r="DI182" i="18"/>
  <c r="EP182" i="18"/>
  <c r="FQ182" i="18"/>
  <c r="DO182" i="18"/>
  <c r="E182" i="18"/>
  <c r="AH182" i="18" s="1"/>
  <c r="AX182" i="18" s="1"/>
  <c r="EW182" i="18"/>
  <c r="DV182" i="18"/>
  <c r="FW182" i="18"/>
  <c r="DY98" i="16" l="1"/>
  <c r="DX98" i="16" s="1"/>
  <c r="DZ98" i="16" s="1"/>
  <c r="DW99" i="16"/>
  <c r="DT99" i="16"/>
  <c r="DS99" i="16" s="1"/>
  <c r="DU99" i="16" s="1"/>
  <c r="AO172" i="16"/>
  <c r="AN173" i="16"/>
  <c r="AW174" i="16"/>
  <c r="AV175" i="16"/>
  <c r="AG174" i="16"/>
  <c r="AF175" i="16"/>
  <c r="W181" i="18"/>
  <c r="Z181" i="18"/>
  <c r="X181" i="18"/>
  <c r="Y181" i="18"/>
  <c r="V181" i="18"/>
  <c r="KE183" i="18"/>
  <c r="JZ183" i="18"/>
  <c r="JU183" i="18"/>
  <c r="JP183" i="18"/>
  <c r="JK183" i="18"/>
  <c r="JF183" i="18"/>
  <c r="JA183" i="18"/>
  <c r="IV183" i="18"/>
  <c r="IQ183" i="18"/>
  <c r="IL183" i="18"/>
  <c r="IG183" i="18"/>
  <c r="IB183" i="18"/>
  <c r="HW183" i="18"/>
  <c r="HR183" i="18"/>
  <c r="HM183" i="18"/>
  <c r="HH183" i="18"/>
  <c r="HC183" i="18"/>
  <c r="GX183" i="18"/>
  <c r="GS183" i="18"/>
  <c r="N183" i="18"/>
  <c r="AP183" i="18" s="1"/>
  <c r="K184" i="18"/>
  <c r="KB183" i="18"/>
  <c r="JV183" i="18"/>
  <c r="JO183" i="18"/>
  <c r="JH183" i="18"/>
  <c r="JB183" i="18"/>
  <c r="IU183" i="18"/>
  <c r="IN183" i="18"/>
  <c r="IH183" i="18"/>
  <c r="IA183" i="18"/>
  <c r="HT183" i="18"/>
  <c r="HN183" i="18"/>
  <c r="HG183" i="18"/>
  <c r="GZ183" i="18"/>
  <c r="GT183" i="18"/>
  <c r="KF183" i="18"/>
  <c r="JY183" i="18"/>
  <c r="JR183" i="18"/>
  <c r="JL183" i="18"/>
  <c r="JE183" i="18"/>
  <c r="IX183" i="18"/>
  <c r="IR183" i="18"/>
  <c r="IK183" i="18"/>
  <c r="ID183" i="18"/>
  <c r="HX183" i="18"/>
  <c r="HQ183" i="18"/>
  <c r="HJ183" i="18"/>
  <c r="HD183" i="18"/>
  <c r="GW183" i="18"/>
  <c r="Q183" i="18"/>
  <c r="L183" i="18"/>
  <c r="BF183" i="18" s="1"/>
  <c r="KD183" i="18"/>
  <c r="JQ183" i="18"/>
  <c r="JC183" i="18"/>
  <c r="IP183" i="18"/>
  <c r="IC183" i="18"/>
  <c r="HO183" i="18"/>
  <c r="HB183" i="18"/>
  <c r="P183" i="18"/>
  <c r="JW183" i="18"/>
  <c r="JJ183" i="18"/>
  <c r="IW183" i="18"/>
  <c r="II183" i="18"/>
  <c r="HV183" i="18"/>
  <c r="HI183" i="18"/>
  <c r="GU183" i="18"/>
  <c r="M183" i="18"/>
  <c r="JT183" i="18"/>
  <c r="IS183" i="18"/>
  <c r="HS183" i="18"/>
  <c r="GR183" i="18"/>
  <c r="KA183" i="18"/>
  <c r="IZ183" i="18"/>
  <c r="HY183" i="18"/>
  <c r="GY183" i="18"/>
  <c r="KG183" i="18"/>
  <c r="IF183" i="18"/>
  <c r="JG183" i="18"/>
  <c r="HE183" i="18"/>
  <c r="IM183" i="18"/>
  <c r="JM183" i="18"/>
  <c r="HL183" i="18"/>
  <c r="U182" i="18"/>
  <c r="A183" i="18" a="1"/>
  <c r="A183" i="18" s="1"/>
  <c r="AS182" i="18"/>
  <c r="AR182" i="18"/>
  <c r="AB182" i="18"/>
  <c r="AC182" i="18"/>
  <c r="GL183" i="18"/>
  <c r="GG183" i="18"/>
  <c r="GB183" i="18"/>
  <c r="FW183" i="18"/>
  <c r="FR183" i="18"/>
  <c r="FM183" i="18"/>
  <c r="FH183" i="18"/>
  <c r="FC183" i="18"/>
  <c r="EX183" i="18"/>
  <c r="ES183" i="18"/>
  <c r="EN183" i="18"/>
  <c r="EI183" i="18"/>
  <c r="ED183" i="18"/>
  <c r="DY183" i="18"/>
  <c r="DT183" i="18"/>
  <c r="DO183" i="18"/>
  <c r="DJ183" i="18"/>
  <c r="DE183" i="18"/>
  <c r="CZ183" i="18"/>
  <c r="F183" i="18"/>
  <c r="GK183" i="18"/>
  <c r="GD183" i="18"/>
  <c r="FX183" i="18"/>
  <c r="FQ183" i="18"/>
  <c r="FJ183" i="18"/>
  <c r="FD183" i="18"/>
  <c r="EW183" i="18"/>
  <c r="EP183" i="18"/>
  <c r="EJ183" i="18"/>
  <c r="EC183" i="18"/>
  <c r="DV183" i="18"/>
  <c r="DP183" i="18"/>
  <c r="DI183" i="18"/>
  <c r="DB183" i="18"/>
  <c r="D183" i="18"/>
  <c r="GN183" i="18"/>
  <c r="GH183" i="18"/>
  <c r="GA183" i="18"/>
  <c r="FT183" i="18"/>
  <c r="FN183" i="18"/>
  <c r="FG183" i="18"/>
  <c r="EZ183" i="18"/>
  <c r="ET183" i="18"/>
  <c r="EM183" i="18"/>
  <c r="EF183" i="18"/>
  <c r="DZ183" i="18"/>
  <c r="DS183" i="18"/>
  <c r="DL183" i="18"/>
  <c r="DF183" i="18"/>
  <c r="CY183" i="18"/>
  <c r="G183" i="18"/>
  <c r="GM183" i="18"/>
  <c r="FY183" i="18"/>
  <c r="FL183" i="18"/>
  <c r="EY183" i="18"/>
  <c r="EK183" i="18"/>
  <c r="DX183" i="18"/>
  <c r="DK183" i="18"/>
  <c r="H183" i="18"/>
  <c r="B184" i="18"/>
  <c r="GF183" i="18"/>
  <c r="FS183" i="18"/>
  <c r="FE183" i="18"/>
  <c r="ER183" i="18"/>
  <c r="EE183" i="18"/>
  <c r="DQ183" i="18"/>
  <c r="DD183" i="18"/>
  <c r="C183" i="18"/>
  <c r="FO183" i="18"/>
  <c r="EO183" i="18"/>
  <c r="DN183" i="18"/>
  <c r="FV183" i="18"/>
  <c r="EU183" i="18"/>
  <c r="DU183" i="18"/>
  <c r="E183" i="18"/>
  <c r="AH183" i="18" s="1"/>
  <c r="AX183" i="18" s="1"/>
  <c r="GC183" i="18"/>
  <c r="EA183" i="18"/>
  <c r="FB183" i="18"/>
  <c r="DA183" i="18"/>
  <c r="GI183" i="18"/>
  <c r="EH183" i="18"/>
  <c r="FI183" i="18"/>
  <c r="DG183" i="18"/>
  <c r="I183" i="18" a="1"/>
  <c r="I183" i="18" s="1"/>
  <c r="DT100" i="16" l="1"/>
  <c r="DS100" i="16" s="1"/>
  <c r="DU100" i="16" s="1"/>
  <c r="DY99" i="16"/>
  <c r="DX99" i="16" s="1"/>
  <c r="DZ99" i="16" s="1"/>
  <c r="DW100" i="16"/>
  <c r="AW175" i="16"/>
  <c r="AG175" i="16"/>
  <c r="AF176" i="16"/>
  <c r="AV176" i="16"/>
  <c r="AN174" i="16"/>
  <c r="AO173" i="16"/>
  <c r="I184" i="18" a="1"/>
  <c r="I184" i="18" s="1"/>
  <c r="AR183" i="18"/>
  <c r="AC183" i="18"/>
  <c r="AS183" i="18"/>
  <c r="AB183" i="18"/>
  <c r="KF184" i="18"/>
  <c r="KA184" i="18"/>
  <c r="JV184" i="18"/>
  <c r="JQ184" i="18"/>
  <c r="JL184" i="18"/>
  <c r="JG184" i="18"/>
  <c r="JB184" i="18"/>
  <c r="IW184" i="18"/>
  <c r="IR184" i="18"/>
  <c r="IM184" i="18"/>
  <c r="IH184" i="18"/>
  <c r="IC184" i="18"/>
  <c r="HX184" i="18"/>
  <c r="HS184" i="18"/>
  <c r="HN184" i="18"/>
  <c r="HI184" i="18"/>
  <c r="HD184" i="18"/>
  <c r="GY184" i="18"/>
  <c r="GT184" i="18"/>
  <c r="KD184" i="18"/>
  <c r="JY184" i="18"/>
  <c r="JT184" i="18"/>
  <c r="JO184" i="18"/>
  <c r="JJ184" i="18"/>
  <c r="JE184" i="18"/>
  <c r="IZ184" i="18"/>
  <c r="IU184" i="18"/>
  <c r="IP184" i="18"/>
  <c r="IK184" i="18"/>
  <c r="IF184" i="18"/>
  <c r="IA184" i="18"/>
  <c r="HV184" i="18"/>
  <c r="HQ184" i="18"/>
  <c r="HL184" i="18"/>
  <c r="HG184" i="18"/>
  <c r="HB184" i="18"/>
  <c r="GW184" i="18"/>
  <c r="GR184" i="18"/>
  <c r="Q184" i="18"/>
  <c r="M184" i="18"/>
  <c r="JZ184" i="18"/>
  <c r="JP184" i="18"/>
  <c r="JF184" i="18"/>
  <c r="IV184" i="18"/>
  <c r="IL184" i="18"/>
  <c r="IB184" i="18"/>
  <c r="HR184" i="18"/>
  <c r="HH184" i="18"/>
  <c r="GX184" i="18"/>
  <c r="P184" i="18"/>
  <c r="KE184" i="18"/>
  <c r="JU184" i="18"/>
  <c r="JK184" i="18"/>
  <c r="JA184" i="18"/>
  <c r="IQ184" i="18"/>
  <c r="IG184" i="18"/>
  <c r="HW184" i="18"/>
  <c r="HM184" i="18"/>
  <c r="HC184" i="18"/>
  <c r="GS184" i="18"/>
  <c r="N184" i="18"/>
  <c r="AP184" i="18" s="1"/>
  <c r="JR184" i="18"/>
  <c r="IX184" i="18"/>
  <c r="ID184" i="18"/>
  <c r="HJ184" i="18"/>
  <c r="K185" i="18"/>
  <c r="KB184" i="18"/>
  <c r="JH184" i="18"/>
  <c r="IN184" i="18"/>
  <c r="HT184" i="18"/>
  <c r="GZ184" i="18"/>
  <c r="L184" i="18"/>
  <c r="JW184" i="18"/>
  <c r="JC184" i="18"/>
  <c r="HO184" i="18"/>
  <c r="JM184" i="18"/>
  <c r="HY184" i="18"/>
  <c r="II184" i="18"/>
  <c r="KG184" i="18"/>
  <c r="GU184" i="18"/>
  <c r="IS184" i="18"/>
  <c r="HE184" i="18"/>
  <c r="U183" i="18"/>
  <c r="A184" i="18" a="1"/>
  <c r="A184" i="18" s="1"/>
  <c r="B185" i="18"/>
  <c r="GK184" i="18"/>
  <c r="GF184" i="18"/>
  <c r="GA184" i="18"/>
  <c r="FV184" i="18"/>
  <c r="FQ184" i="18"/>
  <c r="FL184" i="18"/>
  <c r="FG184" i="18"/>
  <c r="FB184" i="18"/>
  <c r="EW184" i="18"/>
  <c r="ER184" i="18"/>
  <c r="EM184" i="18"/>
  <c r="EH184" i="18"/>
  <c r="EC184" i="18"/>
  <c r="DX184" i="18"/>
  <c r="DS184" i="18"/>
  <c r="DN184" i="18"/>
  <c r="DI184" i="18"/>
  <c r="DD184" i="18"/>
  <c r="CY184" i="18"/>
  <c r="E184" i="18"/>
  <c r="AH184" i="18" s="1"/>
  <c r="AX184" i="18" s="1"/>
  <c r="GM184" i="18"/>
  <c r="GG184" i="18"/>
  <c r="FY184" i="18"/>
  <c r="FS184" i="18"/>
  <c r="FM184" i="18"/>
  <c r="FE184" i="18"/>
  <c r="EY184" i="18"/>
  <c r="ES184" i="18"/>
  <c r="EK184" i="18"/>
  <c r="EE184" i="18"/>
  <c r="DY184" i="18"/>
  <c r="DQ184" i="18"/>
  <c r="DK184" i="18"/>
  <c r="DE184" i="18"/>
  <c r="F184" i="18"/>
  <c r="GI184" i="18"/>
  <c r="GC184" i="18"/>
  <c r="FW184" i="18"/>
  <c r="FO184" i="18"/>
  <c r="FI184" i="18"/>
  <c r="FC184" i="18"/>
  <c r="EU184" i="18"/>
  <c r="EO184" i="18"/>
  <c r="EI184" i="18"/>
  <c r="EA184" i="18"/>
  <c r="DU184" i="18"/>
  <c r="DO184" i="18"/>
  <c r="DG184" i="18"/>
  <c r="DA184" i="18"/>
  <c r="H184" i="18"/>
  <c r="C184" i="18"/>
  <c r="GN184" i="18"/>
  <c r="GB184" i="18"/>
  <c r="FN184" i="18"/>
  <c r="EZ184" i="18"/>
  <c r="EN184" i="18"/>
  <c r="DZ184" i="18"/>
  <c r="DL184" i="18"/>
  <c r="CZ184" i="18"/>
  <c r="G184" i="18"/>
  <c r="GH184" i="18"/>
  <c r="FT184" i="18"/>
  <c r="FH184" i="18"/>
  <c r="ET184" i="18"/>
  <c r="EF184" i="18"/>
  <c r="DT184" i="18"/>
  <c r="DF184" i="18"/>
  <c r="GD184" i="18"/>
  <c r="FD184" i="18"/>
  <c r="ED184" i="18"/>
  <c r="DB184" i="18"/>
  <c r="GL184" i="18"/>
  <c r="FJ184" i="18"/>
  <c r="EJ184" i="18"/>
  <c r="DJ184" i="18"/>
  <c r="FR184" i="18"/>
  <c r="DP184" i="18"/>
  <c r="EP184" i="18"/>
  <c r="FX184" i="18"/>
  <c r="DV184" i="18"/>
  <c r="D184" i="18"/>
  <c r="EX184" i="18"/>
  <c r="Z182" i="18"/>
  <c r="V182" i="18"/>
  <c r="X182" i="18"/>
  <c r="Y182" i="18"/>
  <c r="W182" i="18"/>
  <c r="DY100" i="16" l="1"/>
  <c r="DX100" i="16" s="1"/>
  <c r="DZ100" i="16" s="1"/>
  <c r="DT101" i="16"/>
  <c r="DS101" i="16" s="1"/>
  <c r="DU101" i="16" s="1"/>
  <c r="DW101" i="16"/>
  <c r="AF177" i="16"/>
  <c r="AG176" i="16"/>
  <c r="AV177" i="16"/>
  <c r="AW176" i="16"/>
  <c r="AN175" i="16"/>
  <c r="AO174" i="16"/>
  <c r="GL185" i="18"/>
  <c r="GG185" i="18"/>
  <c r="GB185" i="18"/>
  <c r="FW185" i="18"/>
  <c r="FR185" i="18"/>
  <c r="FM185" i="18"/>
  <c r="FH185" i="18"/>
  <c r="FC185" i="18"/>
  <c r="EX185" i="18"/>
  <c r="ES185" i="18"/>
  <c r="EN185" i="18"/>
  <c r="EI185" i="18"/>
  <c r="ED185" i="18"/>
  <c r="DY185" i="18"/>
  <c r="DT185" i="18"/>
  <c r="DO185" i="18"/>
  <c r="DJ185" i="18"/>
  <c r="DE185" i="18"/>
  <c r="CZ185" i="18"/>
  <c r="F185" i="18"/>
  <c r="GN185" i="18"/>
  <c r="GI185" i="18"/>
  <c r="GD185" i="18"/>
  <c r="FY185" i="18"/>
  <c r="FT185" i="18"/>
  <c r="FO185" i="18"/>
  <c r="FJ185" i="18"/>
  <c r="FE185" i="18"/>
  <c r="EZ185" i="18"/>
  <c r="EU185" i="18"/>
  <c r="EP185" i="18"/>
  <c r="EK185" i="18"/>
  <c r="EF185" i="18"/>
  <c r="EA185" i="18"/>
  <c r="DV185" i="18"/>
  <c r="DQ185" i="18"/>
  <c r="DL185" i="18"/>
  <c r="DG185" i="18"/>
  <c r="DB185" i="18"/>
  <c r="H185" i="18"/>
  <c r="D185" i="18"/>
  <c r="GK185" i="18"/>
  <c r="GA185" i="18"/>
  <c r="FQ185" i="18"/>
  <c r="FG185" i="18"/>
  <c r="EW185" i="18"/>
  <c r="EM185" i="18"/>
  <c r="EC185" i="18"/>
  <c r="DS185" i="18"/>
  <c r="DI185" i="18"/>
  <c r="CY185" i="18"/>
  <c r="GF185" i="18"/>
  <c r="FV185" i="18"/>
  <c r="FL185" i="18"/>
  <c r="FB185" i="18"/>
  <c r="ER185" i="18"/>
  <c r="EH185" i="18"/>
  <c r="DX185" i="18"/>
  <c r="DN185" i="18"/>
  <c r="DD185" i="18"/>
  <c r="E185" i="18"/>
  <c r="AH185" i="18" s="1"/>
  <c r="AX185" i="18" s="1"/>
  <c r="GC185" i="18"/>
  <c r="FI185" i="18"/>
  <c r="EO185" i="18"/>
  <c r="DU185" i="18"/>
  <c r="DA185" i="18"/>
  <c r="C185" i="18"/>
  <c r="A186" i="18" s="1" a="1"/>
  <c r="A186" i="18" s="1"/>
  <c r="B186" i="18"/>
  <c r="GM185" i="18"/>
  <c r="FS185" i="18"/>
  <c r="EY185" i="18"/>
  <c r="EE185" i="18"/>
  <c r="DK185" i="18"/>
  <c r="GH185" i="18"/>
  <c r="FN185" i="18"/>
  <c r="ET185" i="18"/>
  <c r="DZ185" i="18"/>
  <c r="DF185" i="18"/>
  <c r="G185" i="18"/>
  <c r="FX185" i="18"/>
  <c r="DP185" i="18"/>
  <c r="EJ185" i="18"/>
  <c r="FD185" i="18"/>
  <c r="Y183" i="18"/>
  <c r="W183" i="18"/>
  <c r="Z183" i="18"/>
  <c r="X183" i="18"/>
  <c r="V183" i="18"/>
  <c r="U184" i="18"/>
  <c r="A185" i="18" a="1"/>
  <c r="A185" i="18" s="1"/>
  <c r="I185" i="18" a="1"/>
  <c r="I185" i="18" s="1"/>
  <c r="BF184" i="18"/>
  <c r="AC184" i="18"/>
  <c r="AR184" i="18"/>
  <c r="AB184" i="18"/>
  <c r="AS184" i="18"/>
  <c r="KE185" i="18"/>
  <c r="JZ185" i="18"/>
  <c r="JU185" i="18"/>
  <c r="JP185" i="18"/>
  <c r="JK185" i="18"/>
  <c r="JF185" i="18"/>
  <c r="JA185" i="18"/>
  <c r="IV185" i="18"/>
  <c r="IQ185" i="18"/>
  <c r="IL185" i="18"/>
  <c r="IG185" i="18"/>
  <c r="IB185" i="18"/>
  <c r="HW185" i="18"/>
  <c r="HR185" i="18"/>
  <c r="HM185" i="18"/>
  <c r="HH185" i="18"/>
  <c r="HC185" i="18"/>
  <c r="GX185" i="18"/>
  <c r="GS185" i="18"/>
  <c r="N185" i="18"/>
  <c r="AP185" i="18" s="1"/>
  <c r="K186" i="18"/>
  <c r="KG185" i="18"/>
  <c r="KB185" i="18"/>
  <c r="JW185" i="18"/>
  <c r="JR185" i="18"/>
  <c r="JM185" i="18"/>
  <c r="JH185" i="18"/>
  <c r="JC185" i="18"/>
  <c r="IX185" i="18"/>
  <c r="IS185" i="18"/>
  <c r="IN185" i="18"/>
  <c r="II185" i="18"/>
  <c r="ID185" i="18"/>
  <c r="HY185" i="18"/>
  <c r="HT185" i="18"/>
  <c r="HO185" i="18"/>
  <c r="HJ185" i="18"/>
  <c r="HE185" i="18"/>
  <c r="GZ185" i="18"/>
  <c r="GU185" i="18"/>
  <c r="P185" i="18"/>
  <c r="L185" i="18"/>
  <c r="JY185" i="18"/>
  <c r="JO185" i="18"/>
  <c r="JE185" i="18"/>
  <c r="IU185" i="18"/>
  <c r="IK185" i="18"/>
  <c r="IA185" i="18"/>
  <c r="HQ185" i="18"/>
  <c r="HG185" i="18"/>
  <c r="GW185" i="18"/>
  <c r="Q185" i="18"/>
  <c r="KD185" i="18"/>
  <c r="JT185" i="18"/>
  <c r="JJ185" i="18"/>
  <c r="IZ185" i="18"/>
  <c r="IP185" i="18"/>
  <c r="IF185" i="18"/>
  <c r="HV185" i="18"/>
  <c r="HL185" i="18"/>
  <c r="HB185" i="18"/>
  <c r="GR185" i="18"/>
  <c r="M185" i="18"/>
  <c r="KA185" i="18"/>
  <c r="JG185" i="18"/>
  <c r="IM185" i="18"/>
  <c r="HS185" i="18"/>
  <c r="GY185" i="18"/>
  <c r="JQ185" i="18"/>
  <c r="IW185" i="18"/>
  <c r="IC185" i="18"/>
  <c r="HI185" i="18"/>
  <c r="KF185" i="18"/>
  <c r="JL185" i="18"/>
  <c r="IR185" i="18"/>
  <c r="HX185" i="18"/>
  <c r="HD185" i="18"/>
  <c r="JB185" i="18"/>
  <c r="JV185" i="18"/>
  <c r="GT185" i="18"/>
  <c r="HN185" i="18"/>
  <c r="IH185" i="18"/>
  <c r="DY101" i="16" l="1"/>
  <c r="DX101" i="16" s="1"/>
  <c r="DZ101" i="16" s="1"/>
  <c r="DW102" i="16"/>
  <c r="DT102" i="16"/>
  <c r="DS102" i="16" s="1"/>
  <c r="DU102" i="16" s="1"/>
  <c r="AN176" i="16"/>
  <c r="AO175" i="16"/>
  <c r="AV178" i="16"/>
  <c r="AF178" i="16"/>
  <c r="AG177" i="16"/>
  <c r="AW177" i="16"/>
  <c r="KD186" i="18"/>
  <c r="JY186" i="18"/>
  <c r="JT186" i="18"/>
  <c r="JO186" i="18"/>
  <c r="JJ186" i="18"/>
  <c r="JE186" i="18"/>
  <c r="IZ186" i="18"/>
  <c r="IU186" i="18"/>
  <c r="IP186" i="18"/>
  <c r="IK186" i="18"/>
  <c r="IF186" i="18"/>
  <c r="IA186" i="18"/>
  <c r="HV186" i="18"/>
  <c r="HQ186" i="18"/>
  <c r="HL186" i="18"/>
  <c r="HG186" i="18"/>
  <c r="HB186" i="18"/>
  <c r="GW186" i="18"/>
  <c r="GR186" i="18"/>
  <c r="Q186" i="18"/>
  <c r="M186" i="18"/>
  <c r="KF186" i="18"/>
  <c r="KA186" i="18"/>
  <c r="JV186" i="18"/>
  <c r="JQ186" i="18"/>
  <c r="JL186" i="18"/>
  <c r="JG186" i="18"/>
  <c r="JB186" i="18"/>
  <c r="IW186" i="18"/>
  <c r="IR186" i="18"/>
  <c r="IM186" i="18"/>
  <c r="IH186" i="18"/>
  <c r="IC186" i="18"/>
  <c r="HX186" i="18"/>
  <c r="HS186" i="18"/>
  <c r="HN186" i="18"/>
  <c r="HI186" i="18"/>
  <c r="HD186" i="18"/>
  <c r="GY186" i="18"/>
  <c r="GT186" i="18"/>
  <c r="KE186" i="18"/>
  <c r="JU186" i="18"/>
  <c r="JK186" i="18"/>
  <c r="JA186" i="18"/>
  <c r="IQ186" i="18"/>
  <c r="IG186" i="18"/>
  <c r="HW186" i="18"/>
  <c r="HM186" i="18"/>
  <c r="HC186" i="18"/>
  <c r="GS186" i="18"/>
  <c r="JZ186" i="18"/>
  <c r="JP186" i="18"/>
  <c r="JF186" i="18"/>
  <c r="IV186" i="18"/>
  <c r="IL186" i="18"/>
  <c r="IB186" i="18"/>
  <c r="HR186" i="18"/>
  <c r="HH186" i="18"/>
  <c r="GX186" i="18"/>
  <c r="L186" i="18"/>
  <c r="K187" i="18"/>
  <c r="KB186" i="18"/>
  <c r="JH186" i="18"/>
  <c r="IN186" i="18"/>
  <c r="HT186" i="18"/>
  <c r="GZ186" i="18"/>
  <c r="JR186" i="18"/>
  <c r="IX186" i="18"/>
  <c r="ID186" i="18"/>
  <c r="HJ186" i="18"/>
  <c r="KG186" i="18"/>
  <c r="JM186" i="18"/>
  <c r="IS186" i="18"/>
  <c r="HY186" i="18"/>
  <c r="HE186" i="18"/>
  <c r="N186" i="18"/>
  <c r="AP186" i="18" s="1"/>
  <c r="II186" i="18"/>
  <c r="P186" i="18"/>
  <c r="JC186" i="18"/>
  <c r="GU186" i="18"/>
  <c r="JW186" i="18"/>
  <c r="HO186" i="18"/>
  <c r="BF185" i="18"/>
  <c r="BF186" i="18"/>
  <c r="AR185" i="18"/>
  <c r="AB185" i="18"/>
  <c r="AS185" i="18"/>
  <c r="AC185" i="18"/>
  <c r="GK186" i="18"/>
  <c r="GF186" i="18"/>
  <c r="GA186" i="18"/>
  <c r="FV186" i="18"/>
  <c r="FQ186" i="18"/>
  <c r="FL186" i="18"/>
  <c r="FG186" i="18"/>
  <c r="FB186" i="18"/>
  <c r="EW186" i="18"/>
  <c r="ER186" i="18"/>
  <c r="EM186" i="18"/>
  <c r="EH186" i="18"/>
  <c r="EC186" i="18"/>
  <c r="DX186" i="18"/>
  <c r="DS186" i="18"/>
  <c r="DN186" i="18"/>
  <c r="DI186" i="18"/>
  <c r="DD186" i="18"/>
  <c r="CY186" i="18"/>
  <c r="E186" i="18"/>
  <c r="AH186" i="18" s="1"/>
  <c r="AX186" i="18" s="1"/>
  <c r="B187" i="18"/>
  <c r="GM186" i="18"/>
  <c r="GH186" i="18"/>
  <c r="GC186" i="18"/>
  <c r="FX186" i="18"/>
  <c r="FS186" i="18"/>
  <c r="FN186" i="18"/>
  <c r="FI186" i="18"/>
  <c r="FD186" i="18"/>
  <c r="EY186" i="18"/>
  <c r="ET186" i="18"/>
  <c r="EO186" i="18"/>
  <c r="EJ186" i="18"/>
  <c r="EE186" i="18"/>
  <c r="DZ186" i="18"/>
  <c r="DU186" i="18"/>
  <c r="DP186" i="18"/>
  <c r="DK186" i="18"/>
  <c r="DF186" i="18"/>
  <c r="DA186" i="18"/>
  <c r="G186" i="18"/>
  <c r="C186" i="18"/>
  <c r="GG186" i="18"/>
  <c r="FW186" i="18"/>
  <c r="FM186" i="18"/>
  <c r="FC186" i="18"/>
  <c r="ES186" i="18"/>
  <c r="EI186" i="18"/>
  <c r="DY186" i="18"/>
  <c r="DO186" i="18"/>
  <c r="DE186" i="18"/>
  <c r="H186" i="18"/>
  <c r="GL186" i="18"/>
  <c r="GB186" i="18"/>
  <c r="FR186" i="18"/>
  <c r="FH186" i="18"/>
  <c r="EX186" i="18"/>
  <c r="EN186" i="18"/>
  <c r="ED186" i="18"/>
  <c r="DT186" i="18"/>
  <c r="DJ186" i="18"/>
  <c r="CZ186" i="18"/>
  <c r="D186" i="18"/>
  <c r="GD186" i="18"/>
  <c r="FJ186" i="18"/>
  <c r="EP186" i="18"/>
  <c r="DV186" i="18"/>
  <c r="DB186" i="18"/>
  <c r="GN186" i="18"/>
  <c r="FT186" i="18"/>
  <c r="EZ186" i="18"/>
  <c r="EF186" i="18"/>
  <c r="DL186" i="18"/>
  <c r="GI186" i="18"/>
  <c r="FO186" i="18"/>
  <c r="EU186" i="18"/>
  <c r="EA186" i="18"/>
  <c r="DG186" i="18"/>
  <c r="FE186" i="18"/>
  <c r="FY186" i="18"/>
  <c r="F186" i="18"/>
  <c r="DQ186" i="18"/>
  <c r="EK186" i="18"/>
  <c r="I186" i="18" a="1"/>
  <c r="I186" i="18" s="1"/>
  <c r="X184" i="18"/>
  <c r="Y184" i="18"/>
  <c r="V184" i="18"/>
  <c r="Z184" i="18"/>
  <c r="W184" i="18"/>
  <c r="U185" i="18"/>
  <c r="DT103" i="16" l="1"/>
  <c r="DS103" i="16" s="1"/>
  <c r="DU103" i="16" s="1"/>
  <c r="DY102" i="16"/>
  <c r="DX102" i="16" s="1"/>
  <c r="DZ102" i="16" s="1"/>
  <c r="DW103" i="16"/>
  <c r="AN177" i="16"/>
  <c r="AO176" i="16"/>
  <c r="AW178" i="16"/>
  <c r="AF179" i="16"/>
  <c r="AV179" i="16"/>
  <c r="AG178" i="16"/>
  <c r="GK187" i="18"/>
  <c r="GF187" i="18"/>
  <c r="GL187" i="18"/>
  <c r="GD187" i="18"/>
  <c r="FY187" i="18"/>
  <c r="FT187" i="18"/>
  <c r="FO187" i="18"/>
  <c r="FJ187" i="18"/>
  <c r="FE187" i="18"/>
  <c r="EZ187" i="18"/>
  <c r="EU187" i="18"/>
  <c r="EP187" i="18"/>
  <c r="EK187" i="18"/>
  <c r="EF187" i="18"/>
  <c r="EA187" i="18"/>
  <c r="DV187" i="18"/>
  <c r="DQ187" i="18"/>
  <c r="DL187" i="18"/>
  <c r="DG187" i="18"/>
  <c r="DB187" i="18"/>
  <c r="H187" i="18"/>
  <c r="D187" i="18"/>
  <c r="GN187" i="18"/>
  <c r="GH187" i="18"/>
  <c r="GB187" i="18"/>
  <c r="FW187" i="18"/>
  <c r="FR187" i="18"/>
  <c r="FM187" i="18"/>
  <c r="FH187" i="18"/>
  <c r="FC187" i="18"/>
  <c r="EX187" i="18"/>
  <c r="ES187" i="18"/>
  <c r="EN187" i="18"/>
  <c r="EI187" i="18"/>
  <c r="ED187" i="18"/>
  <c r="DY187" i="18"/>
  <c r="DT187" i="18"/>
  <c r="DO187" i="18"/>
  <c r="DJ187" i="18"/>
  <c r="DE187" i="18"/>
  <c r="CZ187" i="18"/>
  <c r="F187" i="18"/>
  <c r="B188" i="18"/>
  <c r="GG187" i="18"/>
  <c r="FV187" i="18"/>
  <c r="FL187" i="18"/>
  <c r="FB187" i="18"/>
  <c r="ER187" i="18"/>
  <c r="EH187" i="18"/>
  <c r="DX187" i="18"/>
  <c r="DN187" i="18"/>
  <c r="DD187" i="18"/>
  <c r="E187" i="18"/>
  <c r="AH187" i="18" s="1"/>
  <c r="AX187" i="18" s="1"/>
  <c r="GM187" i="18"/>
  <c r="GA187" i="18"/>
  <c r="FQ187" i="18"/>
  <c r="FG187" i="18"/>
  <c r="EW187" i="18"/>
  <c r="EM187" i="18"/>
  <c r="EC187" i="18"/>
  <c r="DS187" i="18"/>
  <c r="DI187" i="18"/>
  <c r="CY187" i="18"/>
  <c r="FS187" i="18"/>
  <c r="EY187" i="18"/>
  <c r="EE187" i="18"/>
  <c r="DK187" i="18"/>
  <c r="GC187" i="18"/>
  <c r="FI187" i="18"/>
  <c r="EO187" i="18"/>
  <c r="DU187" i="18"/>
  <c r="DA187" i="18"/>
  <c r="C187" i="18"/>
  <c r="FX187" i="18"/>
  <c r="FD187" i="18"/>
  <c r="EJ187" i="18"/>
  <c r="DP187" i="18"/>
  <c r="GI187" i="18"/>
  <c r="DF187" i="18"/>
  <c r="DZ187" i="18"/>
  <c r="ET187" i="18"/>
  <c r="FN187" i="18"/>
  <c r="G187" i="18"/>
  <c r="I187" i="18" a="1"/>
  <c r="I187" i="18" s="1"/>
  <c r="KD187" i="18"/>
  <c r="JY187" i="18"/>
  <c r="JT187" i="18"/>
  <c r="JO187" i="18"/>
  <c r="JJ187" i="18"/>
  <c r="JE187" i="18"/>
  <c r="IZ187" i="18"/>
  <c r="IU187" i="18"/>
  <c r="IP187" i="18"/>
  <c r="IK187" i="18"/>
  <c r="IF187" i="18"/>
  <c r="IA187" i="18"/>
  <c r="HV187" i="18"/>
  <c r="HQ187" i="18"/>
  <c r="HL187" i="18"/>
  <c r="HG187" i="18"/>
  <c r="HB187" i="18"/>
  <c r="GW187" i="18"/>
  <c r="GR187" i="18"/>
  <c r="K188" i="18"/>
  <c r="KB187" i="18"/>
  <c r="JV187" i="18"/>
  <c r="JP187" i="18"/>
  <c r="JH187" i="18"/>
  <c r="JB187" i="18"/>
  <c r="IV187" i="18"/>
  <c r="IN187" i="18"/>
  <c r="IH187" i="18"/>
  <c r="IB187" i="18"/>
  <c r="HT187" i="18"/>
  <c r="HN187" i="18"/>
  <c r="HH187" i="18"/>
  <c r="GZ187" i="18"/>
  <c r="GT187" i="18"/>
  <c r="P187" i="18"/>
  <c r="L187" i="18"/>
  <c r="BF187" i="18" s="1"/>
  <c r="KF187" i="18"/>
  <c r="JZ187" i="18"/>
  <c r="JR187" i="18"/>
  <c r="JL187" i="18"/>
  <c r="JF187" i="18"/>
  <c r="IX187" i="18"/>
  <c r="IR187" i="18"/>
  <c r="IL187" i="18"/>
  <c r="ID187" i="18"/>
  <c r="HX187" i="18"/>
  <c r="HR187" i="18"/>
  <c r="HJ187" i="18"/>
  <c r="HD187" i="18"/>
  <c r="GX187" i="18"/>
  <c r="N187" i="18"/>
  <c r="AP187" i="18" s="1"/>
  <c r="JW187" i="18"/>
  <c r="JK187" i="18"/>
  <c r="IW187" i="18"/>
  <c r="II187" i="18"/>
  <c r="HW187" i="18"/>
  <c r="HI187" i="18"/>
  <c r="GU187" i="18"/>
  <c r="M187" i="18"/>
  <c r="KE187" i="18"/>
  <c r="JQ187" i="18"/>
  <c r="JC187" i="18"/>
  <c r="IQ187" i="18"/>
  <c r="IC187" i="18"/>
  <c r="HO187" i="18"/>
  <c r="HC187" i="18"/>
  <c r="Q187" i="18"/>
  <c r="JU187" i="18"/>
  <c r="IS187" i="18"/>
  <c r="HS187" i="18"/>
  <c r="GS187" i="18"/>
  <c r="KG187" i="18"/>
  <c r="JG187" i="18"/>
  <c r="IG187" i="18"/>
  <c r="HE187" i="18"/>
  <c r="KA187" i="18"/>
  <c r="JA187" i="18"/>
  <c r="HY187" i="18"/>
  <c r="GY187" i="18"/>
  <c r="HM187" i="18"/>
  <c r="IM187" i="18"/>
  <c r="JM187" i="18"/>
  <c r="Y185" i="18"/>
  <c r="W185" i="18"/>
  <c r="X185" i="18"/>
  <c r="V185" i="18"/>
  <c r="Z185" i="18"/>
  <c r="AC186" i="18"/>
  <c r="AS186" i="18"/>
  <c r="AR186" i="18"/>
  <c r="AB186" i="18"/>
  <c r="U186" i="18"/>
  <c r="A188" i="18" a="1"/>
  <c r="A188" i="18" s="1"/>
  <c r="A187" i="18" a="1"/>
  <c r="A187" i="18" s="1"/>
  <c r="DY103" i="16" l="1"/>
  <c r="DX103" i="16" s="1"/>
  <c r="DZ103" i="16" s="1"/>
  <c r="DT104" i="16"/>
  <c r="DS104" i="16" s="1"/>
  <c r="DU104" i="16" s="1"/>
  <c r="DW104" i="16"/>
  <c r="AN178" i="16"/>
  <c r="AO177" i="16"/>
  <c r="AW179" i="16"/>
  <c r="AG179" i="16"/>
  <c r="AF180" i="16"/>
  <c r="AV180" i="16"/>
  <c r="AB187" i="18"/>
  <c r="AR187" i="18"/>
  <c r="AS187" i="18"/>
  <c r="AC187" i="18"/>
  <c r="U187" i="18"/>
  <c r="I188" i="18" a="1"/>
  <c r="I188" i="18" s="1"/>
  <c r="K189" i="18"/>
  <c r="KG188" i="18"/>
  <c r="KB188" i="18"/>
  <c r="JW188" i="18"/>
  <c r="JR188" i="18"/>
  <c r="JM188" i="18"/>
  <c r="JH188" i="18"/>
  <c r="JC188" i="18"/>
  <c r="IX188" i="18"/>
  <c r="IS188" i="18"/>
  <c r="IN188" i="18"/>
  <c r="II188" i="18"/>
  <c r="ID188" i="18"/>
  <c r="HY188" i="18"/>
  <c r="HT188" i="18"/>
  <c r="HO188" i="18"/>
  <c r="HJ188" i="18"/>
  <c r="HE188" i="18"/>
  <c r="GZ188" i="18"/>
  <c r="GU188" i="18"/>
  <c r="P188" i="18"/>
  <c r="L188" i="18"/>
  <c r="I189" i="18" s="1" a="1"/>
  <c r="I189" i="18" s="1"/>
  <c r="KE188" i="18"/>
  <c r="JZ188" i="18"/>
  <c r="JU188" i="18"/>
  <c r="JP188" i="18"/>
  <c r="JK188" i="18"/>
  <c r="JF188" i="18"/>
  <c r="JA188" i="18"/>
  <c r="IV188" i="18"/>
  <c r="IQ188" i="18"/>
  <c r="IL188" i="18"/>
  <c r="IG188" i="18"/>
  <c r="IB188" i="18"/>
  <c r="HW188" i="18"/>
  <c r="HR188" i="18"/>
  <c r="HM188" i="18"/>
  <c r="HH188" i="18"/>
  <c r="HC188" i="18"/>
  <c r="KF188" i="18"/>
  <c r="JV188" i="18"/>
  <c r="JL188" i="18"/>
  <c r="JB188" i="18"/>
  <c r="IR188" i="18"/>
  <c r="IH188" i="18"/>
  <c r="HX188" i="18"/>
  <c r="HN188" i="18"/>
  <c r="HD188" i="18"/>
  <c r="GW188" i="18"/>
  <c r="Q188" i="18"/>
  <c r="KA188" i="18"/>
  <c r="JQ188" i="18"/>
  <c r="JG188" i="18"/>
  <c r="IW188" i="18"/>
  <c r="IM188" i="18"/>
  <c r="IC188" i="18"/>
  <c r="HS188" i="18"/>
  <c r="HI188" i="18"/>
  <c r="GY188" i="18"/>
  <c r="GS188" i="18"/>
  <c r="N188" i="18"/>
  <c r="AP188" i="18" s="1"/>
  <c r="JY188" i="18"/>
  <c r="JE188" i="18"/>
  <c r="IK188" i="18"/>
  <c r="HQ188" i="18"/>
  <c r="GX188" i="18"/>
  <c r="M188" i="18"/>
  <c r="JO188" i="18"/>
  <c r="IU188" i="18"/>
  <c r="IA188" i="18"/>
  <c r="HG188" i="18"/>
  <c r="GR188" i="18"/>
  <c r="IZ188" i="18"/>
  <c r="HL188" i="18"/>
  <c r="JT188" i="18"/>
  <c r="IF188" i="18"/>
  <c r="GT188" i="18"/>
  <c r="JJ188" i="18"/>
  <c r="HV188" i="18"/>
  <c r="IP188" i="18"/>
  <c r="KD188" i="18"/>
  <c r="HB188" i="18"/>
  <c r="X186" i="18"/>
  <c r="Z186" i="18"/>
  <c r="V186" i="18"/>
  <c r="Y186" i="18"/>
  <c r="W186" i="18"/>
  <c r="GN188" i="18"/>
  <c r="GI188" i="18"/>
  <c r="GD188" i="18"/>
  <c r="FY188" i="18"/>
  <c r="FT188" i="18"/>
  <c r="FO188" i="18"/>
  <c r="FJ188" i="18"/>
  <c r="FE188" i="18"/>
  <c r="EZ188" i="18"/>
  <c r="EU188" i="18"/>
  <c r="EP188" i="18"/>
  <c r="EK188" i="18"/>
  <c r="EF188" i="18"/>
  <c r="EA188" i="18"/>
  <c r="DV188" i="18"/>
  <c r="DQ188" i="18"/>
  <c r="DL188" i="18"/>
  <c r="DG188" i="18"/>
  <c r="DB188" i="18"/>
  <c r="H188" i="18"/>
  <c r="D188" i="18"/>
  <c r="GM188" i="18"/>
  <c r="GG188" i="18"/>
  <c r="GA188" i="18"/>
  <c r="FS188" i="18"/>
  <c r="FM188" i="18"/>
  <c r="FG188" i="18"/>
  <c r="EY188" i="18"/>
  <c r="ES188" i="18"/>
  <c r="EM188" i="18"/>
  <c r="EE188" i="18"/>
  <c r="DY188" i="18"/>
  <c r="DS188" i="18"/>
  <c r="DK188" i="18"/>
  <c r="DE188" i="18"/>
  <c r="CY188" i="18"/>
  <c r="F188" i="18"/>
  <c r="B189" i="18"/>
  <c r="GK188" i="18"/>
  <c r="GC188" i="18"/>
  <c r="FW188" i="18"/>
  <c r="FQ188" i="18"/>
  <c r="FI188" i="18"/>
  <c r="FC188" i="18"/>
  <c r="EW188" i="18"/>
  <c r="EO188" i="18"/>
  <c r="EI188" i="18"/>
  <c r="EC188" i="18"/>
  <c r="DU188" i="18"/>
  <c r="DO188" i="18"/>
  <c r="DI188" i="18"/>
  <c r="DA188" i="18"/>
  <c r="C188" i="18"/>
  <c r="GH188" i="18"/>
  <c r="FV188" i="18"/>
  <c r="FH188" i="18"/>
  <c r="ET188" i="18"/>
  <c r="EH188" i="18"/>
  <c r="DT188" i="18"/>
  <c r="DF188" i="18"/>
  <c r="GB188" i="18"/>
  <c r="FN188" i="18"/>
  <c r="FB188" i="18"/>
  <c r="EN188" i="18"/>
  <c r="DZ188" i="18"/>
  <c r="DN188" i="18"/>
  <c r="CZ188" i="18"/>
  <c r="G188" i="18"/>
  <c r="GF188" i="18"/>
  <c r="FD188" i="18"/>
  <c r="ED188" i="18"/>
  <c r="DD188" i="18"/>
  <c r="FR188" i="18"/>
  <c r="ER188" i="18"/>
  <c r="DP188" i="18"/>
  <c r="GL188" i="18"/>
  <c r="FL188" i="18"/>
  <c r="EJ188" i="18"/>
  <c r="DJ188" i="18"/>
  <c r="DX188" i="18"/>
  <c r="E188" i="18"/>
  <c r="AH188" i="18" s="1"/>
  <c r="AX188" i="18" s="1"/>
  <c r="EX188" i="18"/>
  <c r="FX188" i="18"/>
  <c r="DY104" i="16" l="1"/>
  <c r="DX104" i="16" s="1"/>
  <c r="DZ104" i="16" s="1"/>
  <c r="DT105" i="16"/>
  <c r="DS105" i="16" s="1"/>
  <c r="DU105" i="16" s="1"/>
  <c r="DW105" i="16"/>
  <c r="AW180" i="16"/>
  <c r="AG180" i="16"/>
  <c r="AF181" i="16"/>
  <c r="AV181" i="16"/>
  <c r="AN179" i="16"/>
  <c r="AO178" i="16"/>
  <c r="BF188" i="18"/>
  <c r="B190" i="18"/>
  <c r="GM189" i="18"/>
  <c r="GH189" i="18"/>
  <c r="GC189" i="18"/>
  <c r="FX189" i="18"/>
  <c r="FS189" i="18"/>
  <c r="FN189" i="18"/>
  <c r="FI189" i="18"/>
  <c r="FD189" i="18"/>
  <c r="EY189" i="18"/>
  <c r="ET189" i="18"/>
  <c r="EO189" i="18"/>
  <c r="EJ189" i="18"/>
  <c r="EE189" i="18"/>
  <c r="DZ189" i="18"/>
  <c r="DU189" i="18"/>
  <c r="DP189" i="18"/>
  <c r="DK189" i="18"/>
  <c r="DF189" i="18"/>
  <c r="DA189" i="18"/>
  <c r="G189" i="18"/>
  <c r="C189" i="18"/>
  <c r="A190" i="18" s="1" a="1"/>
  <c r="A190" i="18" s="1"/>
  <c r="GK189" i="18"/>
  <c r="GF189" i="18"/>
  <c r="GA189" i="18"/>
  <c r="FV189" i="18"/>
  <c r="FQ189" i="18"/>
  <c r="FL189" i="18"/>
  <c r="FG189" i="18"/>
  <c r="FB189" i="18"/>
  <c r="EW189" i="18"/>
  <c r="ER189" i="18"/>
  <c r="EM189" i="18"/>
  <c r="EH189" i="18"/>
  <c r="EC189" i="18"/>
  <c r="DX189" i="18"/>
  <c r="DS189" i="18"/>
  <c r="DN189" i="18"/>
  <c r="DI189" i="18"/>
  <c r="DD189" i="18"/>
  <c r="CY189" i="18"/>
  <c r="E189" i="18"/>
  <c r="AH189" i="18" s="1"/>
  <c r="AX189" i="18" s="1"/>
  <c r="GN189" i="18"/>
  <c r="GD189" i="18"/>
  <c r="FT189" i="18"/>
  <c r="FJ189" i="18"/>
  <c r="EZ189" i="18"/>
  <c r="EP189" i="18"/>
  <c r="EF189" i="18"/>
  <c r="DV189" i="18"/>
  <c r="DL189" i="18"/>
  <c r="DB189" i="18"/>
  <c r="F189" i="18"/>
  <c r="GI189" i="18"/>
  <c r="FY189" i="18"/>
  <c r="FO189" i="18"/>
  <c r="FE189" i="18"/>
  <c r="EU189" i="18"/>
  <c r="EK189" i="18"/>
  <c r="EA189" i="18"/>
  <c r="DQ189" i="18"/>
  <c r="DG189" i="18"/>
  <c r="GG189" i="18"/>
  <c r="FM189" i="18"/>
  <c r="ES189" i="18"/>
  <c r="DY189" i="18"/>
  <c r="DE189" i="18"/>
  <c r="H189" i="18"/>
  <c r="FW189" i="18"/>
  <c r="FC189" i="18"/>
  <c r="EI189" i="18"/>
  <c r="DO189" i="18"/>
  <c r="GL189" i="18"/>
  <c r="EX189" i="18"/>
  <c r="DJ189" i="18"/>
  <c r="D189" i="18"/>
  <c r="FR189" i="18"/>
  <c r="ED189" i="18"/>
  <c r="FH189" i="18"/>
  <c r="DT189" i="18"/>
  <c r="CZ189" i="18"/>
  <c r="GB189" i="18"/>
  <c r="EN189" i="18"/>
  <c r="W187" i="18"/>
  <c r="Y187" i="18"/>
  <c r="X187" i="18"/>
  <c r="V187" i="18"/>
  <c r="Z187" i="18"/>
  <c r="U188" i="18"/>
  <c r="A189" i="18" a="1"/>
  <c r="A189" i="18" s="1"/>
  <c r="AB188" i="18"/>
  <c r="AR188" i="18"/>
  <c r="AC188" i="18"/>
  <c r="AS188" i="18"/>
  <c r="KF189" i="18"/>
  <c r="KA189" i="18"/>
  <c r="JV189" i="18"/>
  <c r="JQ189" i="18"/>
  <c r="JL189" i="18"/>
  <c r="JG189" i="18"/>
  <c r="JB189" i="18"/>
  <c r="IW189" i="18"/>
  <c r="IR189" i="18"/>
  <c r="IM189" i="18"/>
  <c r="IH189" i="18"/>
  <c r="IC189" i="18"/>
  <c r="HX189" i="18"/>
  <c r="HS189" i="18"/>
  <c r="HN189" i="18"/>
  <c r="HI189" i="18"/>
  <c r="HD189" i="18"/>
  <c r="GY189" i="18"/>
  <c r="GT189" i="18"/>
  <c r="KD189" i="18"/>
  <c r="JY189" i="18"/>
  <c r="JT189" i="18"/>
  <c r="JO189" i="18"/>
  <c r="JJ189" i="18"/>
  <c r="JE189" i="18"/>
  <c r="IZ189" i="18"/>
  <c r="IU189" i="18"/>
  <c r="IP189" i="18"/>
  <c r="IK189" i="18"/>
  <c r="IF189" i="18"/>
  <c r="IA189" i="18"/>
  <c r="HV189" i="18"/>
  <c r="HQ189" i="18"/>
  <c r="HL189" i="18"/>
  <c r="HG189" i="18"/>
  <c r="HB189" i="18"/>
  <c r="GW189" i="18"/>
  <c r="GR189" i="18"/>
  <c r="Q189" i="18"/>
  <c r="M189" i="18"/>
  <c r="K190" i="18"/>
  <c r="KB189" i="18"/>
  <c r="JR189" i="18"/>
  <c r="JH189" i="18"/>
  <c r="IX189" i="18"/>
  <c r="IN189" i="18"/>
  <c r="ID189" i="18"/>
  <c r="HT189" i="18"/>
  <c r="HJ189" i="18"/>
  <c r="GZ189" i="18"/>
  <c r="N189" i="18"/>
  <c r="AP189" i="18" s="1"/>
  <c r="KG189" i="18"/>
  <c r="JW189" i="18"/>
  <c r="JM189" i="18"/>
  <c r="JC189" i="18"/>
  <c r="IS189" i="18"/>
  <c r="II189" i="18"/>
  <c r="HY189" i="18"/>
  <c r="HO189" i="18"/>
  <c r="HE189" i="18"/>
  <c r="GU189" i="18"/>
  <c r="P189" i="18"/>
  <c r="KE189" i="18"/>
  <c r="JK189" i="18"/>
  <c r="IQ189" i="18"/>
  <c r="HW189" i="18"/>
  <c r="HC189" i="18"/>
  <c r="JU189" i="18"/>
  <c r="JA189" i="18"/>
  <c r="IG189" i="18"/>
  <c r="HM189" i="18"/>
  <c r="GS189" i="18"/>
  <c r="JP189" i="18"/>
  <c r="IB189" i="18"/>
  <c r="IV189" i="18"/>
  <c r="HH189" i="18"/>
  <c r="JZ189" i="18"/>
  <c r="IL189" i="18"/>
  <c r="GX189" i="18"/>
  <c r="L189" i="18"/>
  <c r="HR189" i="18"/>
  <c r="JF189" i="18"/>
  <c r="DY105" i="16" l="1"/>
  <c r="DX105" i="16" s="1"/>
  <c r="DZ105" i="16" s="1"/>
  <c r="DT106" i="16"/>
  <c r="DS106" i="16" s="1"/>
  <c r="DU106" i="16" s="1"/>
  <c r="DW106" i="16"/>
  <c r="AO179" i="16"/>
  <c r="AN180" i="16"/>
  <c r="AV182" i="16"/>
  <c r="AF182" i="16"/>
  <c r="AW181" i="16"/>
  <c r="AG181" i="16"/>
  <c r="W188" i="18"/>
  <c r="Y188" i="18"/>
  <c r="V188" i="18"/>
  <c r="Z188" i="18"/>
  <c r="X188" i="18"/>
  <c r="AS189" i="18"/>
  <c r="AC189" i="18"/>
  <c r="AR189" i="18"/>
  <c r="AB189" i="18"/>
  <c r="KE190" i="18"/>
  <c r="JZ190" i="18"/>
  <c r="JU190" i="18"/>
  <c r="JP190" i="18"/>
  <c r="JK190" i="18"/>
  <c r="JF190" i="18"/>
  <c r="JA190" i="18"/>
  <c r="IV190" i="18"/>
  <c r="IQ190" i="18"/>
  <c r="IL190" i="18"/>
  <c r="IG190" i="18"/>
  <c r="IB190" i="18"/>
  <c r="HW190" i="18"/>
  <c r="HR190" i="18"/>
  <c r="HM190" i="18"/>
  <c r="HH190" i="18"/>
  <c r="HC190" i="18"/>
  <c r="GX190" i="18"/>
  <c r="GS190" i="18"/>
  <c r="N190" i="18"/>
  <c r="AP190" i="18" s="1"/>
  <c r="K191" i="18"/>
  <c r="KG190" i="18"/>
  <c r="KB190" i="18"/>
  <c r="JW190" i="18"/>
  <c r="JR190" i="18"/>
  <c r="JM190" i="18"/>
  <c r="JH190" i="18"/>
  <c r="JC190" i="18"/>
  <c r="IX190" i="18"/>
  <c r="IS190" i="18"/>
  <c r="IN190" i="18"/>
  <c r="II190" i="18"/>
  <c r="ID190" i="18"/>
  <c r="HY190" i="18"/>
  <c r="HT190" i="18"/>
  <c r="HO190" i="18"/>
  <c r="HJ190" i="18"/>
  <c r="HE190" i="18"/>
  <c r="GZ190" i="18"/>
  <c r="GU190" i="18"/>
  <c r="P190" i="18"/>
  <c r="L190" i="18"/>
  <c r="KA190" i="18"/>
  <c r="JQ190" i="18"/>
  <c r="JG190" i="18"/>
  <c r="IW190" i="18"/>
  <c r="IM190" i="18"/>
  <c r="IC190" i="18"/>
  <c r="HS190" i="18"/>
  <c r="HI190" i="18"/>
  <c r="GY190" i="18"/>
  <c r="KF190" i="18"/>
  <c r="JV190" i="18"/>
  <c r="JL190" i="18"/>
  <c r="JB190" i="18"/>
  <c r="IR190" i="18"/>
  <c r="IH190" i="18"/>
  <c r="HX190" i="18"/>
  <c r="HN190" i="18"/>
  <c r="HD190" i="18"/>
  <c r="GT190" i="18"/>
  <c r="JO190" i="18"/>
  <c r="IU190" i="18"/>
  <c r="IA190" i="18"/>
  <c r="HG190" i="18"/>
  <c r="M190" i="18"/>
  <c r="JY190" i="18"/>
  <c r="JE190" i="18"/>
  <c r="IK190" i="18"/>
  <c r="HQ190" i="18"/>
  <c r="GW190" i="18"/>
  <c r="Q190" i="18"/>
  <c r="IZ190" i="18"/>
  <c r="HL190" i="18"/>
  <c r="JT190" i="18"/>
  <c r="IF190" i="18"/>
  <c r="GR190" i="18"/>
  <c r="JJ190" i="18"/>
  <c r="HV190" i="18"/>
  <c r="KD190" i="18"/>
  <c r="IP190" i="18"/>
  <c r="HB190" i="18"/>
  <c r="U189" i="18"/>
  <c r="BF189" i="18"/>
  <c r="I190" i="18" a="1"/>
  <c r="I190" i="18" s="1"/>
  <c r="GL190" i="18"/>
  <c r="GG190" i="18"/>
  <c r="GB190" i="18"/>
  <c r="FW190" i="18"/>
  <c r="FR190" i="18"/>
  <c r="FM190" i="18"/>
  <c r="FH190" i="18"/>
  <c r="FC190" i="18"/>
  <c r="EX190" i="18"/>
  <c r="ES190" i="18"/>
  <c r="EN190" i="18"/>
  <c r="EI190" i="18"/>
  <c r="ED190" i="18"/>
  <c r="DY190" i="18"/>
  <c r="DT190" i="18"/>
  <c r="DO190" i="18"/>
  <c r="DJ190" i="18"/>
  <c r="DE190" i="18"/>
  <c r="CZ190" i="18"/>
  <c r="F190" i="18"/>
  <c r="GN190" i="18"/>
  <c r="GI190" i="18"/>
  <c r="GD190" i="18"/>
  <c r="FY190" i="18"/>
  <c r="FT190" i="18"/>
  <c r="FO190" i="18"/>
  <c r="FJ190" i="18"/>
  <c r="FE190" i="18"/>
  <c r="EZ190" i="18"/>
  <c r="EU190" i="18"/>
  <c r="EP190" i="18"/>
  <c r="EK190" i="18"/>
  <c r="EF190" i="18"/>
  <c r="EA190" i="18"/>
  <c r="DV190" i="18"/>
  <c r="DQ190" i="18"/>
  <c r="DL190" i="18"/>
  <c r="DG190" i="18"/>
  <c r="DB190" i="18"/>
  <c r="H190" i="18"/>
  <c r="D190" i="18"/>
  <c r="B191" i="18"/>
  <c r="GM190" i="18"/>
  <c r="GC190" i="18"/>
  <c r="FS190" i="18"/>
  <c r="FI190" i="18"/>
  <c r="EY190" i="18"/>
  <c r="EO190" i="18"/>
  <c r="EE190" i="18"/>
  <c r="DU190" i="18"/>
  <c r="DK190" i="18"/>
  <c r="DA190" i="18"/>
  <c r="C190" i="18"/>
  <c r="GH190" i="18"/>
  <c r="FX190" i="18"/>
  <c r="FN190" i="18"/>
  <c r="FD190" i="18"/>
  <c r="ET190" i="18"/>
  <c r="EJ190" i="18"/>
  <c r="DZ190" i="18"/>
  <c r="DP190" i="18"/>
  <c r="DF190" i="18"/>
  <c r="G190" i="18"/>
  <c r="GK190" i="18"/>
  <c r="FQ190" i="18"/>
  <c r="EW190" i="18"/>
  <c r="EC190" i="18"/>
  <c r="DI190" i="18"/>
  <c r="GA190" i="18"/>
  <c r="FG190" i="18"/>
  <c r="EM190" i="18"/>
  <c r="DS190" i="18"/>
  <c r="CY190" i="18"/>
  <c r="E190" i="18"/>
  <c r="AH190" i="18" s="1"/>
  <c r="AX190" i="18" s="1"/>
  <c r="FV190" i="18"/>
  <c r="EH190" i="18"/>
  <c r="FB190" i="18"/>
  <c r="DN190" i="18"/>
  <c r="GF190" i="18"/>
  <c r="ER190" i="18"/>
  <c r="DD190" i="18"/>
  <c r="DX190" i="18"/>
  <c r="FL190" i="18"/>
  <c r="DY106" i="16" l="1"/>
  <c r="DX106" i="16" s="1"/>
  <c r="DZ106" i="16" s="1"/>
  <c r="DT107" i="16"/>
  <c r="DS107" i="16" s="1"/>
  <c r="DU107" i="16" s="1"/>
  <c r="DW107" i="16"/>
  <c r="AO180" i="16"/>
  <c r="AN181" i="16"/>
  <c r="AF183" i="16"/>
  <c r="AW182" i="16"/>
  <c r="AG182" i="16"/>
  <c r="AV183" i="16"/>
  <c r="GL191" i="18"/>
  <c r="GG191" i="18"/>
  <c r="GB191" i="18"/>
  <c r="FW191" i="18"/>
  <c r="FR191" i="18"/>
  <c r="FM191" i="18"/>
  <c r="FH191" i="18"/>
  <c r="FC191" i="18"/>
  <c r="EX191" i="18"/>
  <c r="ES191" i="18"/>
  <c r="EN191" i="18"/>
  <c r="EI191" i="18"/>
  <c r="ED191" i="18"/>
  <c r="DY191" i="18"/>
  <c r="DT191" i="18"/>
  <c r="DO191" i="18"/>
  <c r="DJ191" i="18"/>
  <c r="DE191" i="18"/>
  <c r="CZ191" i="18"/>
  <c r="GN191" i="18"/>
  <c r="GH191" i="18"/>
  <c r="GA191" i="18"/>
  <c r="FT191" i="18"/>
  <c r="FN191" i="18"/>
  <c r="FG191" i="18"/>
  <c r="EZ191" i="18"/>
  <c r="ET191" i="18"/>
  <c r="EM191" i="18"/>
  <c r="EF191" i="18"/>
  <c r="DZ191" i="18"/>
  <c r="DS191" i="18"/>
  <c r="DL191" i="18"/>
  <c r="DF191" i="18"/>
  <c r="CY191" i="18"/>
  <c r="E191" i="18"/>
  <c r="AH191" i="18" s="1"/>
  <c r="AX191" i="18" s="1"/>
  <c r="GK191" i="18"/>
  <c r="GD191" i="18"/>
  <c r="FX191" i="18"/>
  <c r="FQ191" i="18"/>
  <c r="FJ191" i="18"/>
  <c r="FD191" i="18"/>
  <c r="EW191" i="18"/>
  <c r="EP191" i="18"/>
  <c r="EJ191" i="18"/>
  <c r="EC191" i="18"/>
  <c r="DV191" i="18"/>
  <c r="DP191" i="18"/>
  <c r="DI191" i="18"/>
  <c r="DB191" i="18"/>
  <c r="G191" i="18"/>
  <c r="C191" i="18"/>
  <c r="A192" i="18" s="1" a="1"/>
  <c r="A192" i="18" s="1"/>
  <c r="GM191" i="18"/>
  <c r="FY191" i="18"/>
  <c r="FL191" i="18"/>
  <c r="EY191" i="18"/>
  <c r="EK191" i="18"/>
  <c r="DX191" i="18"/>
  <c r="DK191" i="18"/>
  <c r="B192" i="18"/>
  <c r="GF191" i="18"/>
  <c r="FS191" i="18"/>
  <c r="FE191" i="18"/>
  <c r="ER191" i="18"/>
  <c r="EE191" i="18"/>
  <c r="DQ191" i="18"/>
  <c r="DD191" i="18"/>
  <c r="F191" i="18"/>
  <c r="FV191" i="18"/>
  <c r="EU191" i="18"/>
  <c r="DU191" i="18"/>
  <c r="GI191" i="18"/>
  <c r="FI191" i="18"/>
  <c r="EH191" i="18"/>
  <c r="DG191" i="18"/>
  <c r="H191" i="18"/>
  <c r="FO191" i="18"/>
  <c r="DN191" i="18"/>
  <c r="D191" i="18"/>
  <c r="EO191" i="18"/>
  <c r="GC191" i="18"/>
  <c r="EA191" i="18"/>
  <c r="DA191" i="18"/>
  <c r="FB191" i="18"/>
  <c r="BF190" i="18"/>
  <c r="AR190" i="18"/>
  <c r="AB190" i="18"/>
  <c r="AC190" i="18"/>
  <c r="AS190" i="18"/>
  <c r="Z189" i="18"/>
  <c r="V189" i="18"/>
  <c r="X189" i="18"/>
  <c r="W189" i="18"/>
  <c r="Y189" i="18"/>
  <c r="KE191" i="18"/>
  <c r="JZ191" i="18"/>
  <c r="JU191" i="18"/>
  <c r="JP191" i="18"/>
  <c r="JK191" i="18"/>
  <c r="JF191" i="18"/>
  <c r="JA191" i="18"/>
  <c r="IV191" i="18"/>
  <c r="IQ191" i="18"/>
  <c r="IL191" i="18"/>
  <c r="IG191" i="18"/>
  <c r="IB191" i="18"/>
  <c r="HW191" i="18"/>
  <c r="HR191" i="18"/>
  <c r="HM191" i="18"/>
  <c r="HH191" i="18"/>
  <c r="HC191" i="18"/>
  <c r="GX191" i="18"/>
  <c r="GS191" i="18"/>
  <c r="KF191" i="18"/>
  <c r="JY191" i="18"/>
  <c r="JR191" i="18"/>
  <c r="JL191" i="18"/>
  <c r="JE191" i="18"/>
  <c r="IX191" i="18"/>
  <c r="IR191" i="18"/>
  <c r="IK191" i="18"/>
  <c r="ID191" i="18"/>
  <c r="HX191" i="18"/>
  <c r="HQ191" i="18"/>
  <c r="HJ191" i="18"/>
  <c r="HD191" i="18"/>
  <c r="GW191" i="18"/>
  <c r="Q191" i="18"/>
  <c r="M191" i="18"/>
  <c r="K192" i="18"/>
  <c r="KB191" i="18"/>
  <c r="JV191" i="18"/>
  <c r="JO191" i="18"/>
  <c r="JH191" i="18"/>
  <c r="JB191" i="18"/>
  <c r="IU191" i="18"/>
  <c r="IN191" i="18"/>
  <c r="IH191" i="18"/>
  <c r="IA191" i="18"/>
  <c r="HT191" i="18"/>
  <c r="HN191" i="18"/>
  <c r="HG191" i="18"/>
  <c r="GZ191" i="18"/>
  <c r="GT191" i="18"/>
  <c r="KD191" i="18"/>
  <c r="JQ191" i="18"/>
  <c r="JC191" i="18"/>
  <c r="IP191" i="18"/>
  <c r="IC191" i="18"/>
  <c r="HO191" i="18"/>
  <c r="HB191" i="18"/>
  <c r="P191" i="18"/>
  <c r="JW191" i="18"/>
  <c r="JJ191" i="18"/>
  <c r="IW191" i="18"/>
  <c r="II191" i="18"/>
  <c r="HV191" i="18"/>
  <c r="HI191" i="18"/>
  <c r="GU191" i="18"/>
  <c r="N191" i="18"/>
  <c r="AP191" i="18" s="1"/>
  <c r="KA191" i="18"/>
  <c r="IZ191" i="18"/>
  <c r="HY191" i="18"/>
  <c r="GY191" i="18"/>
  <c r="JM191" i="18"/>
  <c r="IM191" i="18"/>
  <c r="HL191" i="18"/>
  <c r="JT191" i="18"/>
  <c r="HS191" i="18"/>
  <c r="IS191" i="18"/>
  <c r="GR191" i="18"/>
  <c r="KG191" i="18"/>
  <c r="IF191" i="18"/>
  <c r="L191" i="18"/>
  <c r="BF191" i="18" s="1"/>
  <c r="JG191" i="18"/>
  <c r="HE191" i="18"/>
  <c r="U190" i="18"/>
  <c r="A191" i="18" a="1"/>
  <c r="A191" i="18" s="1"/>
  <c r="I191" i="18" a="1"/>
  <c r="I191" i="18" s="1"/>
  <c r="DY107" i="16" l="1"/>
  <c r="DX107" i="16" s="1"/>
  <c r="DZ107" i="16" s="1"/>
  <c r="DT108" i="16"/>
  <c r="DS108" i="16" s="1"/>
  <c r="DU108" i="16" s="1"/>
  <c r="DW108" i="16"/>
  <c r="AF184" i="16"/>
  <c r="AV184" i="16"/>
  <c r="AW183" i="16"/>
  <c r="AG183" i="16"/>
  <c r="AN182" i="16"/>
  <c r="AO181" i="16"/>
  <c r="AC191" i="18"/>
  <c r="AS191" i="18"/>
  <c r="AR191" i="18"/>
  <c r="AB191" i="18"/>
  <c r="Y190" i="18"/>
  <c r="W190" i="18"/>
  <c r="V190" i="18"/>
  <c r="Z190" i="18"/>
  <c r="X190" i="18"/>
  <c r="KD192" i="18"/>
  <c r="JY192" i="18"/>
  <c r="JT192" i="18"/>
  <c r="JO192" i="18"/>
  <c r="JJ192" i="18"/>
  <c r="JE192" i="18"/>
  <c r="IZ192" i="18"/>
  <c r="IU192" i="18"/>
  <c r="IP192" i="18"/>
  <c r="IK192" i="18"/>
  <c r="IF192" i="18"/>
  <c r="IA192" i="18"/>
  <c r="HV192" i="18"/>
  <c r="HQ192" i="18"/>
  <c r="HL192" i="18"/>
  <c r="HG192" i="18"/>
  <c r="HB192" i="18"/>
  <c r="GW192" i="18"/>
  <c r="GR192" i="18"/>
  <c r="Q192" i="18"/>
  <c r="M192" i="18"/>
  <c r="KG192" i="18"/>
  <c r="KA192" i="18"/>
  <c r="JU192" i="18"/>
  <c r="JM192" i="18"/>
  <c r="JG192" i="18"/>
  <c r="JA192" i="18"/>
  <c r="IS192" i="18"/>
  <c r="IM192" i="18"/>
  <c r="IG192" i="18"/>
  <c r="HY192" i="18"/>
  <c r="HS192" i="18"/>
  <c r="HM192" i="18"/>
  <c r="HE192" i="18"/>
  <c r="GY192" i="18"/>
  <c r="GS192" i="18"/>
  <c r="N192" i="18"/>
  <c r="AP192" i="18" s="1"/>
  <c r="KE192" i="18"/>
  <c r="JW192" i="18"/>
  <c r="JQ192" i="18"/>
  <c r="JK192" i="18"/>
  <c r="JC192" i="18"/>
  <c r="IW192" i="18"/>
  <c r="IQ192" i="18"/>
  <c r="II192" i="18"/>
  <c r="IC192" i="18"/>
  <c r="HW192" i="18"/>
  <c r="HO192" i="18"/>
  <c r="HI192" i="18"/>
  <c r="HC192" i="18"/>
  <c r="GU192" i="18"/>
  <c r="P192" i="18"/>
  <c r="KF192" i="18"/>
  <c r="JR192" i="18"/>
  <c r="JF192" i="18"/>
  <c r="IR192" i="18"/>
  <c r="ID192" i="18"/>
  <c r="HR192" i="18"/>
  <c r="HD192" i="18"/>
  <c r="JZ192" i="18"/>
  <c r="JL192" i="18"/>
  <c r="IX192" i="18"/>
  <c r="IL192" i="18"/>
  <c r="HX192" i="18"/>
  <c r="HJ192" i="18"/>
  <c r="GX192" i="18"/>
  <c r="L192" i="18"/>
  <c r="JP192" i="18"/>
  <c r="IN192" i="18"/>
  <c r="HN192" i="18"/>
  <c r="KB192" i="18"/>
  <c r="JB192" i="18"/>
  <c r="IB192" i="18"/>
  <c r="GZ192" i="18"/>
  <c r="JV192" i="18"/>
  <c r="HT192" i="18"/>
  <c r="K193" i="18"/>
  <c r="IV192" i="18"/>
  <c r="GT192" i="18"/>
  <c r="IH192" i="18"/>
  <c r="HH192" i="18"/>
  <c r="JH192" i="18"/>
  <c r="I192" i="18" a="1"/>
  <c r="I192" i="18" s="1"/>
  <c r="GK192" i="18"/>
  <c r="GF192" i="18"/>
  <c r="GA192" i="18"/>
  <c r="FV192" i="18"/>
  <c r="FQ192" i="18"/>
  <c r="FL192" i="18"/>
  <c r="FG192" i="18"/>
  <c r="FB192" i="18"/>
  <c r="EW192" i="18"/>
  <c r="ER192" i="18"/>
  <c r="EM192" i="18"/>
  <c r="EH192" i="18"/>
  <c r="EC192" i="18"/>
  <c r="DX192" i="18"/>
  <c r="DS192" i="18"/>
  <c r="DN192" i="18"/>
  <c r="DI192" i="18"/>
  <c r="DD192" i="18"/>
  <c r="CY192" i="18"/>
  <c r="E192" i="18"/>
  <c r="AH192" i="18" s="1"/>
  <c r="AX192" i="18" s="1"/>
  <c r="GI192" i="18"/>
  <c r="GC192" i="18"/>
  <c r="FW192" i="18"/>
  <c r="FO192" i="18"/>
  <c r="FI192" i="18"/>
  <c r="FC192" i="18"/>
  <c r="EU192" i="18"/>
  <c r="EO192" i="18"/>
  <c r="EI192" i="18"/>
  <c r="EA192" i="18"/>
  <c r="DU192" i="18"/>
  <c r="DO192" i="18"/>
  <c r="DG192" i="18"/>
  <c r="DA192" i="18"/>
  <c r="H192" i="18"/>
  <c r="C192" i="18"/>
  <c r="B193" i="18"/>
  <c r="GM192" i="18"/>
  <c r="GG192" i="18"/>
  <c r="FY192" i="18"/>
  <c r="FS192" i="18"/>
  <c r="FM192" i="18"/>
  <c r="FE192" i="18"/>
  <c r="EY192" i="18"/>
  <c r="ES192" i="18"/>
  <c r="EK192" i="18"/>
  <c r="EE192" i="18"/>
  <c r="DY192" i="18"/>
  <c r="DQ192" i="18"/>
  <c r="DK192" i="18"/>
  <c r="DE192" i="18"/>
  <c r="F192" i="18"/>
  <c r="GN192" i="18"/>
  <c r="GB192" i="18"/>
  <c r="FN192" i="18"/>
  <c r="EZ192" i="18"/>
  <c r="EN192" i="18"/>
  <c r="DZ192" i="18"/>
  <c r="DL192" i="18"/>
  <c r="CZ192" i="18"/>
  <c r="G192" i="18"/>
  <c r="GH192" i="18"/>
  <c r="FT192" i="18"/>
  <c r="FH192" i="18"/>
  <c r="ET192" i="18"/>
  <c r="EF192" i="18"/>
  <c r="DT192" i="18"/>
  <c r="DF192" i="18"/>
  <c r="GL192" i="18"/>
  <c r="FJ192" i="18"/>
  <c r="EJ192" i="18"/>
  <c r="DJ192" i="18"/>
  <c r="FX192" i="18"/>
  <c r="EX192" i="18"/>
  <c r="DV192" i="18"/>
  <c r="D192" i="18"/>
  <c r="FR192" i="18"/>
  <c r="DP192" i="18"/>
  <c r="EP192" i="18"/>
  <c r="GD192" i="18"/>
  <c r="ED192" i="18"/>
  <c r="FD192" i="18"/>
  <c r="DB192" i="18"/>
  <c r="U191" i="18"/>
  <c r="DY108" i="16" l="1"/>
  <c r="DX108" i="16" s="1"/>
  <c r="DZ108" i="16" s="1"/>
  <c r="DT109" i="16"/>
  <c r="DS109" i="16" s="1"/>
  <c r="DU109" i="16" s="1"/>
  <c r="DW109" i="16"/>
  <c r="AO182" i="16"/>
  <c r="AN183" i="16"/>
  <c r="AF185" i="16"/>
  <c r="AW184" i="16"/>
  <c r="AG184" i="16"/>
  <c r="AV185" i="16"/>
  <c r="I193" i="18" a="1"/>
  <c r="I193" i="18" s="1"/>
  <c r="X191" i="18"/>
  <c r="Z191" i="18"/>
  <c r="V191" i="18"/>
  <c r="W191" i="18"/>
  <c r="Y191" i="18"/>
  <c r="GN193" i="18"/>
  <c r="GI193" i="18"/>
  <c r="GD193" i="18"/>
  <c r="FY193" i="18"/>
  <c r="FT193" i="18"/>
  <c r="FO193" i="18"/>
  <c r="FJ193" i="18"/>
  <c r="FE193" i="18"/>
  <c r="EZ193" i="18"/>
  <c r="EU193" i="18"/>
  <c r="EP193" i="18"/>
  <c r="EK193" i="18"/>
  <c r="EF193" i="18"/>
  <c r="EA193" i="18"/>
  <c r="DV193" i="18"/>
  <c r="DQ193" i="18"/>
  <c r="DL193" i="18"/>
  <c r="DG193" i="18"/>
  <c r="DB193" i="18"/>
  <c r="H193" i="18"/>
  <c r="D193" i="18"/>
  <c r="GL193" i="18"/>
  <c r="GF193" i="18"/>
  <c r="FX193" i="18"/>
  <c r="FR193" i="18"/>
  <c r="FL193" i="18"/>
  <c r="FD193" i="18"/>
  <c r="EX193" i="18"/>
  <c r="ER193" i="18"/>
  <c r="EJ193" i="18"/>
  <c r="ED193" i="18"/>
  <c r="DX193" i="18"/>
  <c r="DP193" i="18"/>
  <c r="DJ193" i="18"/>
  <c r="DD193" i="18"/>
  <c r="E193" i="18"/>
  <c r="AH193" i="18" s="1"/>
  <c r="AX193" i="18" s="1"/>
  <c r="GH193" i="18"/>
  <c r="GB193" i="18"/>
  <c r="FV193" i="18"/>
  <c r="FN193" i="18"/>
  <c r="FH193" i="18"/>
  <c r="FB193" i="18"/>
  <c r="ET193" i="18"/>
  <c r="EN193" i="18"/>
  <c r="EH193" i="18"/>
  <c r="DZ193" i="18"/>
  <c r="DT193" i="18"/>
  <c r="DN193" i="18"/>
  <c r="DF193" i="18"/>
  <c r="CZ193" i="18"/>
  <c r="G193" i="18"/>
  <c r="GM193" i="18"/>
  <c r="GA193" i="18"/>
  <c r="FM193" i="18"/>
  <c r="EY193" i="18"/>
  <c r="EM193" i="18"/>
  <c r="DY193" i="18"/>
  <c r="DK193" i="18"/>
  <c r="CY193" i="18"/>
  <c r="B194" i="18"/>
  <c r="GG193" i="18"/>
  <c r="FS193" i="18"/>
  <c r="FG193" i="18"/>
  <c r="ES193" i="18"/>
  <c r="EE193" i="18"/>
  <c r="DS193" i="18"/>
  <c r="DE193" i="18"/>
  <c r="C193" i="18"/>
  <c r="A194" i="18" s="1" a="1"/>
  <c r="A194" i="18" s="1"/>
  <c r="FW193" i="18"/>
  <c r="EW193" i="18"/>
  <c r="DU193" i="18"/>
  <c r="F193" i="18"/>
  <c r="GK193" i="18"/>
  <c r="FI193" i="18"/>
  <c r="EI193" i="18"/>
  <c r="DI193" i="18"/>
  <c r="FQ193" i="18"/>
  <c r="DO193" i="18"/>
  <c r="EO193" i="18"/>
  <c r="GC193" i="18"/>
  <c r="EC193" i="18"/>
  <c r="DA193" i="18"/>
  <c r="FC193" i="18"/>
  <c r="AC192" i="18"/>
  <c r="AB192" i="18"/>
  <c r="AR192" i="18"/>
  <c r="AS192" i="18"/>
  <c r="U192" i="18"/>
  <c r="A193" i="18" a="1"/>
  <c r="A193" i="18" s="1"/>
  <c r="BF192" i="18"/>
  <c r="K194" i="18"/>
  <c r="KG193" i="18"/>
  <c r="KB193" i="18"/>
  <c r="JW193" i="18"/>
  <c r="JR193" i="18"/>
  <c r="JM193" i="18"/>
  <c r="JH193" i="18"/>
  <c r="JC193" i="18"/>
  <c r="IX193" i="18"/>
  <c r="IS193" i="18"/>
  <c r="IN193" i="18"/>
  <c r="II193" i="18"/>
  <c r="ID193" i="18"/>
  <c r="HY193" i="18"/>
  <c r="HT193" i="18"/>
  <c r="HO193" i="18"/>
  <c r="HJ193" i="18"/>
  <c r="HE193" i="18"/>
  <c r="GZ193" i="18"/>
  <c r="GU193" i="18"/>
  <c r="P193" i="18"/>
  <c r="L193" i="18"/>
  <c r="BF193" i="18" s="1"/>
  <c r="KD193" i="18"/>
  <c r="JV193" i="18"/>
  <c r="JP193" i="18"/>
  <c r="JJ193" i="18"/>
  <c r="JB193" i="18"/>
  <c r="IV193" i="18"/>
  <c r="IP193" i="18"/>
  <c r="IH193" i="18"/>
  <c r="IB193" i="18"/>
  <c r="HV193" i="18"/>
  <c r="HN193" i="18"/>
  <c r="HH193" i="18"/>
  <c r="HB193" i="18"/>
  <c r="GT193" i="18"/>
  <c r="KF193" i="18"/>
  <c r="JZ193" i="18"/>
  <c r="JT193" i="18"/>
  <c r="JL193" i="18"/>
  <c r="JF193" i="18"/>
  <c r="IZ193" i="18"/>
  <c r="IR193" i="18"/>
  <c r="IL193" i="18"/>
  <c r="IF193" i="18"/>
  <c r="HX193" i="18"/>
  <c r="HR193" i="18"/>
  <c r="HL193" i="18"/>
  <c r="HD193" i="18"/>
  <c r="GX193" i="18"/>
  <c r="GR193" i="18"/>
  <c r="M193" i="18"/>
  <c r="KE193" i="18"/>
  <c r="JQ193" i="18"/>
  <c r="JE193" i="18"/>
  <c r="IQ193" i="18"/>
  <c r="IC193" i="18"/>
  <c r="HQ193" i="18"/>
  <c r="HC193" i="18"/>
  <c r="Q193" i="18"/>
  <c r="JY193" i="18"/>
  <c r="JK193" i="18"/>
  <c r="IW193" i="18"/>
  <c r="IK193" i="18"/>
  <c r="HW193" i="18"/>
  <c r="HI193" i="18"/>
  <c r="GW193" i="18"/>
  <c r="N193" i="18"/>
  <c r="AP193" i="18" s="1"/>
  <c r="KA193" i="18"/>
  <c r="JA193" i="18"/>
  <c r="IA193" i="18"/>
  <c r="GY193" i="18"/>
  <c r="JO193" i="18"/>
  <c r="IM193" i="18"/>
  <c r="HM193" i="18"/>
  <c r="JU193" i="18"/>
  <c r="HS193" i="18"/>
  <c r="IU193" i="18"/>
  <c r="GS193" i="18"/>
  <c r="IG193" i="18"/>
  <c r="JG193" i="18"/>
  <c r="HG193" i="18"/>
  <c r="DY109" i="16" l="1"/>
  <c r="DX109" i="16" s="1"/>
  <c r="DZ109" i="16" s="1"/>
  <c r="DW110" i="16"/>
  <c r="DT110" i="16"/>
  <c r="DS110" i="16" s="1"/>
  <c r="DU110" i="16" s="1"/>
  <c r="AN184" i="16"/>
  <c r="AO183" i="16"/>
  <c r="AG185" i="16"/>
  <c r="AV186" i="16"/>
  <c r="AW185" i="16"/>
  <c r="AF186" i="16"/>
  <c r="KF194" i="18"/>
  <c r="KA194" i="18"/>
  <c r="JV194" i="18"/>
  <c r="JQ194" i="18"/>
  <c r="JL194" i="18"/>
  <c r="JG194" i="18"/>
  <c r="JB194" i="18"/>
  <c r="IW194" i="18"/>
  <c r="IR194" i="18"/>
  <c r="IM194" i="18"/>
  <c r="IH194" i="18"/>
  <c r="IC194" i="18"/>
  <c r="HX194" i="18"/>
  <c r="HS194" i="18"/>
  <c r="HN194" i="18"/>
  <c r="HI194" i="18"/>
  <c r="HD194" i="18"/>
  <c r="GY194" i="18"/>
  <c r="GT194" i="18"/>
  <c r="KD194" i="18"/>
  <c r="JY194" i="18"/>
  <c r="JT194" i="18"/>
  <c r="JO194" i="18"/>
  <c r="JJ194" i="18"/>
  <c r="JE194" i="18"/>
  <c r="IZ194" i="18"/>
  <c r="IU194" i="18"/>
  <c r="IP194" i="18"/>
  <c r="IK194" i="18"/>
  <c r="IF194" i="18"/>
  <c r="IA194" i="18"/>
  <c r="HV194" i="18"/>
  <c r="HQ194" i="18"/>
  <c r="HL194" i="18"/>
  <c r="HG194" i="18"/>
  <c r="HB194" i="18"/>
  <c r="GW194" i="18"/>
  <c r="GR194" i="18"/>
  <c r="KE194" i="18"/>
  <c r="JU194" i="18"/>
  <c r="JK194" i="18"/>
  <c r="JA194" i="18"/>
  <c r="IQ194" i="18"/>
  <c r="IG194" i="18"/>
  <c r="HW194" i="18"/>
  <c r="HM194" i="18"/>
  <c r="HC194" i="18"/>
  <c r="GS194" i="18"/>
  <c r="P194" i="18"/>
  <c r="L194" i="18"/>
  <c r="BF194" i="18" s="1"/>
  <c r="JZ194" i="18"/>
  <c r="JP194" i="18"/>
  <c r="JF194" i="18"/>
  <c r="IV194" i="18"/>
  <c r="IL194" i="18"/>
  <c r="IB194" i="18"/>
  <c r="HR194" i="18"/>
  <c r="HH194" i="18"/>
  <c r="GX194" i="18"/>
  <c r="N194" i="18"/>
  <c r="AP194" i="18" s="1"/>
  <c r="KG194" i="18"/>
  <c r="JM194" i="18"/>
  <c r="IS194" i="18"/>
  <c r="HY194" i="18"/>
  <c r="HE194" i="18"/>
  <c r="Q194" i="18"/>
  <c r="JW194" i="18"/>
  <c r="JC194" i="18"/>
  <c r="II194" i="18"/>
  <c r="HO194" i="18"/>
  <c r="GU194" i="18"/>
  <c r="M194" i="18"/>
  <c r="K195" i="18"/>
  <c r="JH194" i="18"/>
  <c r="HT194" i="18"/>
  <c r="KB194" i="18"/>
  <c r="IN194" i="18"/>
  <c r="GZ194" i="18"/>
  <c r="JR194" i="18"/>
  <c r="ID194" i="18"/>
  <c r="HJ194" i="18"/>
  <c r="IX194" i="18"/>
  <c r="I194" i="18" a="1"/>
  <c r="I194" i="18" s="1"/>
  <c r="X192" i="18"/>
  <c r="V192" i="18"/>
  <c r="Y192" i="18"/>
  <c r="Z192" i="18"/>
  <c r="W192" i="18"/>
  <c r="AB193" i="18"/>
  <c r="AS193" i="18"/>
  <c r="AR193" i="18"/>
  <c r="AC193" i="18"/>
  <c r="I195" i="18" a="1"/>
  <c r="I195" i="18" s="1"/>
  <c r="U193" i="18"/>
  <c r="B195" i="18"/>
  <c r="GM194" i="18"/>
  <c r="GH194" i="18"/>
  <c r="GC194" i="18"/>
  <c r="FX194" i="18"/>
  <c r="FS194" i="18"/>
  <c r="FN194" i="18"/>
  <c r="FI194" i="18"/>
  <c r="FD194" i="18"/>
  <c r="EY194" i="18"/>
  <c r="ET194" i="18"/>
  <c r="EO194" i="18"/>
  <c r="EJ194" i="18"/>
  <c r="EE194" i="18"/>
  <c r="DZ194" i="18"/>
  <c r="DU194" i="18"/>
  <c r="DP194" i="18"/>
  <c r="DK194" i="18"/>
  <c r="DF194" i="18"/>
  <c r="DA194" i="18"/>
  <c r="G194" i="18"/>
  <c r="C194" i="18"/>
  <c r="GK194" i="18"/>
  <c r="GF194" i="18"/>
  <c r="GA194" i="18"/>
  <c r="FV194" i="18"/>
  <c r="FQ194" i="18"/>
  <c r="FL194" i="18"/>
  <c r="FG194" i="18"/>
  <c r="FB194" i="18"/>
  <c r="EW194" i="18"/>
  <c r="ER194" i="18"/>
  <c r="EM194" i="18"/>
  <c r="EH194" i="18"/>
  <c r="EC194" i="18"/>
  <c r="DX194" i="18"/>
  <c r="GG194" i="18"/>
  <c r="FW194" i="18"/>
  <c r="FM194" i="18"/>
  <c r="FC194" i="18"/>
  <c r="ES194" i="18"/>
  <c r="EI194" i="18"/>
  <c r="DY194" i="18"/>
  <c r="DQ194" i="18"/>
  <c r="DJ194" i="18"/>
  <c r="DD194" i="18"/>
  <c r="F194" i="18"/>
  <c r="GL194" i="18"/>
  <c r="GB194" i="18"/>
  <c r="FR194" i="18"/>
  <c r="FH194" i="18"/>
  <c r="EX194" i="18"/>
  <c r="EN194" i="18"/>
  <c r="ED194" i="18"/>
  <c r="DT194" i="18"/>
  <c r="DN194" i="18"/>
  <c r="DG194" i="18"/>
  <c r="CZ194" i="18"/>
  <c r="D194" i="18"/>
  <c r="GI194" i="18"/>
  <c r="FO194" i="18"/>
  <c r="EU194" i="18"/>
  <c r="EA194" i="18"/>
  <c r="DL194" i="18"/>
  <c r="CY194" i="18"/>
  <c r="H194" i="18"/>
  <c r="FY194" i="18"/>
  <c r="FE194" i="18"/>
  <c r="EK194" i="18"/>
  <c r="DS194" i="18"/>
  <c r="DE194" i="18"/>
  <c r="GD194" i="18"/>
  <c r="EP194" i="18"/>
  <c r="DI194" i="18"/>
  <c r="FJ194" i="18"/>
  <c r="DV194" i="18"/>
  <c r="E194" i="18"/>
  <c r="AH194" i="18" s="1"/>
  <c r="AX194" i="18" s="1"/>
  <c r="GN194" i="18"/>
  <c r="DO194" i="18"/>
  <c r="EZ194" i="18"/>
  <c r="EF194" i="18"/>
  <c r="FT194" i="18"/>
  <c r="DB194" i="18"/>
  <c r="DT111" i="16" l="1"/>
  <c r="DS111" i="16" s="1"/>
  <c r="DU111" i="16" s="1"/>
  <c r="DY110" i="16"/>
  <c r="DX110" i="16" s="1"/>
  <c r="DZ110" i="16" s="1"/>
  <c r="DW111" i="16"/>
  <c r="AN185" i="16"/>
  <c r="AO184" i="16"/>
  <c r="AV187" i="16"/>
  <c r="AG186" i="16"/>
  <c r="AF187" i="16"/>
  <c r="AW186" i="16"/>
  <c r="GL195" i="18"/>
  <c r="GG195" i="18"/>
  <c r="GB195" i="18"/>
  <c r="FW195" i="18"/>
  <c r="FR195" i="18"/>
  <c r="B196" i="18"/>
  <c r="GM195" i="18"/>
  <c r="GF195" i="18"/>
  <c r="FY195" i="18"/>
  <c r="FS195" i="18"/>
  <c r="FM195" i="18"/>
  <c r="FH195" i="18"/>
  <c r="FC195" i="18"/>
  <c r="EX195" i="18"/>
  <c r="ES195" i="18"/>
  <c r="EN195" i="18"/>
  <c r="EI195" i="18"/>
  <c r="ED195" i="18"/>
  <c r="DY195" i="18"/>
  <c r="DT195" i="18"/>
  <c r="DO195" i="18"/>
  <c r="DJ195" i="18"/>
  <c r="DE195" i="18"/>
  <c r="CZ195" i="18"/>
  <c r="F195" i="18"/>
  <c r="GI195" i="18"/>
  <c r="GC195" i="18"/>
  <c r="FV195" i="18"/>
  <c r="FO195" i="18"/>
  <c r="FJ195" i="18"/>
  <c r="FE195" i="18"/>
  <c r="EZ195" i="18"/>
  <c r="EU195" i="18"/>
  <c r="EP195" i="18"/>
  <c r="EK195" i="18"/>
  <c r="EF195" i="18"/>
  <c r="EA195" i="18"/>
  <c r="DV195" i="18"/>
  <c r="DQ195" i="18"/>
  <c r="DL195" i="18"/>
  <c r="DG195" i="18"/>
  <c r="DB195" i="18"/>
  <c r="H195" i="18"/>
  <c r="D195" i="18"/>
  <c r="GK195" i="18"/>
  <c r="FX195" i="18"/>
  <c r="FL195" i="18"/>
  <c r="FB195" i="18"/>
  <c r="ER195" i="18"/>
  <c r="EH195" i="18"/>
  <c r="DX195" i="18"/>
  <c r="DN195" i="18"/>
  <c r="DD195" i="18"/>
  <c r="E195" i="18"/>
  <c r="AH195" i="18" s="1"/>
  <c r="AX195" i="18" s="1"/>
  <c r="GD195" i="18"/>
  <c r="FQ195" i="18"/>
  <c r="FG195" i="18"/>
  <c r="EW195" i="18"/>
  <c r="EM195" i="18"/>
  <c r="EC195" i="18"/>
  <c r="DS195" i="18"/>
  <c r="DI195" i="18"/>
  <c r="CY195" i="18"/>
  <c r="GA195" i="18"/>
  <c r="FD195" i="18"/>
  <c r="EJ195" i="18"/>
  <c r="DP195" i="18"/>
  <c r="GN195" i="18"/>
  <c r="FN195" i="18"/>
  <c r="ET195" i="18"/>
  <c r="DZ195" i="18"/>
  <c r="DF195" i="18"/>
  <c r="G195" i="18"/>
  <c r="FI195" i="18"/>
  <c r="DU195" i="18"/>
  <c r="GH195" i="18"/>
  <c r="EO195" i="18"/>
  <c r="DA195" i="18"/>
  <c r="FT195" i="18"/>
  <c r="EE195" i="18"/>
  <c r="DK195" i="18"/>
  <c r="C195" i="18"/>
  <c r="EY195" i="18"/>
  <c r="AS194" i="18"/>
  <c r="AR194" i="18"/>
  <c r="AB194" i="18"/>
  <c r="AC194" i="18"/>
  <c r="W193" i="18"/>
  <c r="X193" i="18"/>
  <c r="Z193" i="18"/>
  <c r="Y193" i="18"/>
  <c r="V193" i="18"/>
  <c r="U194" i="18"/>
  <c r="A195" i="18" a="1"/>
  <c r="A195" i="18" s="1"/>
  <c r="KE195" i="18"/>
  <c r="JZ195" i="18"/>
  <c r="JU195" i="18"/>
  <c r="JP195" i="18"/>
  <c r="JK195" i="18"/>
  <c r="JF195" i="18"/>
  <c r="JA195" i="18"/>
  <c r="IV195" i="18"/>
  <c r="IQ195" i="18"/>
  <c r="IL195" i="18"/>
  <c r="IG195" i="18"/>
  <c r="IB195" i="18"/>
  <c r="HW195" i="18"/>
  <c r="HR195" i="18"/>
  <c r="HM195" i="18"/>
  <c r="HH195" i="18"/>
  <c r="HC195" i="18"/>
  <c r="GX195" i="18"/>
  <c r="GS195" i="18"/>
  <c r="KD195" i="18"/>
  <c r="JW195" i="18"/>
  <c r="JQ195" i="18"/>
  <c r="JJ195" i="18"/>
  <c r="JC195" i="18"/>
  <c r="IW195" i="18"/>
  <c r="IP195" i="18"/>
  <c r="II195" i="18"/>
  <c r="IC195" i="18"/>
  <c r="HV195" i="18"/>
  <c r="HO195" i="18"/>
  <c r="HI195" i="18"/>
  <c r="HB195" i="18"/>
  <c r="GU195" i="18"/>
  <c r="N195" i="18"/>
  <c r="AP195" i="18" s="1"/>
  <c r="KG195" i="18"/>
  <c r="KA195" i="18"/>
  <c r="JT195" i="18"/>
  <c r="JM195" i="18"/>
  <c r="JG195" i="18"/>
  <c r="IZ195" i="18"/>
  <c r="IS195" i="18"/>
  <c r="IM195" i="18"/>
  <c r="IF195" i="18"/>
  <c r="HY195" i="18"/>
  <c r="HS195" i="18"/>
  <c r="HL195" i="18"/>
  <c r="HE195" i="18"/>
  <c r="GY195" i="18"/>
  <c r="GR195" i="18"/>
  <c r="P195" i="18"/>
  <c r="L195" i="18"/>
  <c r="BF195" i="18" s="1"/>
  <c r="KB195" i="18"/>
  <c r="JO195" i="18"/>
  <c r="JB195" i="18"/>
  <c r="IN195" i="18"/>
  <c r="IA195" i="18"/>
  <c r="HN195" i="18"/>
  <c r="GZ195" i="18"/>
  <c r="M195" i="18"/>
  <c r="K196" i="18"/>
  <c r="JV195" i="18"/>
  <c r="JH195" i="18"/>
  <c r="IU195" i="18"/>
  <c r="IH195" i="18"/>
  <c r="HT195" i="18"/>
  <c r="HG195" i="18"/>
  <c r="GT195" i="18"/>
  <c r="Q195" i="18"/>
  <c r="KF195" i="18"/>
  <c r="JE195" i="18"/>
  <c r="ID195" i="18"/>
  <c r="HD195" i="18"/>
  <c r="JR195" i="18"/>
  <c r="IR195" i="18"/>
  <c r="HQ195" i="18"/>
  <c r="JL195" i="18"/>
  <c r="HJ195" i="18"/>
  <c r="IK195" i="18"/>
  <c r="JY195" i="18"/>
  <c r="HX195" i="18"/>
  <c r="GW195" i="18"/>
  <c r="IX195" i="18"/>
  <c r="DY111" i="16" l="1"/>
  <c r="DX111" i="16" s="1"/>
  <c r="DZ111" i="16" s="1"/>
  <c r="DT112" i="16"/>
  <c r="DS112" i="16" s="1"/>
  <c r="DU112" i="16" s="1"/>
  <c r="DW112" i="16"/>
  <c r="AF188" i="16"/>
  <c r="AG187" i="16"/>
  <c r="AW187" i="16"/>
  <c r="AV188" i="16"/>
  <c r="AN186" i="16"/>
  <c r="AO185" i="16"/>
  <c r="Z194" i="18"/>
  <c r="V194" i="18"/>
  <c r="X194" i="18"/>
  <c r="Y194" i="18"/>
  <c r="W194" i="18"/>
  <c r="AR195" i="18"/>
  <c r="AB195" i="18"/>
  <c r="AS195" i="18"/>
  <c r="AC195" i="18"/>
  <c r="KD196" i="18"/>
  <c r="JY196" i="18"/>
  <c r="JT196" i="18"/>
  <c r="JO196" i="18"/>
  <c r="JJ196" i="18"/>
  <c r="JE196" i="18"/>
  <c r="IZ196" i="18"/>
  <c r="IU196" i="18"/>
  <c r="IP196" i="18"/>
  <c r="IK196" i="18"/>
  <c r="IF196" i="18"/>
  <c r="IA196" i="18"/>
  <c r="HV196" i="18"/>
  <c r="HQ196" i="18"/>
  <c r="HL196" i="18"/>
  <c r="HG196" i="18"/>
  <c r="HB196" i="18"/>
  <c r="GW196" i="18"/>
  <c r="GR196" i="18"/>
  <c r="K197" i="18"/>
  <c r="KB196" i="18"/>
  <c r="JV196" i="18"/>
  <c r="JP196" i="18"/>
  <c r="JH196" i="18"/>
  <c r="JB196" i="18"/>
  <c r="IV196" i="18"/>
  <c r="IN196" i="18"/>
  <c r="IH196" i="18"/>
  <c r="IB196" i="18"/>
  <c r="HT196" i="18"/>
  <c r="HN196" i="18"/>
  <c r="HH196" i="18"/>
  <c r="GZ196" i="18"/>
  <c r="GT196" i="18"/>
  <c r="Q196" i="18"/>
  <c r="M196" i="18"/>
  <c r="KF196" i="18"/>
  <c r="JW196" i="18"/>
  <c r="JM196" i="18"/>
  <c r="JF196" i="18"/>
  <c r="IW196" i="18"/>
  <c r="IM196" i="18"/>
  <c r="ID196" i="18"/>
  <c r="HW196" i="18"/>
  <c r="HM196" i="18"/>
  <c r="HD196" i="18"/>
  <c r="GU196" i="18"/>
  <c r="L196" i="18"/>
  <c r="I197" i="18" s="1" a="1"/>
  <c r="I197" i="18" s="1"/>
  <c r="KA196" i="18"/>
  <c r="JR196" i="18"/>
  <c r="JK196" i="18"/>
  <c r="JA196" i="18"/>
  <c r="IR196" i="18"/>
  <c r="II196" i="18"/>
  <c r="HY196" i="18"/>
  <c r="HR196" i="18"/>
  <c r="HI196" i="18"/>
  <c r="GY196" i="18"/>
  <c r="JZ196" i="18"/>
  <c r="JG196" i="18"/>
  <c r="IQ196" i="18"/>
  <c r="HX196" i="18"/>
  <c r="HE196" i="18"/>
  <c r="KG196" i="18"/>
  <c r="JQ196" i="18"/>
  <c r="IX196" i="18"/>
  <c r="IG196" i="18"/>
  <c r="HO196" i="18"/>
  <c r="GX196" i="18"/>
  <c r="JU196" i="18"/>
  <c r="IL196" i="18"/>
  <c r="HC196" i="18"/>
  <c r="JC196" i="18"/>
  <c r="HS196" i="18"/>
  <c r="IC196" i="18"/>
  <c r="JL196" i="18"/>
  <c r="GS196" i="18"/>
  <c r="HJ196" i="18"/>
  <c r="KE196" i="18"/>
  <c r="IS196" i="18"/>
  <c r="N196" i="18"/>
  <c r="AP196" i="18" s="1"/>
  <c r="P196" i="18"/>
  <c r="U195" i="18"/>
  <c r="GK196" i="18"/>
  <c r="GF196" i="18"/>
  <c r="GA196" i="18"/>
  <c r="FV196" i="18"/>
  <c r="FQ196" i="18"/>
  <c r="FL196" i="18"/>
  <c r="FG196" i="18"/>
  <c r="FB196" i="18"/>
  <c r="EW196" i="18"/>
  <c r="ER196" i="18"/>
  <c r="EM196" i="18"/>
  <c r="EH196" i="18"/>
  <c r="EC196" i="18"/>
  <c r="GL196" i="18"/>
  <c r="GD196" i="18"/>
  <c r="FX196" i="18"/>
  <c r="FR196" i="18"/>
  <c r="FJ196" i="18"/>
  <c r="FD196" i="18"/>
  <c r="EX196" i="18"/>
  <c r="EP196" i="18"/>
  <c r="EJ196" i="18"/>
  <c r="ED196" i="18"/>
  <c r="DX196" i="18"/>
  <c r="DS196" i="18"/>
  <c r="DN196" i="18"/>
  <c r="DI196" i="18"/>
  <c r="DD196" i="18"/>
  <c r="CY196" i="18"/>
  <c r="E196" i="18"/>
  <c r="AH196" i="18" s="1"/>
  <c r="AX196" i="18" s="1"/>
  <c r="GI196" i="18"/>
  <c r="GB196" i="18"/>
  <c r="FS196" i="18"/>
  <c r="FI196" i="18"/>
  <c r="EZ196" i="18"/>
  <c r="ES196" i="18"/>
  <c r="EI196" i="18"/>
  <c r="DZ196" i="18"/>
  <c r="DT196" i="18"/>
  <c r="DL196" i="18"/>
  <c r="DF196" i="18"/>
  <c r="CZ196" i="18"/>
  <c r="G196" i="18"/>
  <c r="B197" i="18"/>
  <c r="GN196" i="18"/>
  <c r="GG196" i="18"/>
  <c r="FW196" i="18"/>
  <c r="FN196" i="18"/>
  <c r="FE196" i="18"/>
  <c r="EU196" i="18"/>
  <c r="EN196" i="18"/>
  <c r="EE196" i="18"/>
  <c r="DV196" i="18"/>
  <c r="DP196" i="18"/>
  <c r="DJ196" i="18"/>
  <c r="DB196" i="18"/>
  <c r="D196" i="18"/>
  <c r="GM196" i="18"/>
  <c r="FT196" i="18"/>
  <c r="FC196" i="18"/>
  <c r="EK196" i="18"/>
  <c r="DU196" i="18"/>
  <c r="DG196" i="18"/>
  <c r="F196" i="18"/>
  <c r="GC196" i="18"/>
  <c r="FM196" i="18"/>
  <c r="ET196" i="18"/>
  <c r="EA196" i="18"/>
  <c r="DO196" i="18"/>
  <c r="DA196" i="18"/>
  <c r="FO196" i="18"/>
  <c r="EF196" i="18"/>
  <c r="DE196" i="18"/>
  <c r="GH196" i="18"/>
  <c r="EY196" i="18"/>
  <c r="DQ196" i="18"/>
  <c r="H196" i="18"/>
  <c r="FH196" i="18"/>
  <c r="DY196" i="18"/>
  <c r="C196" i="18"/>
  <c r="EO196" i="18"/>
  <c r="DK196" i="18"/>
  <c r="FY196" i="18"/>
  <c r="I196" i="18" a="1"/>
  <c r="I196" i="18" s="1"/>
  <c r="A196" i="18" a="1"/>
  <c r="A196" i="18" s="1"/>
  <c r="DY112" i="16" l="1"/>
  <c r="DX112" i="16" s="1"/>
  <c r="DZ112" i="16" s="1"/>
  <c r="DW113" i="16"/>
  <c r="DT113" i="16"/>
  <c r="DS113" i="16" s="1"/>
  <c r="DU113" i="16" s="1"/>
  <c r="AO186" i="16"/>
  <c r="AN187" i="16"/>
  <c r="AV189" i="16"/>
  <c r="AW188" i="16"/>
  <c r="AF189" i="16"/>
  <c r="AG188" i="16"/>
  <c r="AC196" i="18"/>
  <c r="AS196" i="18"/>
  <c r="AB196" i="18"/>
  <c r="AR196" i="18"/>
  <c r="GN197" i="18"/>
  <c r="GI197" i="18"/>
  <c r="GD197" i="18"/>
  <c r="FY197" i="18"/>
  <c r="FT197" i="18"/>
  <c r="FO197" i="18"/>
  <c r="FJ197" i="18"/>
  <c r="FE197" i="18"/>
  <c r="EZ197" i="18"/>
  <c r="EU197" i="18"/>
  <c r="EP197" i="18"/>
  <c r="EK197" i="18"/>
  <c r="EF197" i="18"/>
  <c r="EA197" i="18"/>
  <c r="DV197" i="18"/>
  <c r="DQ197" i="18"/>
  <c r="DL197" i="18"/>
  <c r="DG197" i="18"/>
  <c r="DB197" i="18"/>
  <c r="H197" i="18"/>
  <c r="D197" i="18"/>
  <c r="B198" i="18"/>
  <c r="GM197" i="18"/>
  <c r="GG197" i="18"/>
  <c r="GA197" i="18"/>
  <c r="FS197" i="18"/>
  <c r="FM197" i="18"/>
  <c r="FG197" i="18"/>
  <c r="EY197" i="18"/>
  <c r="ES197" i="18"/>
  <c r="EM197" i="18"/>
  <c r="EE197" i="18"/>
  <c r="DY197" i="18"/>
  <c r="DS197" i="18"/>
  <c r="DK197" i="18"/>
  <c r="DE197" i="18"/>
  <c r="CY197" i="18"/>
  <c r="F197" i="18"/>
  <c r="GH197" i="18"/>
  <c r="FX197" i="18"/>
  <c r="FQ197" i="18"/>
  <c r="FH197" i="18"/>
  <c r="EX197" i="18"/>
  <c r="EO197" i="18"/>
  <c r="EH197" i="18"/>
  <c r="DX197" i="18"/>
  <c r="DO197" i="18"/>
  <c r="DF197" i="18"/>
  <c r="E197" i="18"/>
  <c r="AH197" i="18" s="1"/>
  <c r="AX197" i="18" s="1"/>
  <c r="GL197" i="18"/>
  <c r="GC197" i="18"/>
  <c r="FV197" i="18"/>
  <c r="FL197" i="18"/>
  <c r="FC197" i="18"/>
  <c r="ET197" i="18"/>
  <c r="EJ197" i="18"/>
  <c r="EC197" i="18"/>
  <c r="DT197" i="18"/>
  <c r="DJ197" i="18"/>
  <c r="DA197" i="18"/>
  <c r="GF197" i="18"/>
  <c r="FN197" i="18"/>
  <c r="EW197" i="18"/>
  <c r="ED197" i="18"/>
  <c r="DN197" i="18"/>
  <c r="G197" i="18"/>
  <c r="FW197" i="18"/>
  <c r="FD197" i="18"/>
  <c r="EN197" i="18"/>
  <c r="DU197" i="18"/>
  <c r="DD197" i="18"/>
  <c r="FI197" i="18"/>
  <c r="DZ197" i="18"/>
  <c r="GB197" i="18"/>
  <c r="ER197" i="18"/>
  <c r="DI197" i="18"/>
  <c r="C197" i="18"/>
  <c r="A198" i="18" s="1" a="1"/>
  <c r="A198" i="18" s="1"/>
  <c r="FR197" i="18"/>
  <c r="CZ197" i="18"/>
  <c r="EI197" i="18"/>
  <c r="FB197" i="18"/>
  <c r="DP197" i="18"/>
  <c r="GK197" i="18"/>
  <c r="K198" i="18"/>
  <c r="KG197" i="18"/>
  <c r="KB197" i="18"/>
  <c r="JW197" i="18"/>
  <c r="JR197" i="18"/>
  <c r="JM197" i="18"/>
  <c r="JH197" i="18"/>
  <c r="JC197" i="18"/>
  <c r="IX197" i="18"/>
  <c r="IS197" i="18"/>
  <c r="IN197" i="18"/>
  <c r="II197" i="18"/>
  <c r="ID197" i="18"/>
  <c r="HY197" i="18"/>
  <c r="HT197" i="18"/>
  <c r="HO197" i="18"/>
  <c r="HJ197" i="18"/>
  <c r="HE197" i="18"/>
  <c r="GZ197" i="18"/>
  <c r="GU197" i="18"/>
  <c r="P197" i="18"/>
  <c r="L197" i="18"/>
  <c r="BF197" i="18" s="1"/>
  <c r="KE197" i="18"/>
  <c r="JY197" i="18"/>
  <c r="JQ197" i="18"/>
  <c r="JK197" i="18"/>
  <c r="JE197" i="18"/>
  <c r="IW197" i="18"/>
  <c r="IQ197" i="18"/>
  <c r="IK197" i="18"/>
  <c r="IC197" i="18"/>
  <c r="HW197" i="18"/>
  <c r="HQ197" i="18"/>
  <c r="HI197" i="18"/>
  <c r="HC197" i="18"/>
  <c r="GW197" i="18"/>
  <c r="Q197" i="18"/>
  <c r="KD197" i="18"/>
  <c r="JU197" i="18"/>
  <c r="JL197" i="18"/>
  <c r="JB197" i="18"/>
  <c r="IU197" i="18"/>
  <c r="IL197" i="18"/>
  <c r="IB197" i="18"/>
  <c r="HS197" i="18"/>
  <c r="HL197" i="18"/>
  <c r="HB197" i="18"/>
  <c r="GS197" i="18"/>
  <c r="M197" i="18"/>
  <c r="JZ197" i="18"/>
  <c r="JP197" i="18"/>
  <c r="JG197" i="18"/>
  <c r="IZ197" i="18"/>
  <c r="IP197" i="18"/>
  <c r="IG197" i="18"/>
  <c r="HX197" i="18"/>
  <c r="HN197" i="18"/>
  <c r="HG197" i="18"/>
  <c r="GX197" i="18"/>
  <c r="JT197" i="18"/>
  <c r="JA197" i="18"/>
  <c r="IH197" i="18"/>
  <c r="HR197" i="18"/>
  <c r="GY197" i="18"/>
  <c r="KA197" i="18"/>
  <c r="JJ197" i="18"/>
  <c r="IR197" i="18"/>
  <c r="IA197" i="18"/>
  <c r="HH197" i="18"/>
  <c r="GR197" i="18"/>
  <c r="N197" i="18"/>
  <c r="AP197" i="18" s="1"/>
  <c r="JO197" i="18"/>
  <c r="IF197" i="18"/>
  <c r="GT197" i="18"/>
  <c r="KF197" i="18"/>
  <c r="IV197" i="18"/>
  <c r="HM197" i="18"/>
  <c r="IM197" i="18"/>
  <c r="JV197" i="18"/>
  <c r="HD197" i="18"/>
  <c r="HV197" i="18"/>
  <c r="JF197" i="18"/>
  <c r="BF196" i="18"/>
  <c r="Y195" i="18"/>
  <c r="W195" i="18"/>
  <c r="X195" i="18"/>
  <c r="Z195" i="18"/>
  <c r="V195" i="18"/>
  <c r="U196" i="18"/>
  <c r="A197" i="18" a="1"/>
  <c r="A197" i="18" s="1"/>
  <c r="DT114" i="16" l="1"/>
  <c r="DS114" i="16" s="1"/>
  <c r="DU114" i="16" s="1"/>
  <c r="DY113" i="16"/>
  <c r="DX113" i="16" s="1"/>
  <c r="DZ113" i="16" s="1"/>
  <c r="DW114" i="16"/>
  <c r="AN188" i="16"/>
  <c r="AO187" i="16"/>
  <c r="AW189" i="16"/>
  <c r="AG189" i="16"/>
  <c r="AF190" i="16"/>
  <c r="AV190" i="16"/>
  <c r="GM198" i="18"/>
  <c r="GH198" i="18"/>
  <c r="GC198" i="18"/>
  <c r="FX198" i="18"/>
  <c r="FS198" i="18"/>
  <c r="FN198" i="18"/>
  <c r="FI198" i="18"/>
  <c r="FD198" i="18"/>
  <c r="EY198" i="18"/>
  <c r="ET198" i="18"/>
  <c r="EO198" i="18"/>
  <c r="EJ198" i="18"/>
  <c r="EE198" i="18"/>
  <c r="DZ198" i="18"/>
  <c r="DU198" i="18"/>
  <c r="DP198" i="18"/>
  <c r="DK198" i="18"/>
  <c r="DF198" i="18"/>
  <c r="DA198" i="18"/>
  <c r="G198" i="18"/>
  <c r="C198" i="18"/>
  <c r="GN198" i="18"/>
  <c r="GG198" i="18"/>
  <c r="GA198" i="18"/>
  <c r="FT198" i="18"/>
  <c r="FM198" i="18"/>
  <c r="FG198" i="18"/>
  <c r="EZ198" i="18"/>
  <c r="ES198" i="18"/>
  <c r="EM198" i="18"/>
  <c r="EF198" i="18"/>
  <c r="DY198" i="18"/>
  <c r="DS198" i="18"/>
  <c r="DL198" i="18"/>
  <c r="DE198" i="18"/>
  <c r="CY198" i="18"/>
  <c r="H198" i="18"/>
  <c r="GL198" i="18"/>
  <c r="GD198" i="18"/>
  <c r="FV198" i="18"/>
  <c r="FL198" i="18"/>
  <c r="FC198" i="18"/>
  <c r="EU198" i="18"/>
  <c r="EK198" i="18"/>
  <c r="EC198" i="18"/>
  <c r="DT198" i="18"/>
  <c r="DJ198" i="18"/>
  <c r="DB198" i="18"/>
  <c r="D198" i="18"/>
  <c r="GI198" i="18"/>
  <c r="FY198" i="18"/>
  <c r="FQ198" i="18"/>
  <c r="FH198" i="18"/>
  <c r="EX198" i="18"/>
  <c r="EP198" i="18"/>
  <c r="EH198" i="18"/>
  <c r="DX198" i="18"/>
  <c r="DO198" i="18"/>
  <c r="DG198" i="18"/>
  <c r="F198" i="18"/>
  <c r="GB198" i="18"/>
  <c r="FJ198" i="18"/>
  <c r="ER198" i="18"/>
  <c r="EA198" i="18"/>
  <c r="DI198" i="18"/>
  <c r="GK198" i="18"/>
  <c r="FR198" i="18"/>
  <c r="FB198" i="18"/>
  <c r="EI198" i="18"/>
  <c r="DQ198" i="18"/>
  <c r="CZ198" i="18"/>
  <c r="GF198" i="18"/>
  <c r="EW198" i="18"/>
  <c r="DN198" i="18"/>
  <c r="FO198" i="18"/>
  <c r="ED198" i="18"/>
  <c r="DV198" i="18"/>
  <c r="FE198" i="18"/>
  <c r="B199" i="18"/>
  <c r="EN198" i="18"/>
  <c r="E198" i="18"/>
  <c r="AH198" i="18" s="1"/>
  <c r="AX198" i="18" s="1"/>
  <c r="DD198" i="18"/>
  <c r="FW198" i="18"/>
  <c r="X196" i="18"/>
  <c r="Z196" i="18"/>
  <c r="W196" i="18"/>
  <c r="V196" i="18"/>
  <c r="Y196" i="18"/>
  <c r="I198" i="18" a="1"/>
  <c r="I198" i="18" s="1"/>
  <c r="U197" i="18"/>
  <c r="AB197" i="18"/>
  <c r="AR197" i="18"/>
  <c r="AS197" i="18"/>
  <c r="AC197" i="18"/>
  <c r="K199" i="18"/>
  <c r="KG198" i="18"/>
  <c r="KB198" i="18"/>
  <c r="JW198" i="18"/>
  <c r="JR198" i="18"/>
  <c r="JM198" i="18"/>
  <c r="JH198" i="18"/>
  <c r="JC198" i="18"/>
  <c r="KD198" i="18"/>
  <c r="JV198" i="18"/>
  <c r="JP198" i="18"/>
  <c r="JJ198" i="18"/>
  <c r="JB198" i="18"/>
  <c r="IW198" i="18"/>
  <c r="IR198" i="18"/>
  <c r="IM198" i="18"/>
  <c r="IH198" i="18"/>
  <c r="IC198" i="18"/>
  <c r="HX198" i="18"/>
  <c r="HS198" i="18"/>
  <c r="HN198" i="18"/>
  <c r="HI198" i="18"/>
  <c r="HD198" i="18"/>
  <c r="GY198" i="18"/>
  <c r="GT198" i="18"/>
  <c r="KF198" i="18"/>
  <c r="JY198" i="18"/>
  <c r="JO198" i="18"/>
  <c r="JF198" i="18"/>
  <c r="IX198" i="18"/>
  <c r="IQ198" i="18"/>
  <c r="IK198" i="18"/>
  <c r="ID198" i="18"/>
  <c r="HW198" i="18"/>
  <c r="HQ198" i="18"/>
  <c r="HJ198" i="18"/>
  <c r="HC198" i="18"/>
  <c r="GW198" i="18"/>
  <c r="Q198" i="18"/>
  <c r="M198" i="18"/>
  <c r="JU198" i="18"/>
  <c r="JK198" i="18"/>
  <c r="IZ198" i="18"/>
  <c r="IP198" i="18"/>
  <c r="IG198" i="18"/>
  <c r="HY198" i="18"/>
  <c r="HO198" i="18"/>
  <c r="HG198" i="18"/>
  <c r="GX198" i="18"/>
  <c r="P198" i="18"/>
  <c r="KA198" i="18"/>
  <c r="JQ198" i="18"/>
  <c r="JE198" i="18"/>
  <c r="IU198" i="18"/>
  <c r="IL198" i="18"/>
  <c r="IB198" i="18"/>
  <c r="HT198" i="18"/>
  <c r="HL198" i="18"/>
  <c r="HB198" i="18"/>
  <c r="GS198" i="18"/>
  <c r="N198" i="18"/>
  <c r="AP198" i="18" s="1"/>
  <c r="JT198" i="18"/>
  <c r="IV198" i="18"/>
  <c r="IF198" i="18"/>
  <c r="HM198" i="18"/>
  <c r="GU198" i="18"/>
  <c r="KE198" i="18"/>
  <c r="JG198" i="18"/>
  <c r="IN198" i="18"/>
  <c r="HV198" i="18"/>
  <c r="HE198" i="18"/>
  <c r="JA198" i="18"/>
  <c r="HR198" i="18"/>
  <c r="L198" i="18"/>
  <c r="I199" i="18" s="1" a="1"/>
  <c r="I199" i="18" s="1"/>
  <c r="JZ198" i="18"/>
  <c r="II198" i="18"/>
  <c r="GZ198" i="18"/>
  <c r="JL198" i="18"/>
  <c r="GR198" i="18"/>
  <c r="IA198" i="18"/>
  <c r="HH198" i="18"/>
  <c r="IS198" i="18"/>
  <c r="DY114" i="16" l="1"/>
  <c r="DX114" i="16" s="1"/>
  <c r="DZ114" i="16" s="1"/>
  <c r="DT115" i="16"/>
  <c r="DS115" i="16" s="1"/>
  <c r="DU115" i="16" s="1"/>
  <c r="DW115" i="16"/>
  <c r="AF191" i="16"/>
  <c r="AG190" i="16"/>
  <c r="AV191" i="16"/>
  <c r="AW190" i="16"/>
  <c r="AO188" i="16"/>
  <c r="AN189" i="16"/>
  <c r="BF198" i="18"/>
  <c r="W197" i="18"/>
  <c r="Y197" i="18"/>
  <c r="V197" i="18"/>
  <c r="Z197" i="18"/>
  <c r="X197" i="18"/>
  <c r="GL199" i="18"/>
  <c r="GG199" i="18"/>
  <c r="GB199" i="18"/>
  <c r="FW199" i="18"/>
  <c r="FR199" i="18"/>
  <c r="FM199" i="18"/>
  <c r="FH199" i="18"/>
  <c r="FC199" i="18"/>
  <c r="EX199" i="18"/>
  <c r="ES199" i="18"/>
  <c r="EN199" i="18"/>
  <c r="EI199" i="18"/>
  <c r="ED199" i="18"/>
  <c r="DY199" i="18"/>
  <c r="DT199" i="18"/>
  <c r="GN199" i="18"/>
  <c r="GH199" i="18"/>
  <c r="GA199" i="18"/>
  <c r="FT199" i="18"/>
  <c r="FN199" i="18"/>
  <c r="FG199" i="18"/>
  <c r="EZ199" i="18"/>
  <c r="ET199" i="18"/>
  <c r="EM199" i="18"/>
  <c r="EF199" i="18"/>
  <c r="DZ199" i="18"/>
  <c r="DS199" i="18"/>
  <c r="DN199" i="18"/>
  <c r="DI199" i="18"/>
  <c r="DD199" i="18"/>
  <c r="CY199" i="18"/>
  <c r="GK199" i="18"/>
  <c r="GD199" i="18"/>
  <c r="FX199" i="18"/>
  <c r="FQ199" i="18"/>
  <c r="FJ199" i="18"/>
  <c r="FD199" i="18"/>
  <c r="EW199" i="18"/>
  <c r="EP199" i="18"/>
  <c r="EJ199" i="18"/>
  <c r="EC199" i="18"/>
  <c r="DV199" i="18"/>
  <c r="DP199" i="18"/>
  <c r="DK199" i="18"/>
  <c r="DF199" i="18"/>
  <c r="DA199" i="18"/>
  <c r="G199" i="18"/>
  <c r="C199" i="18"/>
  <c r="A200" i="18" s="1" a="1"/>
  <c r="A200" i="18" s="1"/>
  <c r="GM199" i="18"/>
  <c r="FY199" i="18"/>
  <c r="FL199" i="18"/>
  <c r="EY199" i="18"/>
  <c r="EK199" i="18"/>
  <c r="DX199" i="18"/>
  <c r="DL199" i="18"/>
  <c r="DB199" i="18"/>
  <c r="F199" i="18"/>
  <c r="GI199" i="18"/>
  <c r="FS199" i="18"/>
  <c r="FB199" i="18"/>
  <c r="EH199" i="18"/>
  <c r="DQ199" i="18"/>
  <c r="DE199" i="18"/>
  <c r="E199" i="18"/>
  <c r="AH199" i="18" s="1"/>
  <c r="AX199" i="18" s="1"/>
  <c r="GC199" i="18"/>
  <c r="FE199" i="18"/>
  <c r="EE199" i="18"/>
  <c r="DJ199" i="18"/>
  <c r="FO199" i="18"/>
  <c r="ER199" i="18"/>
  <c r="DU199" i="18"/>
  <c r="CZ199" i="18"/>
  <c r="D199" i="18"/>
  <c r="GF199" i="18"/>
  <c r="EO199" i="18"/>
  <c r="H199" i="18"/>
  <c r="FI199" i="18"/>
  <c r="DO199" i="18"/>
  <c r="FV199" i="18"/>
  <c r="EA199" i="18"/>
  <c r="B200" i="18"/>
  <c r="DG199" i="18"/>
  <c r="EU199" i="18"/>
  <c r="KE199" i="18"/>
  <c r="JZ199" i="18"/>
  <c r="JU199" i="18"/>
  <c r="JP199" i="18"/>
  <c r="JK199" i="18"/>
  <c r="JF199" i="18"/>
  <c r="JA199" i="18"/>
  <c r="IV199" i="18"/>
  <c r="IQ199" i="18"/>
  <c r="IL199" i="18"/>
  <c r="IG199" i="18"/>
  <c r="IB199" i="18"/>
  <c r="HW199" i="18"/>
  <c r="HR199" i="18"/>
  <c r="HM199" i="18"/>
  <c r="HH199" i="18"/>
  <c r="HC199" i="18"/>
  <c r="GX199" i="18"/>
  <c r="GS199" i="18"/>
  <c r="KF199" i="18"/>
  <c r="JY199" i="18"/>
  <c r="JR199" i="18"/>
  <c r="JL199" i="18"/>
  <c r="JE199" i="18"/>
  <c r="IX199" i="18"/>
  <c r="IR199" i="18"/>
  <c r="IK199" i="18"/>
  <c r="ID199" i="18"/>
  <c r="HX199" i="18"/>
  <c r="HQ199" i="18"/>
  <c r="HJ199" i="18"/>
  <c r="HD199" i="18"/>
  <c r="GW199" i="18"/>
  <c r="Q199" i="18"/>
  <c r="M199" i="18"/>
  <c r="K200" i="18"/>
  <c r="KB199" i="18"/>
  <c r="JV199" i="18"/>
  <c r="JO199" i="18"/>
  <c r="JH199" i="18"/>
  <c r="JB199" i="18"/>
  <c r="IU199" i="18"/>
  <c r="IN199" i="18"/>
  <c r="IH199" i="18"/>
  <c r="IA199" i="18"/>
  <c r="HT199" i="18"/>
  <c r="HN199" i="18"/>
  <c r="HG199" i="18"/>
  <c r="GZ199" i="18"/>
  <c r="GT199" i="18"/>
  <c r="KD199" i="18"/>
  <c r="JQ199" i="18"/>
  <c r="JC199" i="18"/>
  <c r="IP199" i="18"/>
  <c r="IC199" i="18"/>
  <c r="HO199" i="18"/>
  <c r="HB199" i="18"/>
  <c r="N199" i="18"/>
  <c r="AP199" i="18" s="1"/>
  <c r="JW199" i="18"/>
  <c r="JG199" i="18"/>
  <c r="IM199" i="18"/>
  <c r="HV199" i="18"/>
  <c r="HE199" i="18"/>
  <c r="JT199" i="18"/>
  <c r="IW199" i="18"/>
  <c r="HY199" i="18"/>
  <c r="GY199" i="18"/>
  <c r="KG199" i="18"/>
  <c r="JJ199" i="18"/>
  <c r="II199" i="18"/>
  <c r="HL199" i="18"/>
  <c r="GR199" i="18"/>
  <c r="KA199" i="18"/>
  <c r="IF199" i="18"/>
  <c r="IZ199" i="18"/>
  <c r="HI199" i="18"/>
  <c r="JM199" i="18"/>
  <c r="L199" i="18"/>
  <c r="I200" i="18" s="1" a="1"/>
  <c r="I200" i="18" s="1"/>
  <c r="HS199" i="18"/>
  <c r="P199" i="18"/>
  <c r="GU199" i="18"/>
  <c r="IS199" i="18"/>
  <c r="AS198" i="18"/>
  <c r="AB198" i="18"/>
  <c r="AR198" i="18"/>
  <c r="AC198" i="18"/>
  <c r="U198" i="18"/>
  <c r="A199" i="18" a="1"/>
  <c r="A199" i="18" s="1"/>
  <c r="DT116" i="16" l="1"/>
  <c r="DS116" i="16" s="1"/>
  <c r="DU116" i="16" s="1"/>
  <c r="DY115" i="16"/>
  <c r="DX115" i="16" s="1"/>
  <c r="DZ115" i="16" s="1"/>
  <c r="DW116" i="16"/>
  <c r="AG191" i="16"/>
  <c r="AW191" i="16"/>
  <c r="AV192" i="16"/>
  <c r="AF192" i="16"/>
  <c r="AN190" i="16"/>
  <c r="AO189" i="16"/>
  <c r="AC199" i="18"/>
  <c r="AS199" i="18"/>
  <c r="AB199" i="18"/>
  <c r="AR199" i="18"/>
  <c r="GK200" i="18"/>
  <c r="GF200" i="18"/>
  <c r="GA200" i="18"/>
  <c r="FV200" i="18"/>
  <c r="FQ200" i="18"/>
  <c r="FL200" i="18"/>
  <c r="FG200" i="18"/>
  <c r="FB200" i="18"/>
  <c r="EW200" i="18"/>
  <c r="ER200" i="18"/>
  <c r="EM200" i="18"/>
  <c r="EH200" i="18"/>
  <c r="EC200" i="18"/>
  <c r="DX200" i="18"/>
  <c r="DS200" i="18"/>
  <c r="DN200" i="18"/>
  <c r="DI200" i="18"/>
  <c r="DD200" i="18"/>
  <c r="CY200" i="18"/>
  <c r="E200" i="18"/>
  <c r="AH200" i="18" s="1"/>
  <c r="AX200" i="18" s="1"/>
  <c r="GI200" i="18"/>
  <c r="GC200" i="18"/>
  <c r="FW200" i="18"/>
  <c r="FO200" i="18"/>
  <c r="FI200" i="18"/>
  <c r="FC200" i="18"/>
  <c r="EU200" i="18"/>
  <c r="EO200" i="18"/>
  <c r="EI200" i="18"/>
  <c r="EA200" i="18"/>
  <c r="DU200" i="18"/>
  <c r="DO200" i="18"/>
  <c r="DG200" i="18"/>
  <c r="DA200" i="18"/>
  <c r="H200" i="18"/>
  <c r="C200" i="18"/>
  <c r="F34" i="18" s="1"/>
  <c r="GM200" i="18"/>
  <c r="GG200" i="18"/>
  <c r="FY200" i="18"/>
  <c r="FS200" i="18"/>
  <c r="FM200" i="18"/>
  <c r="FE200" i="18"/>
  <c r="EY200" i="18"/>
  <c r="ES200" i="18"/>
  <c r="EK200" i="18"/>
  <c r="EE200" i="18"/>
  <c r="DY200" i="18"/>
  <c r="DQ200" i="18"/>
  <c r="DK200" i="18"/>
  <c r="DE200" i="18"/>
  <c r="F200" i="18"/>
  <c r="GN200" i="18"/>
  <c r="GB200" i="18"/>
  <c r="FN200" i="18"/>
  <c r="EZ200" i="18"/>
  <c r="EN200" i="18"/>
  <c r="DZ200" i="18"/>
  <c r="DL200" i="18"/>
  <c r="CZ200" i="18"/>
  <c r="G200" i="18"/>
  <c r="FX200" i="18"/>
  <c r="FH200" i="18"/>
  <c r="EP200" i="18"/>
  <c r="DV200" i="18"/>
  <c r="DF200" i="18"/>
  <c r="GH200" i="18"/>
  <c r="FR200" i="18"/>
  <c r="EX200" i="18"/>
  <c r="EF200" i="18"/>
  <c r="DP200" i="18"/>
  <c r="D200" i="18"/>
  <c r="FT200" i="18"/>
  <c r="EJ200" i="18"/>
  <c r="DB200" i="18"/>
  <c r="GL200" i="18"/>
  <c r="FD200" i="18"/>
  <c r="DT200" i="18"/>
  <c r="ED200" i="18"/>
  <c r="FJ200" i="18"/>
  <c r="DJ200" i="18"/>
  <c r="GD200" i="18"/>
  <c r="ET200" i="18"/>
  <c r="U199" i="18"/>
  <c r="Z198" i="18"/>
  <c r="V198" i="18"/>
  <c r="Y198" i="18"/>
  <c r="W198" i="18"/>
  <c r="X198" i="18"/>
  <c r="KD200" i="18"/>
  <c r="JY200" i="18"/>
  <c r="JT200" i="18"/>
  <c r="JO200" i="18"/>
  <c r="JJ200" i="18"/>
  <c r="JE200" i="18"/>
  <c r="IZ200" i="18"/>
  <c r="IU200" i="18"/>
  <c r="IP200" i="18"/>
  <c r="IK200" i="18"/>
  <c r="IF200" i="18"/>
  <c r="IA200" i="18"/>
  <c r="HV200" i="18"/>
  <c r="HQ200" i="18"/>
  <c r="HL200" i="18"/>
  <c r="HG200" i="18"/>
  <c r="HB200" i="18"/>
  <c r="GW200" i="18"/>
  <c r="GR200" i="18"/>
  <c r="Q200" i="18"/>
  <c r="M200" i="18"/>
  <c r="KG200" i="18"/>
  <c r="KA200" i="18"/>
  <c r="JU200" i="18"/>
  <c r="JM200" i="18"/>
  <c r="JG200" i="18"/>
  <c r="JA200" i="18"/>
  <c r="IS200" i="18"/>
  <c r="IM200" i="18"/>
  <c r="IG200" i="18"/>
  <c r="HY200" i="18"/>
  <c r="HS200" i="18"/>
  <c r="HM200" i="18"/>
  <c r="HE200" i="18"/>
  <c r="GY200" i="18"/>
  <c r="GS200" i="18"/>
  <c r="N200" i="18"/>
  <c r="AP200" i="18" s="1"/>
  <c r="KE200" i="18"/>
  <c r="JW200" i="18"/>
  <c r="JQ200" i="18"/>
  <c r="JK200" i="18"/>
  <c r="JC200" i="18"/>
  <c r="IW200" i="18"/>
  <c r="IQ200" i="18"/>
  <c r="II200" i="18"/>
  <c r="IC200" i="18"/>
  <c r="HW200" i="18"/>
  <c r="HO200" i="18"/>
  <c r="HI200" i="18"/>
  <c r="HC200" i="18"/>
  <c r="GU200" i="18"/>
  <c r="GW80" i="18" s="1"/>
  <c r="P200" i="18"/>
  <c r="KF200" i="18"/>
  <c r="JR200" i="18"/>
  <c r="JF200" i="18"/>
  <c r="IR200" i="18"/>
  <c r="ID200" i="18"/>
  <c r="HR200" i="18"/>
  <c r="HD200" i="18"/>
  <c r="KB200" i="18"/>
  <c r="JL200" i="18"/>
  <c r="IV200" i="18"/>
  <c r="IB200" i="18"/>
  <c r="HJ200" i="18"/>
  <c r="GT200" i="18"/>
  <c r="JV200" i="18"/>
  <c r="JB200" i="18"/>
  <c r="IL200" i="18"/>
  <c r="HT200" i="18"/>
  <c r="GZ200" i="18"/>
  <c r="JZ200" i="18"/>
  <c r="IN200" i="18"/>
  <c r="HH200" i="18"/>
  <c r="JH200" i="18"/>
  <c r="HX200" i="18"/>
  <c r="JP200" i="18"/>
  <c r="GX200" i="18"/>
  <c r="IH200" i="18"/>
  <c r="L200" i="18"/>
  <c r="BF200" i="18" s="1"/>
  <c r="IX200" i="18"/>
  <c r="HN200" i="18"/>
  <c r="BF199" i="18"/>
  <c r="DY116" i="16" l="1"/>
  <c r="DX116" i="16" s="1"/>
  <c r="DZ116" i="16" s="1"/>
  <c r="AV193" i="16"/>
  <c r="AW192" i="16"/>
  <c r="AF193" i="16"/>
  <c r="AG192" i="16"/>
  <c r="AO190" i="16"/>
  <c r="AN191" i="16"/>
  <c r="X199" i="18"/>
  <c r="Z199" i="18"/>
  <c r="V199" i="18"/>
  <c r="W199" i="18"/>
  <c r="Y199" i="18"/>
  <c r="AC200" i="18"/>
  <c r="AB200" i="18"/>
  <c r="AR200" i="18"/>
  <c r="AS200" i="18"/>
  <c r="GZ80" i="18"/>
  <c r="GW81" i="18"/>
  <c r="GW82" i="18"/>
  <c r="GW83" i="18"/>
  <c r="GW84" i="18"/>
  <c r="GW85" i="18"/>
  <c r="GW86" i="18"/>
  <c r="GW87" i="18"/>
  <c r="GW88" i="18"/>
  <c r="GW89" i="18"/>
  <c r="GW90" i="18"/>
  <c r="GW91" i="18"/>
  <c r="GW92" i="18"/>
  <c r="U200" i="18"/>
  <c r="AF81" i="18"/>
  <c r="AV81" i="18"/>
  <c r="G34" i="18"/>
  <c r="BJ82" i="18"/>
  <c r="H34" i="18"/>
  <c r="EB80" i="16" l="1"/>
  <c r="AN192" i="16"/>
  <c r="AO191" i="16"/>
  <c r="AV194" i="16"/>
  <c r="AF194" i="16"/>
  <c r="AG193" i="16"/>
  <c r="AW193" i="16"/>
  <c r="AV82" i="18"/>
  <c r="AW81" i="18"/>
  <c r="AF82" i="18"/>
  <c r="AG81" i="18"/>
  <c r="GY81" i="18"/>
  <c r="GX81" i="18" s="1"/>
  <c r="HC81" i="18" s="1"/>
  <c r="X200" i="18"/>
  <c r="V200" i="18"/>
  <c r="Y200" i="18"/>
  <c r="W200" i="18"/>
  <c r="Z200" i="18"/>
  <c r="AZ200" i="18"/>
  <c r="AL200" i="18"/>
  <c r="AZ199" i="18"/>
  <c r="AL199" i="18"/>
  <c r="BB200" i="18"/>
  <c r="AK200" i="18"/>
  <c r="BB199" i="18"/>
  <c r="AJ199" i="18"/>
  <c r="BC199" i="18"/>
  <c r="AM199" i="18"/>
  <c r="BB198" i="18"/>
  <c r="AJ198" i="18"/>
  <c r="BC197" i="18"/>
  <c r="AK197" i="18"/>
  <c r="BA200" i="18"/>
  <c r="BA199" i="18"/>
  <c r="BC198" i="18"/>
  <c r="AK198" i="18"/>
  <c r="BB197" i="18"/>
  <c r="AL197" i="18"/>
  <c r="AZ196" i="18"/>
  <c r="AL196" i="18"/>
  <c r="AM198" i="18"/>
  <c r="AZ197" i="18"/>
  <c r="AJ197" i="18"/>
  <c r="BC196" i="18"/>
  <c r="AM196" i="18"/>
  <c r="BA195" i="18"/>
  <c r="AM195" i="18"/>
  <c r="BB194" i="18"/>
  <c r="AJ194" i="18"/>
  <c r="BC193" i="18"/>
  <c r="AK193" i="18"/>
  <c r="AZ192" i="18"/>
  <c r="AL192" i="18"/>
  <c r="AJ200" i="18"/>
  <c r="AZ198" i="18"/>
  <c r="BA196" i="18"/>
  <c r="AJ196" i="18"/>
  <c r="BC195" i="18"/>
  <c r="AK195" i="18"/>
  <c r="BA198" i="18"/>
  <c r="AK196" i="18"/>
  <c r="BA194" i="18"/>
  <c r="BA193" i="18"/>
  <c r="AJ193" i="18"/>
  <c r="AZ191" i="18"/>
  <c r="AL191" i="18"/>
  <c r="BA190" i="18"/>
  <c r="AM190" i="18"/>
  <c r="BB189" i="18"/>
  <c r="AJ189" i="18"/>
  <c r="BC188" i="18"/>
  <c r="AK188" i="18"/>
  <c r="BC200" i="18"/>
  <c r="AM197" i="18"/>
  <c r="AZ195" i="18"/>
  <c r="AJ195" i="18"/>
  <c r="AL194" i="18"/>
  <c r="AM193" i="18"/>
  <c r="BB192" i="18"/>
  <c r="AK192" i="18"/>
  <c r="BB191" i="18"/>
  <c r="AJ191" i="18"/>
  <c r="BC190" i="18"/>
  <c r="AK190" i="18"/>
  <c r="AZ189" i="18"/>
  <c r="AL189" i="18"/>
  <c r="BA197" i="18"/>
  <c r="AM194" i="18"/>
  <c r="BB190" i="18"/>
  <c r="AL190" i="18"/>
  <c r="BC189" i="18"/>
  <c r="AM189" i="18"/>
  <c r="BB188" i="18"/>
  <c r="AL188" i="18"/>
  <c r="BC187" i="18"/>
  <c r="AK187" i="18"/>
  <c r="AZ186" i="18"/>
  <c r="AL186" i="18"/>
  <c r="BA185" i="18"/>
  <c r="AM185" i="18"/>
  <c r="AL198" i="18"/>
  <c r="BB196" i="18"/>
  <c r="AL195" i="18"/>
  <c r="BC194" i="18"/>
  <c r="BB193" i="18"/>
  <c r="BC192" i="18"/>
  <c r="AJ192" i="18"/>
  <c r="BC191" i="18"/>
  <c r="AM191" i="18"/>
  <c r="AZ188" i="18"/>
  <c r="BA187" i="18"/>
  <c r="AM187" i="18"/>
  <c r="BB186" i="18"/>
  <c r="AJ186" i="18"/>
  <c r="BC185" i="18"/>
  <c r="AK185" i="18"/>
  <c r="AZ184" i="18"/>
  <c r="AL184" i="18"/>
  <c r="BA183" i="18"/>
  <c r="AM183" i="18"/>
  <c r="BB182" i="18"/>
  <c r="AJ182" i="18"/>
  <c r="BC181" i="18"/>
  <c r="AK181" i="18"/>
  <c r="AZ180" i="18"/>
  <c r="AL180" i="18"/>
  <c r="BA179" i="18"/>
  <c r="AM179" i="18"/>
  <c r="BB178" i="18"/>
  <c r="AM200" i="18"/>
  <c r="AZ190" i="18"/>
  <c r="AK189" i="18"/>
  <c r="AJ188" i="18"/>
  <c r="AZ185" i="18"/>
  <c r="AJ185" i="18"/>
  <c r="BB184" i="18"/>
  <c r="AK184" i="18"/>
  <c r="AZ183" i="18"/>
  <c r="AL182" i="18"/>
  <c r="AM181" i="18"/>
  <c r="BB180" i="18"/>
  <c r="AK180" i="18"/>
  <c r="AZ179" i="18"/>
  <c r="AK191" i="18"/>
  <c r="AZ187" i="18"/>
  <c r="AJ187" i="18"/>
  <c r="BA186" i="18"/>
  <c r="AK186" i="18"/>
  <c r="BC183" i="18"/>
  <c r="AK183" i="18"/>
  <c r="BA182" i="18"/>
  <c r="BA181" i="18"/>
  <c r="AJ181" i="18"/>
  <c r="BC179" i="18"/>
  <c r="AK179" i="18"/>
  <c r="BA178" i="18"/>
  <c r="AM178" i="18"/>
  <c r="BB177" i="18"/>
  <c r="AJ177" i="18"/>
  <c r="BC176" i="18"/>
  <c r="AK176" i="18"/>
  <c r="AZ175" i="18"/>
  <c r="AL175" i="18"/>
  <c r="BA174" i="18"/>
  <c r="AM174" i="18"/>
  <c r="BB173" i="18"/>
  <c r="AJ173" i="18"/>
  <c r="BC172" i="18"/>
  <c r="AK172" i="18"/>
  <c r="AZ171" i="18"/>
  <c r="AL171" i="18"/>
  <c r="BA170" i="18"/>
  <c r="AM170" i="18"/>
  <c r="BB169" i="18"/>
  <c r="AJ169" i="18"/>
  <c r="BC168" i="18"/>
  <c r="AK168" i="18"/>
  <c r="AZ167" i="18"/>
  <c r="AL167" i="18"/>
  <c r="BA166" i="18"/>
  <c r="AM166" i="18"/>
  <c r="BB165" i="18"/>
  <c r="AJ165" i="18"/>
  <c r="BC164" i="18"/>
  <c r="AK164" i="18"/>
  <c r="AZ163" i="18"/>
  <c r="AL163" i="18"/>
  <c r="BA162" i="18"/>
  <c r="AM162" i="18"/>
  <c r="BB161" i="18"/>
  <c r="AJ161" i="18"/>
  <c r="BC160" i="18"/>
  <c r="AK160" i="18"/>
  <c r="AZ159" i="18"/>
  <c r="BB195" i="18"/>
  <c r="AJ190" i="18"/>
  <c r="BB187" i="18"/>
  <c r="AL183" i="18"/>
  <c r="AM182" i="18"/>
  <c r="AL179" i="18"/>
  <c r="AK178" i="18"/>
  <c r="BA177" i="18"/>
  <c r="BA176" i="18"/>
  <c r="AJ176" i="18"/>
  <c r="BC174" i="18"/>
  <c r="AK174" i="18"/>
  <c r="BA173" i="18"/>
  <c r="BA172" i="18"/>
  <c r="AJ172" i="18"/>
  <c r="BC170" i="18"/>
  <c r="AK170" i="18"/>
  <c r="BA169" i="18"/>
  <c r="BA168" i="18"/>
  <c r="AJ168" i="18"/>
  <c r="AK199" i="18"/>
  <c r="AZ194" i="18"/>
  <c r="AZ193" i="18"/>
  <c r="BA192" i="18"/>
  <c r="BA191" i="18"/>
  <c r="BA189" i="18"/>
  <c r="BA188" i="18"/>
  <c r="AM188" i="18"/>
  <c r="BC186" i="18"/>
  <c r="BB185" i="18"/>
  <c r="BC184" i="18"/>
  <c r="AJ184" i="18"/>
  <c r="BB183" i="18"/>
  <c r="BC182" i="18"/>
  <c r="BB181" i="18"/>
  <c r="BC180" i="18"/>
  <c r="AJ180" i="18"/>
  <c r="BB179" i="18"/>
  <c r="BC178" i="18"/>
  <c r="AL177" i="18"/>
  <c r="AM176" i="18"/>
  <c r="BB175" i="18"/>
  <c r="AK175" i="18"/>
  <c r="AZ174" i="18"/>
  <c r="AL173" i="18"/>
  <c r="AM172" i="18"/>
  <c r="AM186" i="18"/>
  <c r="AL185" i="18"/>
  <c r="AL187" i="18"/>
  <c r="AJ183" i="18"/>
  <c r="AZ181" i="18"/>
  <c r="AL181" i="18"/>
  <c r="AJ179" i="18"/>
  <c r="AJ178" i="18"/>
  <c r="AK177" i="18"/>
  <c r="AL176" i="18"/>
  <c r="AM175" i="18"/>
  <c r="AJ174" i="18"/>
  <c r="AK173" i="18"/>
  <c r="AL172" i="18"/>
  <c r="BB171" i="18"/>
  <c r="AK194" i="18"/>
  <c r="AM192" i="18"/>
  <c r="AL193" i="18"/>
  <c r="AL178" i="18"/>
  <c r="AM177" i="18"/>
  <c r="AL174" i="18"/>
  <c r="AZ182" i="18"/>
  <c r="AK182" i="18"/>
  <c r="BC177" i="18"/>
  <c r="AZ176" i="18"/>
  <c r="AZ173" i="18"/>
  <c r="AK169" i="18"/>
  <c r="BB167" i="18"/>
  <c r="AJ167" i="18"/>
  <c r="AL166" i="18"/>
  <c r="BC165" i="18"/>
  <c r="AK165" i="18"/>
  <c r="BB164" i="18"/>
  <c r="AL164" i="18"/>
  <c r="BA163" i="18"/>
  <c r="AJ163" i="18"/>
  <c r="BA184" i="18"/>
  <c r="AM184" i="18"/>
  <c r="BC175" i="18"/>
  <c r="BB174" i="18"/>
  <c r="AZ172" i="18"/>
  <c r="BA171" i="18"/>
  <c r="AK171" i="18"/>
  <c r="AZ170" i="18"/>
  <c r="AJ170" i="18"/>
  <c r="BC169" i="18"/>
  <c r="AM169" i="18"/>
  <c r="AZ168" i="18"/>
  <c r="AM168" i="18"/>
  <c r="AM167" i="18"/>
  <c r="BB166" i="18"/>
  <c r="AJ166" i="18"/>
  <c r="AZ165" i="18"/>
  <c r="AM165" i="18"/>
  <c r="AZ164" i="18"/>
  <c r="BC163" i="18"/>
  <c r="AM163" i="18"/>
  <c r="BB162" i="18"/>
  <c r="AJ162" i="18"/>
  <c r="AZ161" i="18"/>
  <c r="AM161" i="18"/>
  <c r="AZ160" i="18"/>
  <c r="BC159" i="18"/>
  <c r="AJ159" i="18"/>
  <c r="BC158" i="18"/>
  <c r="AK158" i="18"/>
  <c r="AZ157" i="18"/>
  <c r="AL157" i="18"/>
  <c r="BA156" i="18"/>
  <c r="AM156" i="18"/>
  <c r="BB155" i="18"/>
  <c r="AJ155" i="18"/>
  <c r="BC154" i="18"/>
  <c r="AK154" i="18"/>
  <c r="BA180" i="18"/>
  <c r="AM180" i="18"/>
  <c r="BB176" i="18"/>
  <c r="BA175" i="18"/>
  <c r="AJ175" i="18"/>
  <c r="BC173" i="18"/>
  <c r="AJ171" i="18"/>
  <c r="AZ169" i="18"/>
  <c r="AL169" i="18"/>
  <c r="AL168" i="18"/>
  <c r="BC167" i="18"/>
  <c r="AK167" i="18"/>
  <c r="AZ166" i="18"/>
  <c r="AL165" i="18"/>
  <c r="AM173" i="18"/>
  <c r="BB168" i="18"/>
  <c r="BC166" i="18"/>
  <c r="AM164" i="18"/>
  <c r="AK163" i="18"/>
  <c r="AK162" i="18"/>
  <c r="BC161" i="18"/>
  <c r="BA160" i="18"/>
  <c r="AM160" i="18"/>
  <c r="BB159" i="18"/>
  <c r="BA158" i="18"/>
  <c r="AJ158" i="18"/>
  <c r="BC156" i="18"/>
  <c r="AK156" i="18"/>
  <c r="AM171" i="18"/>
  <c r="BB170" i="18"/>
  <c r="BA167" i="18"/>
  <c r="BA164" i="18"/>
  <c r="BC162" i="18"/>
  <c r="AK161" i="18"/>
  <c r="AJ160" i="18"/>
  <c r="AL159" i="18"/>
  <c r="AM158" i="18"/>
  <c r="BB157" i="18"/>
  <c r="AK157" i="18"/>
  <c r="AZ156" i="18"/>
  <c r="AL155" i="18"/>
  <c r="AM154" i="18"/>
  <c r="BA153" i="18"/>
  <c r="AM153" i="18"/>
  <c r="BB152" i="18"/>
  <c r="AJ152" i="18"/>
  <c r="BC151" i="18"/>
  <c r="AK151" i="18"/>
  <c r="AZ150" i="18"/>
  <c r="AL150" i="18"/>
  <c r="BA149" i="18"/>
  <c r="AM149" i="18"/>
  <c r="BB148" i="18"/>
  <c r="AJ148" i="18"/>
  <c r="BC147" i="18"/>
  <c r="AK147" i="18"/>
  <c r="AZ146" i="18"/>
  <c r="AL146" i="18"/>
  <c r="BA145" i="18"/>
  <c r="AM145" i="18"/>
  <c r="BB144" i="18"/>
  <c r="AJ144" i="18"/>
  <c r="BC143" i="18"/>
  <c r="AK143" i="18"/>
  <c r="AZ142" i="18"/>
  <c r="BC171" i="18"/>
  <c r="BA165" i="18"/>
  <c r="AZ162" i="18"/>
  <c r="AL162" i="18"/>
  <c r="BB160" i="18"/>
  <c r="AK159" i="18"/>
  <c r="BB158" i="18"/>
  <c r="AL158" i="18"/>
  <c r="BA157" i="18"/>
  <c r="AJ157" i="18"/>
  <c r="AL156" i="18"/>
  <c r="BC155" i="18"/>
  <c r="AK155" i="18"/>
  <c r="BB154" i="18"/>
  <c r="AL154" i="18"/>
  <c r="AZ153" i="18"/>
  <c r="AL153" i="18"/>
  <c r="BA152" i="18"/>
  <c r="AM152" i="18"/>
  <c r="BB151" i="18"/>
  <c r="AJ151" i="18"/>
  <c r="BC150" i="18"/>
  <c r="AK150" i="18"/>
  <c r="AZ149" i="18"/>
  <c r="AL149" i="18"/>
  <c r="BB172" i="18"/>
  <c r="AL170" i="18"/>
  <c r="AK166" i="18"/>
  <c r="BB163" i="18"/>
  <c r="AM157" i="18"/>
  <c r="BA154" i="18"/>
  <c r="BA151" i="18"/>
  <c r="AL151" i="18"/>
  <c r="AL148" i="18"/>
  <c r="AM147" i="18"/>
  <c r="BB146" i="18"/>
  <c r="AK146" i="18"/>
  <c r="AZ178" i="18"/>
  <c r="AZ177" i="18"/>
  <c r="BA161" i="18"/>
  <c r="AL160" i="18"/>
  <c r="AM159" i="18"/>
  <c r="AZ155" i="18"/>
  <c r="AM155" i="18"/>
  <c r="AJ154" i="18"/>
  <c r="BB153" i="18"/>
  <c r="AK153" i="18"/>
  <c r="BC152" i="18"/>
  <c r="AK152" i="18"/>
  <c r="BA150" i="18"/>
  <c r="AM150" i="18"/>
  <c r="BB149" i="18"/>
  <c r="AK149" i="18"/>
  <c r="BA148" i="18"/>
  <c r="BA147" i="18"/>
  <c r="AJ147" i="18"/>
  <c r="BC145" i="18"/>
  <c r="AK145" i="18"/>
  <c r="BA144" i="18"/>
  <c r="BA143" i="18"/>
  <c r="AJ143" i="18"/>
  <c r="AK142" i="18"/>
  <c r="AZ141" i="18"/>
  <c r="AL141" i="18"/>
  <c r="BA140" i="18"/>
  <c r="AM140" i="18"/>
  <c r="BB139" i="18"/>
  <c r="AJ139" i="18"/>
  <c r="BC138" i="18"/>
  <c r="AK138" i="18"/>
  <c r="AZ137" i="18"/>
  <c r="AL137" i="18"/>
  <c r="BA136" i="18"/>
  <c r="AM136" i="18"/>
  <c r="BB135" i="18"/>
  <c r="AJ135" i="18"/>
  <c r="BC134" i="18"/>
  <c r="AK134" i="18"/>
  <c r="AZ133" i="18"/>
  <c r="AL133" i="18"/>
  <c r="BA132" i="18"/>
  <c r="AM132" i="18"/>
  <c r="BB131" i="18"/>
  <c r="AJ131" i="18"/>
  <c r="BC130" i="18"/>
  <c r="AK130" i="18"/>
  <c r="AZ129" i="18"/>
  <c r="AL129" i="18"/>
  <c r="BA128" i="18"/>
  <c r="AM128" i="18"/>
  <c r="BB127" i="18"/>
  <c r="AJ127" i="18"/>
  <c r="BC126" i="18"/>
  <c r="AK126" i="18"/>
  <c r="AZ125" i="18"/>
  <c r="AL125" i="18"/>
  <c r="BA124" i="18"/>
  <c r="AM124" i="18"/>
  <c r="BB123" i="18"/>
  <c r="AJ123" i="18"/>
  <c r="BC122" i="18"/>
  <c r="AK122" i="18"/>
  <c r="BA121" i="18"/>
  <c r="AM121" i="18"/>
  <c r="BC120" i="18"/>
  <c r="AK120" i="18"/>
  <c r="BA119" i="18"/>
  <c r="AM119" i="18"/>
  <c r="BC118" i="18"/>
  <c r="AK118" i="18"/>
  <c r="BA117" i="18"/>
  <c r="AM117" i="18"/>
  <c r="BC116" i="18"/>
  <c r="AK116" i="18"/>
  <c r="AZ115" i="18"/>
  <c r="AL115" i="18"/>
  <c r="BA114" i="18"/>
  <c r="AM114" i="18"/>
  <c r="BB113" i="18"/>
  <c r="AJ113" i="18"/>
  <c r="BC112" i="18"/>
  <c r="AK112" i="18"/>
  <c r="AZ111" i="18"/>
  <c r="AL111" i="18"/>
  <c r="BA110" i="18"/>
  <c r="AM110" i="18"/>
  <c r="BC109" i="18"/>
  <c r="AK109" i="18"/>
  <c r="BA108" i="18"/>
  <c r="AM108" i="18"/>
  <c r="BC107" i="18"/>
  <c r="AK107" i="18"/>
  <c r="BA106" i="18"/>
  <c r="AM106" i="18"/>
  <c r="AJ164" i="18"/>
  <c r="BA159" i="18"/>
  <c r="BC157" i="18"/>
  <c r="BB156" i="18"/>
  <c r="AJ156" i="18"/>
  <c r="AJ153" i="18"/>
  <c r="AZ152" i="18"/>
  <c r="AM151" i="18"/>
  <c r="AJ150" i="18"/>
  <c r="AJ149" i="18"/>
  <c r="AZ148" i="18"/>
  <c r="AM148" i="18"/>
  <c r="AZ147" i="18"/>
  <c r="BC146" i="18"/>
  <c r="AM146" i="18"/>
  <c r="BB145" i="18"/>
  <c r="AJ145" i="18"/>
  <c r="AZ144" i="18"/>
  <c r="AM144" i="18"/>
  <c r="AZ143" i="18"/>
  <c r="BC142" i="18"/>
  <c r="AJ142" i="18"/>
  <c r="BC141" i="18"/>
  <c r="AK141" i="18"/>
  <c r="AZ140" i="18"/>
  <c r="AL140" i="18"/>
  <c r="BA139" i="18"/>
  <c r="AM139" i="18"/>
  <c r="BB138" i="18"/>
  <c r="AJ138" i="18"/>
  <c r="BC137" i="18"/>
  <c r="AK137" i="18"/>
  <c r="AZ136" i="18"/>
  <c r="AL136" i="18"/>
  <c r="BA135" i="18"/>
  <c r="AM135" i="18"/>
  <c r="BB134" i="18"/>
  <c r="AJ134" i="18"/>
  <c r="BC133" i="18"/>
  <c r="AK133" i="18"/>
  <c r="AZ132" i="18"/>
  <c r="AL132" i="18"/>
  <c r="BA131" i="18"/>
  <c r="AM131" i="18"/>
  <c r="BB130" i="18"/>
  <c r="AJ130" i="18"/>
  <c r="BC129" i="18"/>
  <c r="AK129" i="18"/>
  <c r="AZ128" i="18"/>
  <c r="AL128" i="18"/>
  <c r="BA127" i="18"/>
  <c r="AM127" i="18"/>
  <c r="BB126" i="18"/>
  <c r="AJ126" i="18"/>
  <c r="BC125" i="18"/>
  <c r="AK125" i="18"/>
  <c r="AL161" i="18"/>
  <c r="AZ158" i="18"/>
  <c r="BA155" i="18"/>
  <c r="AZ154" i="18"/>
  <c r="BB150" i="18"/>
  <c r="AK148" i="18"/>
  <c r="AM143" i="18"/>
  <c r="BA141" i="18"/>
  <c r="AM141" i="18"/>
  <c r="BB140" i="18"/>
  <c r="AK140" i="18"/>
  <c r="BC139" i="18"/>
  <c r="AK139" i="18"/>
  <c r="BA137" i="18"/>
  <c r="AM137" i="18"/>
  <c r="BB136" i="18"/>
  <c r="AK136" i="18"/>
  <c r="BC135" i="18"/>
  <c r="AK135" i="18"/>
  <c r="BA133" i="18"/>
  <c r="AM133" i="18"/>
  <c r="BB132" i="18"/>
  <c r="AK132" i="18"/>
  <c r="BC131" i="18"/>
  <c r="AK131" i="18"/>
  <c r="BA129" i="18"/>
  <c r="AM129" i="18"/>
  <c r="BB128" i="18"/>
  <c r="AK128" i="18"/>
  <c r="BC127" i="18"/>
  <c r="AK127" i="18"/>
  <c r="BA125" i="18"/>
  <c r="AM125" i="18"/>
  <c r="BB124" i="18"/>
  <c r="AJ124" i="18"/>
  <c r="AM123" i="18"/>
  <c r="AL121" i="18"/>
  <c r="BB147" i="18"/>
  <c r="AL144" i="18"/>
  <c r="BB142" i="18"/>
  <c r="AL142" i="18"/>
  <c r="BA138" i="18"/>
  <c r="AL138" i="18"/>
  <c r="BA134" i="18"/>
  <c r="AL134" i="18"/>
  <c r="BA130" i="18"/>
  <c r="AL130" i="18"/>
  <c r="BA126" i="18"/>
  <c r="AL126" i="18"/>
  <c r="AL124" i="18"/>
  <c r="BC123" i="18"/>
  <c r="AK123" i="18"/>
  <c r="BB122" i="18"/>
  <c r="AL122" i="18"/>
  <c r="BB121" i="18"/>
  <c r="AJ121" i="18"/>
  <c r="BA120" i="18"/>
  <c r="AJ120" i="18"/>
  <c r="AZ119" i="18"/>
  <c r="AZ118" i="18"/>
  <c r="AL117" i="18"/>
  <c r="AM116" i="18"/>
  <c r="BB115" i="18"/>
  <c r="AK115" i="18"/>
  <c r="AZ114" i="18"/>
  <c r="AL113" i="18"/>
  <c r="AM112" i="18"/>
  <c r="BB111" i="18"/>
  <c r="AK111" i="18"/>
  <c r="AZ110" i="18"/>
  <c r="AZ109" i="18"/>
  <c r="AL108" i="18"/>
  <c r="AM107" i="18"/>
  <c r="BC106" i="18"/>
  <c r="AK106" i="18"/>
  <c r="BB105" i="18"/>
  <c r="AJ105" i="18"/>
  <c r="AZ104" i="18"/>
  <c r="AL104" i="18"/>
  <c r="BB103" i="18"/>
  <c r="AJ103" i="18"/>
  <c r="AZ102" i="18"/>
  <c r="AL102" i="18"/>
  <c r="BA101" i="18"/>
  <c r="AM101" i="18"/>
  <c r="BB100" i="18"/>
  <c r="AJ100" i="18"/>
  <c r="BC99" i="18"/>
  <c r="AK99" i="18"/>
  <c r="AZ98" i="18"/>
  <c r="AL98" i="18"/>
  <c r="BA97" i="18"/>
  <c r="AM97" i="18"/>
  <c r="BB96" i="18"/>
  <c r="AJ96" i="18"/>
  <c r="BC95" i="18"/>
  <c r="AK95" i="18"/>
  <c r="AZ94" i="18"/>
  <c r="AL94" i="18"/>
  <c r="BA93" i="18"/>
  <c r="AM93" i="18"/>
  <c r="BB92" i="18"/>
  <c r="AJ92" i="18"/>
  <c r="BC91" i="18"/>
  <c r="AK91" i="18"/>
  <c r="AZ90" i="18"/>
  <c r="AL90" i="18"/>
  <c r="BB89" i="18"/>
  <c r="AJ89" i="18"/>
  <c r="AZ88" i="18"/>
  <c r="AL88" i="18"/>
  <c r="BB87" i="18"/>
  <c r="AJ87" i="18"/>
  <c r="AZ86" i="18"/>
  <c r="AL86" i="18"/>
  <c r="BB85" i="18"/>
  <c r="AJ85" i="18"/>
  <c r="AZ84" i="18"/>
  <c r="AL84" i="18"/>
  <c r="BB83" i="18"/>
  <c r="AJ83" i="18"/>
  <c r="BA82" i="18"/>
  <c r="AM82" i="18"/>
  <c r="BB81" i="18"/>
  <c r="AJ81" i="18"/>
  <c r="BD80" i="18"/>
  <c r="AZ80" i="18"/>
  <c r="AN80" i="18"/>
  <c r="AJ80" i="18"/>
  <c r="AM81" i="18"/>
  <c r="BC80" i="18"/>
  <c r="AM80" i="18"/>
  <c r="R40" i="18"/>
  <c r="Q40" i="18" s="1"/>
  <c r="BC153" i="18"/>
  <c r="AL152" i="18"/>
  <c r="BC148" i="18"/>
  <c r="AL147" i="18"/>
  <c r="AZ145" i="18"/>
  <c r="BC144" i="18"/>
  <c r="AK144" i="18"/>
  <c r="BA142" i="18"/>
  <c r="BB141" i="18"/>
  <c r="BC140" i="18"/>
  <c r="AL139" i="18"/>
  <c r="AZ138" i="18"/>
  <c r="BB137" i="18"/>
  <c r="BC136" i="18"/>
  <c r="AL135" i="18"/>
  <c r="AZ134" i="18"/>
  <c r="BB133" i="18"/>
  <c r="BC132" i="18"/>
  <c r="AL131" i="18"/>
  <c r="AZ130" i="18"/>
  <c r="BB129" i="18"/>
  <c r="BC128" i="18"/>
  <c r="AL127" i="18"/>
  <c r="AZ126" i="18"/>
  <c r="BB125" i="18"/>
  <c r="BC124" i="18"/>
  <c r="AK124" i="18"/>
  <c r="BA123" i="18"/>
  <c r="BA122" i="18"/>
  <c r="AJ122" i="18"/>
  <c r="AZ121" i="18"/>
  <c r="AZ120" i="18"/>
  <c r="AL119" i="18"/>
  <c r="AM118" i="18"/>
  <c r="BC117" i="18"/>
  <c r="AK117" i="18"/>
  <c r="BB116" i="18"/>
  <c r="AL116" i="18"/>
  <c r="BA115" i="18"/>
  <c r="AJ115" i="18"/>
  <c r="AL114" i="18"/>
  <c r="BC113" i="18"/>
  <c r="AK113" i="18"/>
  <c r="BB112" i="18"/>
  <c r="AL112" i="18"/>
  <c r="BA111" i="18"/>
  <c r="AJ111" i="18"/>
  <c r="AL110" i="18"/>
  <c r="AM109" i="18"/>
  <c r="BC108" i="18"/>
  <c r="AK108" i="18"/>
  <c r="BB107" i="18"/>
  <c r="AL107" i="18"/>
  <c r="BB106" i="18"/>
  <c r="AJ106" i="18"/>
  <c r="BA105" i="18"/>
  <c r="AM105" i="18"/>
  <c r="BC104" i="18"/>
  <c r="AK104" i="18"/>
  <c r="BA103" i="18"/>
  <c r="AM103" i="18"/>
  <c r="BC102" i="18"/>
  <c r="AK102" i="18"/>
  <c r="AZ101" i="18"/>
  <c r="AL101" i="18"/>
  <c r="BA100" i="18"/>
  <c r="AM100" i="18"/>
  <c r="BB99" i="18"/>
  <c r="AJ99" i="18"/>
  <c r="BC98" i="18"/>
  <c r="AK98" i="18"/>
  <c r="AZ97" i="18"/>
  <c r="AL97" i="18"/>
  <c r="BA96" i="18"/>
  <c r="AM96" i="18"/>
  <c r="BB95" i="18"/>
  <c r="AJ95" i="18"/>
  <c r="BC94" i="18"/>
  <c r="AK94" i="18"/>
  <c r="AZ93" i="18"/>
  <c r="AL93" i="18"/>
  <c r="BA92" i="18"/>
  <c r="AM92" i="18"/>
  <c r="BB91" i="18"/>
  <c r="AJ91" i="18"/>
  <c r="BC90" i="18"/>
  <c r="AK90" i="18"/>
  <c r="BA89" i="18"/>
  <c r="AM89" i="18"/>
  <c r="BC88" i="18"/>
  <c r="AK88" i="18"/>
  <c r="BA87" i="18"/>
  <c r="AM87" i="18"/>
  <c r="BC86" i="18"/>
  <c r="AK86" i="18"/>
  <c r="BA85" i="18"/>
  <c r="AM85" i="18"/>
  <c r="BC84" i="18"/>
  <c r="AK84" i="18"/>
  <c r="BA83" i="18"/>
  <c r="AM83" i="18"/>
  <c r="AZ82" i="18"/>
  <c r="AL82" i="18"/>
  <c r="BA81" i="18"/>
  <c r="AZ123" i="18"/>
  <c r="AZ122" i="18"/>
  <c r="AJ146" i="18"/>
  <c r="AM142" i="18"/>
  <c r="AZ139" i="18"/>
  <c r="AM134" i="18"/>
  <c r="AZ131" i="18"/>
  <c r="AM126" i="18"/>
  <c r="AZ124" i="18"/>
  <c r="BB119" i="18"/>
  <c r="BA118" i="18"/>
  <c r="AZ117" i="18"/>
  <c r="AZ116" i="18"/>
  <c r="AM115" i="18"/>
  <c r="BC110" i="18"/>
  <c r="AJ110" i="18"/>
  <c r="BB109" i="18"/>
  <c r="AJ109" i="18"/>
  <c r="BB108" i="18"/>
  <c r="BA107" i="18"/>
  <c r="AZ106" i="18"/>
  <c r="BA99" i="18"/>
  <c r="AL95" i="18"/>
  <c r="BA91" i="18"/>
  <c r="BB90" i="18"/>
  <c r="AL85" i="18"/>
  <c r="BC149" i="18"/>
  <c r="BB143" i="18"/>
  <c r="AM138" i="18"/>
  <c r="AZ135" i="18"/>
  <c r="AM130" i="18"/>
  <c r="AZ127" i="18"/>
  <c r="AL123" i="18"/>
  <c r="AM122" i="18"/>
  <c r="AK121" i="18"/>
  <c r="BB120" i="18"/>
  <c r="AL120" i="18"/>
  <c r="AK119" i="18"/>
  <c r="AL118" i="18"/>
  <c r="BC114" i="18"/>
  <c r="AJ114" i="18"/>
  <c r="BA113" i="18"/>
  <c r="AZ112" i="18"/>
  <c r="AM111" i="18"/>
  <c r="AJ108" i="18"/>
  <c r="AJ107" i="18"/>
  <c r="AL106" i="18"/>
  <c r="BC105" i="18"/>
  <c r="AK105" i="18"/>
  <c r="BA104" i="18"/>
  <c r="AM104" i="18"/>
  <c r="BC103" i="18"/>
  <c r="AK103" i="18"/>
  <c r="BA102" i="18"/>
  <c r="AM102" i="18"/>
  <c r="BB101" i="18"/>
  <c r="AK101" i="18"/>
  <c r="BC100" i="18"/>
  <c r="AK100" i="18"/>
  <c r="BA98" i="18"/>
  <c r="AM98" i="18"/>
  <c r="BB97" i="18"/>
  <c r="AK97" i="18"/>
  <c r="BC96" i="18"/>
  <c r="AK96" i="18"/>
  <c r="BA94" i="18"/>
  <c r="AM94" i="18"/>
  <c r="BB93" i="18"/>
  <c r="AK93" i="18"/>
  <c r="BC92" i="18"/>
  <c r="AK92" i="18"/>
  <c r="BA90" i="18"/>
  <c r="AM90" i="18"/>
  <c r="BC89" i="18"/>
  <c r="AK89" i="18"/>
  <c r="BA88" i="18"/>
  <c r="AM88" i="18"/>
  <c r="BC87" i="18"/>
  <c r="AK87" i="18"/>
  <c r="BA86" i="18"/>
  <c r="AM86" i="18"/>
  <c r="BC85" i="18"/>
  <c r="AK85" i="18"/>
  <c r="BA84" i="18"/>
  <c r="AM84" i="18"/>
  <c r="BC83" i="18"/>
  <c r="AK83" i="18"/>
  <c r="BB82" i="18"/>
  <c r="AK82" i="18"/>
  <c r="BC81" i="18"/>
  <c r="AK81" i="18"/>
  <c r="AL80" i="18"/>
  <c r="AJ104" i="18"/>
  <c r="AJ101" i="18"/>
  <c r="AJ98" i="18"/>
  <c r="AJ97" i="18"/>
  <c r="AM95" i="18"/>
  <c r="AJ94" i="18"/>
  <c r="AJ93" i="18"/>
  <c r="AM91" i="18"/>
  <c r="AJ90" i="18"/>
  <c r="AJ88" i="18"/>
  <c r="AZ87" i="18"/>
  <c r="AJ86" i="18"/>
  <c r="AZ85" i="18"/>
  <c r="AJ84" i="18"/>
  <c r="AZ81" i="18"/>
  <c r="BB80" i="18"/>
  <c r="AK80" i="18"/>
  <c r="R42" i="18"/>
  <c r="AL99" i="18"/>
  <c r="BA80" i="18"/>
  <c r="AK114" i="18"/>
  <c r="BA112" i="18"/>
  <c r="BB110" i="18"/>
  <c r="BA109" i="18"/>
  <c r="AZ108" i="18"/>
  <c r="AZ107" i="18"/>
  <c r="AL105" i="18"/>
  <c r="BB104" i="18"/>
  <c r="AL103" i="18"/>
  <c r="BB102" i="18"/>
  <c r="BC101" i="18"/>
  <c r="BB98" i="18"/>
  <c r="BC97" i="18"/>
  <c r="BB94" i="18"/>
  <c r="BC93" i="18"/>
  <c r="AZ91" i="18"/>
  <c r="BB88" i="18"/>
  <c r="BB86" i="18"/>
  <c r="BB84" i="18"/>
  <c r="AL81" i="18"/>
  <c r="AZ151" i="18"/>
  <c r="AJ141" i="18"/>
  <c r="AJ136" i="18"/>
  <c r="AJ133" i="18"/>
  <c r="AJ128" i="18"/>
  <c r="AJ125" i="18"/>
  <c r="BC119" i="18"/>
  <c r="AJ119" i="18"/>
  <c r="BB118" i="18"/>
  <c r="AJ118" i="18"/>
  <c r="BB117" i="18"/>
  <c r="BA116" i="18"/>
  <c r="BB114" i="18"/>
  <c r="AZ113" i="18"/>
  <c r="AM113" i="18"/>
  <c r="AJ112" i="18"/>
  <c r="BC111" i="18"/>
  <c r="AK110" i="18"/>
  <c r="AL109" i="18"/>
  <c r="AZ105" i="18"/>
  <c r="AZ103" i="18"/>
  <c r="AJ102" i="18"/>
  <c r="AZ100" i="18"/>
  <c r="AM99" i="18"/>
  <c r="AZ96" i="18"/>
  <c r="AZ92" i="18"/>
  <c r="AZ89" i="18"/>
  <c r="AZ83" i="18"/>
  <c r="AJ82" i="18"/>
  <c r="BA95" i="18"/>
  <c r="AL91" i="18"/>
  <c r="BA146" i="18"/>
  <c r="AL145" i="18"/>
  <c r="AL143" i="18"/>
  <c r="AJ140" i="18"/>
  <c r="AJ137" i="18"/>
  <c r="AJ132" i="18"/>
  <c r="AJ129" i="18"/>
  <c r="BC121" i="18"/>
  <c r="AM120" i="18"/>
  <c r="AJ117" i="18"/>
  <c r="AJ116" i="18"/>
  <c r="BC115" i="18"/>
  <c r="AL100" i="18"/>
  <c r="AZ99" i="18"/>
  <c r="AL96" i="18"/>
  <c r="AZ95" i="18"/>
  <c r="AL92" i="18"/>
  <c r="AL89" i="18"/>
  <c r="AL87" i="18"/>
  <c r="AL83" i="18"/>
  <c r="BC82" i="18"/>
  <c r="EB93" i="16" l="1"/>
  <c r="EB97" i="16"/>
  <c r="EB99" i="16"/>
  <c r="EB95" i="16"/>
  <c r="EB96" i="16"/>
  <c r="EB98" i="16"/>
  <c r="EB101" i="16"/>
  <c r="EB102" i="16"/>
  <c r="EB110" i="16"/>
  <c r="EB94" i="16"/>
  <c r="EB109" i="16"/>
  <c r="EB104" i="16"/>
  <c r="EB105" i="16"/>
  <c r="EB106" i="16"/>
  <c r="EB108" i="16"/>
  <c r="EB112" i="16"/>
  <c r="EB116" i="16"/>
  <c r="EB100" i="16"/>
  <c r="EB107" i="16"/>
  <c r="EB111" i="16"/>
  <c r="EB114" i="16"/>
  <c r="EB103" i="16"/>
  <c r="EB113" i="16"/>
  <c r="EB115" i="16"/>
  <c r="EB92" i="16"/>
  <c r="EB91" i="16"/>
  <c r="EB83" i="16"/>
  <c r="EB86" i="16"/>
  <c r="EE80" i="16"/>
  <c r="EB85" i="16"/>
  <c r="EB90" i="16"/>
  <c r="EB81" i="16"/>
  <c r="EB84" i="16"/>
  <c r="EB89" i="16"/>
  <c r="EB87" i="16"/>
  <c r="EB88" i="16"/>
  <c r="EB82" i="16"/>
  <c r="AG194" i="16"/>
  <c r="AF195" i="16"/>
  <c r="AV195" i="16"/>
  <c r="AW194" i="16"/>
  <c r="AO192" i="16"/>
  <c r="AN193" i="16"/>
  <c r="BD200" i="18"/>
  <c r="BE200" i="18" s="1"/>
  <c r="BD199" i="18"/>
  <c r="BE199" i="18" s="1"/>
  <c r="BD196" i="18"/>
  <c r="BE196" i="18" s="1"/>
  <c r="BD198" i="18"/>
  <c r="BE198" i="18" s="1"/>
  <c r="BD192" i="18"/>
  <c r="BE192" i="18" s="1"/>
  <c r="BD197" i="18"/>
  <c r="BE197" i="18" s="1"/>
  <c r="BD195" i="18"/>
  <c r="BE195" i="18" s="1"/>
  <c r="BD191" i="18"/>
  <c r="BE191" i="18" s="1"/>
  <c r="BD194" i="18"/>
  <c r="BE194" i="18" s="1"/>
  <c r="BD193" i="18"/>
  <c r="BE193" i="18" s="1"/>
  <c r="BD189" i="18"/>
  <c r="BE189" i="18" s="1"/>
  <c r="BD186" i="18"/>
  <c r="BE186" i="18" s="1"/>
  <c r="BD184" i="18"/>
  <c r="BE184" i="18" s="1"/>
  <c r="BD180" i="18"/>
  <c r="BE180" i="18" s="1"/>
  <c r="BD188" i="18"/>
  <c r="BE188" i="18" s="1"/>
  <c r="BD187" i="18"/>
  <c r="BE187" i="18" s="1"/>
  <c r="BD182" i="18"/>
  <c r="BE182" i="18" s="1"/>
  <c r="BD181" i="18"/>
  <c r="BE181" i="18" s="1"/>
  <c r="BD178" i="18"/>
  <c r="BE178" i="18" s="1"/>
  <c r="BD185" i="18"/>
  <c r="BE185" i="18" s="1"/>
  <c r="BD175" i="18"/>
  <c r="BE175" i="18" s="1"/>
  <c r="BD171" i="18"/>
  <c r="BE171" i="18" s="1"/>
  <c r="BD167" i="18"/>
  <c r="BE167" i="18" s="1"/>
  <c r="BD163" i="18"/>
  <c r="BE163" i="18" s="1"/>
  <c r="BD159" i="18"/>
  <c r="BE159" i="18" s="1"/>
  <c r="BD190" i="18"/>
  <c r="BE190" i="18" s="1"/>
  <c r="BD177" i="18"/>
  <c r="BE177" i="18" s="1"/>
  <c r="BD176" i="18"/>
  <c r="BE176" i="18" s="1"/>
  <c r="BD173" i="18"/>
  <c r="BE173" i="18" s="1"/>
  <c r="BD172" i="18"/>
  <c r="BE172" i="18" s="1"/>
  <c r="BD174" i="18"/>
  <c r="BE174" i="18" s="1"/>
  <c r="BD183" i="18"/>
  <c r="BE183" i="18" s="1"/>
  <c r="BD179" i="18"/>
  <c r="BE179" i="18" s="1"/>
  <c r="BD170" i="18"/>
  <c r="BE170" i="18" s="1"/>
  <c r="BD168" i="18"/>
  <c r="BE168" i="18" s="1"/>
  <c r="BD166" i="18"/>
  <c r="BE166" i="18" s="1"/>
  <c r="BD157" i="18"/>
  <c r="BE157" i="18" s="1"/>
  <c r="BD165" i="18"/>
  <c r="BE165" i="18" s="1"/>
  <c r="BD160" i="18"/>
  <c r="BE160" i="18" s="1"/>
  <c r="BD158" i="18"/>
  <c r="BE158" i="18" s="1"/>
  <c r="BD155" i="18"/>
  <c r="BE155" i="18" s="1"/>
  <c r="BD154" i="18"/>
  <c r="BE154" i="18" s="1"/>
  <c r="BD150" i="18"/>
  <c r="BE150" i="18" s="1"/>
  <c r="BD146" i="18"/>
  <c r="BE146" i="18" s="1"/>
  <c r="BD142" i="18"/>
  <c r="BE142" i="18" s="1"/>
  <c r="BD161" i="18"/>
  <c r="BE161" i="18" s="1"/>
  <c r="BD156" i="18"/>
  <c r="BE156" i="18" s="1"/>
  <c r="BD153" i="18"/>
  <c r="BE153" i="18" s="1"/>
  <c r="BD149" i="18"/>
  <c r="BE149" i="18" s="1"/>
  <c r="BD164" i="18"/>
  <c r="BE164" i="18" s="1"/>
  <c r="BD148" i="18"/>
  <c r="BE148" i="18" s="1"/>
  <c r="BD147" i="18"/>
  <c r="BE147" i="18" s="1"/>
  <c r="BD141" i="18"/>
  <c r="BE141" i="18" s="1"/>
  <c r="BD137" i="18"/>
  <c r="BE137" i="18" s="1"/>
  <c r="BD133" i="18"/>
  <c r="BE133" i="18" s="1"/>
  <c r="BD129" i="18"/>
  <c r="BE129" i="18" s="1"/>
  <c r="BD125" i="18"/>
  <c r="BE125" i="18" s="1"/>
  <c r="BD115" i="18"/>
  <c r="BE115" i="18" s="1"/>
  <c r="BD111" i="18"/>
  <c r="BE111" i="18" s="1"/>
  <c r="BD162" i="18"/>
  <c r="BE162" i="18" s="1"/>
  <c r="BD151" i="18"/>
  <c r="BE151" i="18" s="1"/>
  <c r="BD140" i="18"/>
  <c r="BE140" i="18" s="1"/>
  <c r="BD136" i="18"/>
  <c r="BE136" i="18" s="1"/>
  <c r="BD132" i="18"/>
  <c r="BE132" i="18" s="1"/>
  <c r="BD128" i="18"/>
  <c r="BE128" i="18" s="1"/>
  <c r="BD152" i="18"/>
  <c r="BE152" i="18" s="1"/>
  <c r="BD143" i="18"/>
  <c r="BE143" i="18" s="1"/>
  <c r="BD121" i="18"/>
  <c r="BE121" i="18" s="1"/>
  <c r="BD169" i="18"/>
  <c r="BE169" i="18" s="1"/>
  <c r="BD145" i="18"/>
  <c r="BE145" i="18" s="1"/>
  <c r="BD144" i="18"/>
  <c r="BE144" i="18" s="1"/>
  <c r="BD124" i="18"/>
  <c r="BE124" i="18" s="1"/>
  <c r="BD117" i="18"/>
  <c r="BE117" i="18" s="1"/>
  <c r="BD116" i="18"/>
  <c r="BE116" i="18" s="1"/>
  <c r="BD113" i="18"/>
  <c r="BE113" i="18" s="1"/>
  <c r="BD112" i="18"/>
  <c r="BE112" i="18" s="1"/>
  <c r="BD108" i="18"/>
  <c r="BE108" i="18" s="1"/>
  <c r="BD107" i="18"/>
  <c r="BE107" i="18" s="1"/>
  <c r="BD104" i="18"/>
  <c r="BE104" i="18" s="1"/>
  <c r="BD102" i="18"/>
  <c r="BE102" i="18" s="1"/>
  <c r="BD98" i="18"/>
  <c r="BE98" i="18" s="1"/>
  <c r="BD94" i="18"/>
  <c r="BE94" i="18" s="1"/>
  <c r="BD90" i="18"/>
  <c r="BE90" i="18" s="1"/>
  <c r="BD88" i="18"/>
  <c r="BE88" i="18" s="1"/>
  <c r="BD86" i="18"/>
  <c r="BE86" i="18" s="1"/>
  <c r="BD84" i="18"/>
  <c r="BE84" i="18" s="1"/>
  <c r="BD82" i="18"/>
  <c r="BE82" i="18" s="1"/>
  <c r="BD139" i="18"/>
  <c r="BE139" i="18" s="1"/>
  <c r="BD135" i="18"/>
  <c r="BE135" i="18" s="1"/>
  <c r="BD131" i="18"/>
  <c r="BE131" i="18" s="1"/>
  <c r="BD127" i="18"/>
  <c r="BE127" i="18" s="1"/>
  <c r="BD119" i="18"/>
  <c r="BE119" i="18" s="1"/>
  <c r="BD118" i="18"/>
  <c r="BE118" i="18" s="1"/>
  <c r="BD114" i="18"/>
  <c r="BE114" i="18" s="1"/>
  <c r="BD110" i="18"/>
  <c r="BE110" i="18" s="1"/>
  <c r="BD109" i="18"/>
  <c r="BE109" i="18" s="1"/>
  <c r="BD101" i="18"/>
  <c r="BE101" i="18" s="1"/>
  <c r="BD97" i="18"/>
  <c r="BE97" i="18" s="1"/>
  <c r="BD93" i="18"/>
  <c r="BE93" i="18" s="1"/>
  <c r="BD89" i="18"/>
  <c r="BE89" i="18" s="1"/>
  <c r="BD87" i="18"/>
  <c r="BE87" i="18" s="1"/>
  <c r="BD83" i="18"/>
  <c r="BE83" i="18" s="1"/>
  <c r="BE80" i="18"/>
  <c r="BD106" i="18"/>
  <c r="BE106" i="18" s="1"/>
  <c r="BD95" i="18"/>
  <c r="BE95" i="18" s="1"/>
  <c r="BD91" i="18"/>
  <c r="BE91" i="18" s="1"/>
  <c r="BD105" i="18"/>
  <c r="BE105" i="18" s="1"/>
  <c r="BD103" i="18"/>
  <c r="BE103" i="18" s="1"/>
  <c r="BD100" i="18"/>
  <c r="BE100" i="18" s="1"/>
  <c r="BD92" i="18"/>
  <c r="BE92" i="18" s="1"/>
  <c r="BD138" i="18"/>
  <c r="BE138" i="18" s="1"/>
  <c r="BD130" i="18"/>
  <c r="BE130" i="18" s="1"/>
  <c r="BD99" i="18"/>
  <c r="BE99" i="18" s="1"/>
  <c r="BD134" i="18"/>
  <c r="BE134" i="18" s="1"/>
  <c r="BD126" i="18"/>
  <c r="BE126" i="18" s="1"/>
  <c r="BD123" i="18"/>
  <c r="BE123" i="18" s="1"/>
  <c r="BD122" i="18"/>
  <c r="BE122" i="18" s="1"/>
  <c r="BD120" i="18"/>
  <c r="BE120" i="18" s="1"/>
  <c r="BD96" i="18"/>
  <c r="BE96" i="18" s="1"/>
  <c r="BD85" i="18"/>
  <c r="BE85" i="18" s="1"/>
  <c r="BD81" i="18"/>
  <c r="BE81" i="18" s="1"/>
  <c r="GZ81" i="18"/>
  <c r="AV83" i="18"/>
  <c r="AG82" i="18"/>
  <c r="AF83" i="18"/>
  <c r="AW82" i="18"/>
  <c r="AN81" i="18"/>
  <c r="AO80" i="18"/>
  <c r="HB81" i="18"/>
  <c r="HB82" i="18" s="1"/>
  <c r="HE81" i="18"/>
  <c r="ED81" i="16" l="1"/>
  <c r="EC81" i="16" s="1"/>
  <c r="AN194" i="16"/>
  <c r="AO193" i="16"/>
  <c r="AW195" i="16"/>
  <c r="AF196" i="16"/>
  <c r="AV196" i="16"/>
  <c r="AG195" i="16"/>
  <c r="GY82" i="18"/>
  <c r="GX82" i="18" s="1"/>
  <c r="GZ82" i="18" s="1"/>
  <c r="AW83" i="18"/>
  <c r="AF84" i="18"/>
  <c r="AV84" i="18"/>
  <c r="AG83" i="18"/>
  <c r="HD82" i="18"/>
  <c r="HC82" i="18" s="1"/>
  <c r="HE82" i="18" s="1"/>
  <c r="HB83" i="18"/>
  <c r="AO81" i="18"/>
  <c r="AN82" i="18"/>
  <c r="EE81" i="16" l="1"/>
  <c r="ED82" i="16" s="1"/>
  <c r="EC82" i="16" s="1"/>
  <c r="EE82" i="16" s="1"/>
  <c r="ED83" i="16" s="1"/>
  <c r="EC83" i="16" s="1"/>
  <c r="EE83" i="16" s="1"/>
  <c r="ED84" i="16" s="1"/>
  <c r="EC84" i="16" s="1"/>
  <c r="EE84" i="16" s="1"/>
  <c r="ED85" i="16" s="1"/>
  <c r="EC85" i="16" s="1"/>
  <c r="EE85" i="16" s="1"/>
  <c r="ED86" i="16" s="1"/>
  <c r="EC86" i="16" s="1"/>
  <c r="EE86" i="16" s="1"/>
  <c r="ED87" i="16" s="1"/>
  <c r="EC87" i="16" s="1"/>
  <c r="EE87" i="16" s="1"/>
  <c r="ED88" i="16" s="1"/>
  <c r="EC88" i="16" s="1"/>
  <c r="EE88" i="16" s="1"/>
  <c r="ED89" i="16" s="1"/>
  <c r="EC89" i="16" s="1"/>
  <c r="EE89" i="16" s="1"/>
  <c r="ED90" i="16" s="1"/>
  <c r="EC90" i="16" s="1"/>
  <c r="EE90" i="16" s="1"/>
  <c r="ED91" i="16" s="1"/>
  <c r="EC91" i="16" s="1"/>
  <c r="EE91" i="16" s="1"/>
  <c r="ED92" i="16" s="1"/>
  <c r="EC92" i="16" s="1"/>
  <c r="EE92" i="16" s="1"/>
  <c r="AW196" i="16"/>
  <c r="AF197" i="16"/>
  <c r="AG196" i="16"/>
  <c r="AV197" i="16"/>
  <c r="AN195" i="16"/>
  <c r="AO194" i="16"/>
  <c r="HB84" i="18"/>
  <c r="HD83" i="18"/>
  <c r="HC83" i="18" s="1"/>
  <c r="HE83" i="18" s="1"/>
  <c r="GY83" i="18"/>
  <c r="GX83" i="18" s="1"/>
  <c r="GZ83" i="18" s="1"/>
  <c r="AN83" i="18"/>
  <c r="AO82" i="18"/>
  <c r="AG84" i="18"/>
  <c r="AV85" i="18"/>
  <c r="AW84" i="18"/>
  <c r="AF85" i="18"/>
  <c r="EH81" i="16" l="1"/>
  <c r="ED93" i="16"/>
  <c r="EC93" i="16" s="1"/>
  <c r="EE93" i="16" s="1"/>
  <c r="AW197" i="16"/>
  <c r="AG197" i="16"/>
  <c r="AV198" i="16"/>
  <c r="AF198" i="16"/>
  <c r="AN196" i="16"/>
  <c r="AO195" i="16"/>
  <c r="GY84" i="18"/>
  <c r="GX84" i="18" s="1"/>
  <c r="GZ84" i="18" s="1"/>
  <c r="HD84" i="18"/>
  <c r="HC84" i="18" s="1"/>
  <c r="HE84" i="18" s="1"/>
  <c r="AO83" i="18"/>
  <c r="AN84" i="18"/>
  <c r="HB85" i="18"/>
  <c r="AW85" i="18"/>
  <c r="AF86" i="18"/>
  <c r="AV86" i="18"/>
  <c r="AG85" i="18"/>
  <c r="EJ81" i="16" l="1"/>
  <c r="EI82" i="16" s="1"/>
  <c r="EG81" i="16"/>
  <c r="EG82" i="16" s="1"/>
  <c r="EG83" i="16" s="1"/>
  <c r="EG84" i="16" s="1"/>
  <c r="EG85" i="16" s="1"/>
  <c r="EG86" i="16" s="1"/>
  <c r="EG87" i="16" s="1"/>
  <c r="EG88" i="16" s="1"/>
  <c r="EG89" i="16" s="1"/>
  <c r="EG90" i="16" s="1"/>
  <c r="EG91" i="16" s="1"/>
  <c r="EG92" i="16" s="1"/>
  <c r="EG93" i="16" s="1"/>
  <c r="ED94" i="16"/>
  <c r="EC94" i="16" s="1"/>
  <c r="EE94" i="16" s="1"/>
  <c r="AF199" i="16"/>
  <c r="AG198" i="16"/>
  <c r="AW198" i="16"/>
  <c r="AV199" i="16"/>
  <c r="AN197" i="16"/>
  <c r="AO196" i="16"/>
  <c r="HD85" i="18"/>
  <c r="HC85" i="18" s="1"/>
  <c r="HE85" i="18" s="1"/>
  <c r="GY85" i="18"/>
  <c r="GX85" i="18" s="1"/>
  <c r="GZ85" i="18" s="1"/>
  <c r="AG86" i="18"/>
  <c r="AV87" i="18"/>
  <c r="AW86" i="18"/>
  <c r="AF87" i="18"/>
  <c r="HB86" i="18"/>
  <c r="AN85" i="18"/>
  <c r="AO84" i="18"/>
  <c r="EH82" i="16" l="1"/>
  <c r="EJ82" i="16" s="1"/>
  <c r="EI83" i="16" s="1"/>
  <c r="EH83" i="16" s="1"/>
  <c r="EJ83" i="16" s="1"/>
  <c r="EI84" i="16" s="1"/>
  <c r="EH84" i="16" s="1"/>
  <c r="EJ84" i="16" s="1"/>
  <c r="EI85" i="16" s="1"/>
  <c r="EH85" i="16" s="1"/>
  <c r="EJ85" i="16" s="1"/>
  <c r="EI86" i="16" s="1"/>
  <c r="EH86" i="16" s="1"/>
  <c r="EJ86" i="16" s="1"/>
  <c r="EI87" i="16" s="1"/>
  <c r="EH87" i="16" s="1"/>
  <c r="EJ87" i="16" s="1"/>
  <c r="EI88" i="16" s="1"/>
  <c r="EH88" i="16" s="1"/>
  <c r="EJ88" i="16" s="1"/>
  <c r="EI89" i="16" s="1"/>
  <c r="EH89" i="16" s="1"/>
  <c r="EJ89" i="16" s="1"/>
  <c r="EI90" i="16" s="1"/>
  <c r="EH90" i="16" s="1"/>
  <c r="EJ90" i="16" s="1"/>
  <c r="EI91" i="16" s="1"/>
  <c r="EH91" i="16" s="1"/>
  <c r="EJ91" i="16" s="1"/>
  <c r="EI92" i="16" s="1"/>
  <c r="EH92" i="16" s="1"/>
  <c r="EJ92" i="16" s="1"/>
  <c r="EI93" i="16" s="1"/>
  <c r="EH93" i="16" s="1"/>
  <c r="EJ93" i="16" s="1"/>
  <c r="ED95" i="16"/>
  <c r="EC95" i="16" s="1"/>
  <c r="EE95" i="16" s="1"/>
  <c r="EG94" i="16"/>
  <c r="AN198" i="16"/>
  <c r="AO197" i="16"/>
  <c r="AW199" i="16"/>
  <c r="AG199" i="16"/>
  <c r="AV200" i="16"/>
  <c r="AF200" i="16"/>
  <c r="HD86" i="18"/>
  <c r="HC86" i="18" s="1"/>
  <c r="HE86" i="18" s="1"/>
  <c r="AW87" i="18"/>
  <c r="AF88" i="18"/>
  <c r="AG87" i="18"/>
  <c r="AV88" i="18"/>
  <c r="AO85" i="18"/>
  <c r="AN86" i="18"/>
  <c r="GY86" i="18"/>
  <c r="GX86" i="18" s="1"/>
  <c r="GZ86" i="18" s="1"/>
  <c r="HB87" i="18"/>
  <c r="EI94" i="16" l="1"/>
  <c r="EH94" i="16" s="1"/>
  <c r="EJ94" i="16" s="1"/>
  <c r="ED96" i="16"/>
  <c r="EC96" i="16" s="1"/>
  <c r="EE96" i="16" s="1"/>
  <c r="EG95" i="16"/>
  <c r="AW200" i="16"/>
  <c r="R56" i="16" s="1"/>
  <c r="AG200" i="16"/>
  <c r="AN199" i="16"/>
  <c r="AO198" i="16"/>
  <c r="HD87" i="18"/>
  <c r="HC87" i="18" s="1"/>
  <c r="HE87" i="18" s="1"/>
  <c r="GY87" i="18"/>
  <c r="GX87" i="18" s="1"/>
  <c r="GZ87" i="18" s="1"/>
  <c r="AN87" i="18"/>
  <c r="AO86" i="18"/>
  <c r="HB88" i="18"/>
  <c r="AG88" i="18"/>
  <c r="AV89" i="18"/>
  <c r="AW88" i="18"/>
  <c r="AF89" i="18"/>
  <c r="EI95" i="16" l="1"/>
  <c r="EH95" i="16" s="1"/>
  <c r="EJ95" i="16" s="1"/>
  <c r="ED97" i="16"/>
  <c r="EC97" i="16" s="1"/>
  <c r="EE97" i="16" s="1"/>
  <c r="EG96" i="16"/>
  <c r="AN200" i="16"/>
  <c r="AO200" i="16" s="1"/>
  <c r="AO199" i="16"/>
  <c r="HD88" i="18"/>
  <c r="HC88" i="18" s="1"/>
  <c r="HE88" i="18" s="1"/>
  <c r="GY88" i="18"/>
  <c r="GX88" i="18" s="1"/>
  <c r="GZ88" i="18" s="1"/>
  <c r="AW89" i="18"/>
  <c r="AF90" i="18"/>
  <c r="AV90" i="18"/>
  <c r="AG89" i="18"/>
  <c r="HB89" i="18"/>
  <c r="AN88" i="18"/>
  <c r="AO87" i="18"/>
  <c r="EI96" i="16" l="1"/>
  <c r="EH96" i="16" s="1"/>
  <c r="EJ96" i="16" s="1"/>
  <c r="ED98" i="16"/>
  <c r="EC98" i="16" s="1"/>
  <c r="EE98" i="16" s="1"/>
  <c r="EG97" i="16"/>
  <c r="HD89" i="18"/>
  <c r="HC89" i="18" s="1"/>
  <c r="HE89" i="18" s="1"/>
  <c r="GY89" i="18"/>
  <c r="GX89" i="18" s="1"/>
  <c r="GZ89" i="18" s="1"/>
  <c r="HB90" i="18"/>
  <c r="AF91" i="18"/>
  <c r="AG90" i="18"/>
  <c r="AV91" i="18"/>
  <c r="AW90" i="18"/>
  <c r="AN89" i="18"/>
  <c r="AO88" i="18"/>
  <c r="EI97" i="16" l="1"/>
  <c r="EH97" i="16" s="1"/>
  <c r="EJ97" i="16" s="1"/>
  <c r="ED99" i="16"/>
  <c r="EC99" i="16" s="1"/>
  <c r="EE99" i="16" s="1"/>
  <c r="EG98" i="16"/>
  <c r="HD90" i="18"/>
  <c r="HC90" i="18" s="1"/>
  <c r="HE90" i="18" s="1"/>
  <c r="GY90" i="18"/>
  <c r="GX90" i="18" s="1"/>
  <c r="GZ90" i="18" s="1"/>
  <c r="HB91" i="18"/>
  <c r="AO89" i="18"/>
  <c r="AN90" i="18"/>
  <c r="AV92" i="18"/>
  <c r="AW91" i="18"/>
  <c r="AF92" i="18"/>
  <c r="AG91" i="18"/>
  <c r="EI98" i="16" l="1"/>
  <c r="EH98" i="16" s="1"/>
  <c r="EJ98" i="16" s="1"/>
  <c r="ED100" i="16"/>
  <c r="EC100" i="16" s="1"/>
  <c r="EE100" i="16" s="1"/>
  <c r="EG99" i="16"/>
  <c r="GY91" i="18"/>
  <c r="GX91" i="18" s="1"/>
  <c r="GZ91" i="18" s="1"/>
  <c r="HD91" i="18"/>
  <c r="HC91" i="18" s="1"/>
  <c r="HE91" i="18" s="1"/>
  <c r="AN91" i="18"/>
  <c r="AO90" i="18"/>
  <c r="AV93" i="18"/>
  <c r="AW92" i="18"/>
  <c r="AG92" i="18"/>
  <c r="AF93" i="18"/>
  <c r="HB92" i="18"/>
  <c r="EI99" i="16" l="1"/>
  <c r="EH99" i="16" s="1"/>
  <c r="EJ99" i="16" s="1"/>
  <c r="ED101" i="16"/>
  <c r="EC101" i="16" s="1"/>
  <c r="EE101" i="16" s="1"/>
  <c r="EG100" i="16"/>
  <c r="HD92" i="18"/>
  <c r="HC92" i="18" s="1"/>
  <c r="HE92" i="18" s="1"/>
  <c r="HG80" i="18" s="1"/>
  <c r="GY92" i="18"/>
  <c r="GX92" i="18" s="1"/>
  <c r="GZ92" i="18" s="1"/>
  <c r="AF94" i="18"/>
  <c r="AG93" i="18"/>
  <c r="AV94" i="18"/>
  <c r="AW93" i="18"/>
  <c r="AN92" i="18"/>
  <c r="AO91" i="18"/>
  <c r="EI100" i="16" l="1"/>
  <c r="EH100" i="16" s="1"/>
  <c r="EJ100" i="16" s="1"/>
  <c r="ED102" i="16"/>
  <c r="EC102" i="16" s="1"/>
  <c r="EE102" i="16" s="1"/>
  <c r="EG101" i="16"/>
  <c r="HJ80" i="18"/>
  <c r="HG82" i="18"/>
  <c r="HG81" i="18"/>
  <c r="HG83" i="18"/>
  <c r="HG84" i="18"/>
  <c r="HG85" i="18"/>
  <c r="HG86" i="18"/>
  <c r="HG87" i="18"/>
  <c r="HG88" i="18"/>
  <c r="HG89" i="18"/>
  <c r="HG90" i="18"/>
  <c r="HG91" i="18"/>
  <c r="HG92" i="18"/>
  <c r="AN93" i="18"/>
  <c r="AO92" i="18"/>
  <c r="AF95" i="18"/>
  <c r="AG94" i="18"/>
  <c r="AV95" i="18"/>
  <c r="AW94" i="18"/>
  <c r="EI101" i="16" l="1"/>
  <c r="EH101" i="16" s="1"/>
  <c r="EJ101" i="16" s="1"/>
  <c r="ED103" i="16"/>
  <c r="EC103" i="16" s="1"/>
  <c r="EE103" i="16" s="1"/>
  <c r="EG102" i="16"/>
  <c r="AO93" i="18"/>
  <c r="AN94" i="18"/>
  <c r="AV96" i="18"/>
  <c r="AW95" i="18"/>
  <c r="AG95" i="18"/>
  <c r="AF96" i="18"/>
  <c r="HI81" i="18"/>
  <c r="HH81" i="18" s="1"/>
  <c r="EI102" i="16" l="1"/>
  <c r="EH102" i="16" s="1"/>
  <c r="EJ102" i="16" s="1"/>
  <c r="ED104" i="16"/>
  <c r="EC104" i="16" s="1"/>
  <c r="EE104" i="16" s="1"/>
  <c r="EG103" i="16"/>
  <c r="HM81" i="18"/>
  <c r="HJ81" i="18"/>
  <c r="AV97" i="18"/>
  <c r="AW96" i="18"/>
  <c r="AF97" i="18"/>
  <c r="AG96" i="18"/>
  <c r="AN95" i="18"/>
  <c r="AO94" i="18"/>
  <c r="EI103" i="16" l="1"/>
  <c r="EH103" i="16" s="1"/>
  <c r="EJ103" i="16" s="1"/>
  <c r="ED105" i="16"/>
  <c r="EC105" i="16" s="1"/>
  <c r="EE105" i="16" s="1"/>
  <c r="EG104" i="16"/>
  <c r="AN96" i="18"/>
  <c r="AO95" i="18"/>
  <c r="AF98" i="18"/>
  <c r="AG97" i="18"/>
  <c r="AV98" i="18"/>
  <c r="AW97" i="18"/>
  <c r="HI82" i="18"/>
  <c r="HH82" i="18" s="1"/>
  <c r="HJ82" i="18" s="1"/>
  <c r="HO81" i="18"/>
  <c r="HL81" i="18"/>
  <c r="HL82" i="18" s="1"/>
  <c r="EI104" i="16" l="1"/>
  <c r="EH104" i="16" s="1"/>
  <c r="EJ104" i="16" s="1"/>
  <c r="ED106" i="16"/>
  <c r="EC106" i="16" s="1"/>
  <c r="EE106" i="16" s="1"/>
  <c r="EG105" i="16"/>
  <c r="HL83" i="18"/>
  <c r="HI83" i="18"/>
  <c r="HH83" i="18" s="1"/>
  <c r="HJ83" i="18" s="1"/>
  <c r="AF99" i="18"/>
  <c r="AG98" i="18"/>
  <c r="AV99" i="18"/>
  <c r="AW98" i="18"/>
  <c r="HN82" i="18"/>
  <c r="HM82" i="18" s="1"/>
  <c r="HO82" i="18" s="1"/>
  <c r="AO96" i="18"/>
  <c r="AN97" i="18"/>
  <c r="EI105" i="16" l="1"/>
  <c r="EH105" i="16" s="1"/>
  <c r="EJ105" i="16" s="1"/>
  <c r="ED107" i="16"/>
  <c r="EC107" i="16" s="1"/>
  <c r="EE107" i="16" s="1"/>
  <c r="EG106" i="16"/>
  <c r="HN83" i="18"/>
  <c r="HM83" i="18" s="1"/>
  <c r="HO83" i="18" s="1"/>
  <c r="HL84" i="18"/>
  <c r="AV100" i="18"/>
  <c r="AW99" i="18"/>
  <c r="AG99" i="18"/>
  <c r="AF100" i="18"/>
  <c r="HI84" i="18"/>
  <c r="HH84" i="18" s="1"/>
  <c r="HJ84" i="18" s="1"/>
  <c r="AN98" i="18"/>
  <c r="AO97" i="18"/>
  <c r="EI106" i="16" l="1"/>
  <c r="EH106" i="16" s="1"/>
  <c r="EJ106" i="16" s="1"/>
  <c r="EG107" i="16"/>
  <c r="ED108" i="16"/>
  <c r="EC108" i="16" s="1"/>
  <c r="EE108" i="16" s="1"/>
  <c r="HN84" i="18"/>
  <c r="HI85" i="18"/>
  <c r="HH85" i="18" s="1"/>
  <c r="HJ85" i="18" s="1"/>
  <c r="AN99" i="18"/>
  <c r="AO98" i="18"/>
  <c r="AV101" i="18"/>
  <c r="AW100" i="18"/>
  <c r="AF101" i="18"/>
  <c r="AG100" i="18"/>
  <c r="HM84" i="18"/>
  <c r="HO84" i="18" s="1"/>
  <c r="HL85" i="18"/>
  <c r="EI107" i="16" l="1"/>
  <c r="EH107" i="16" s="1"/>
  <c r="EJ107" i="16" s="1"/>
  <c r="ED109" i="16"/>
  <c r="EC109" i="16" s="1"/>
  <c r="EE109" i="16" s="1"/>
  <c r="EG108" i="16"/>
  <c r="HI86" i="18"/>
  <c r="HH86" i="18" s="1"/>
  <c r="HJ86" i="18" s="1"/>
  <c r="HN85" i="18"/>
  <c r="HM85" i="18" s="1"/>
  <c r="HO85" i="18" s="1"/>
  <c r="AF102" i="18"/>
  <c r="AG101" i="18"/>
  <c r="AV102" i="18"/>
  <c r="AW101" i="18"/>
  <c r="AN100" i="18"/>
  <c r="AO99" i="18"/>
  <c r="HL86" i="18"/>
  <c r="EI108" i="16" l="1"/>
  <c r="EH108" i="16" s="1"/>
  <c r="EJ108" i="16" s="1"/>
  <c r="ED110" i="16"/>
  <c r="EC110" i="16" s="1"/>
  <c r="EE110" i="16" s="1"/>
  <c r="EG109" i="16"/>
  <c r="HN86" i="18"/>
  <c r="HM86" i="18" s="1"/>
  <c r="HO86" i="18" s="1"/>
  <c r="HI87" i="18"/>
  <c r="HH87" i="18" s="1"/>
  <c r="HJ87" i="18" s="1"/>
  <c r="HL87" i="18"/>
  <c r="AO100" i="18"/>
  <c r="AN101" i="18"/>
  <c r="AG102" i="18"/>
  <c r="AV103" i="18"/>
  <c r="AW102" i="18"/>
  <c r="AF103" i="18"/>
  <c r="EI109" i="16" l="1"/>
  <c r="EH109" i="16" s="1"/>
  <c r="EJ109" i="16" s="1"/>
  <c r="ED111" i="16"/>
  <c r="EC111" i="16" s="1"/>
  <c r="EE111" i="16" s="1"/>
  <c r="EG110" i="16"/>
  <c r="HN87" i="18"/>
  <c r="HM87" i="18" s="1"/>
  <c r="HO87" i="18" s="1"/>
  <c r="HI88" i="18"/>
  <c r="HH88" i="18" s="1"/>
  <c r="HJ88" i="18" s="1"/>
  <c r="AW103" i="18"/>
  <c r="AF104" i="18"/>
  <c r="AV104" i="18"/>
  <c r="AG103" i="18"/>
  <c r="AO101" i="18"/>
  <c r="AN102" i="18"/>
  <c r="HL88" i="18"/>
  <c r="EI110" i="16" l="1"/>
  <c r="EH110" i="16" s="1"/>
  <c r="EJ110" i="16" s="1"/>
  <c r="ED112" i="16"/>
  <c r="EC112" i="16" s="1"/>
  <c r="EE112" i="16" s="1"/>
  <c r="EG111" i="16"/>
  <c r="HN88" i="18"/>
  <c r="HM88" i="18" s="1"/>
  <c r="HO88" i="18" s="1"/>
  <c r="HI89" i="18"/>
  <c r="HH89" i="18" s="1"/>
  <c r="HJ89" i="18" s="1"/>
  <c r="AN103" i="18"/>
  <c r="AO102" i="18"/>
  <c r="AG104" i="18"/>
  <c r="AV105" i="18"/>
  <c r="AF105" i="18"/>
  <c r="AW104" i="18"/>
  <c r="HL89" i="18"/>
  <c r="EI111" i="16" l="1"/>
  <c r="EH111" i="16" s="1"/>
  <c r="EJ111" i="16" s="1"/>
  <c r="ED113" i="16"/>
  <c r="EC113" i="16" s="1"/>
  <c r="EE113" i="16" s="1"/>
  <c r="EG112" i="16"/>
  <c r="HI90" i="18"/>
  <c r="HH90" i="18" s="1"/>
  <c r="HJ90" i="18" s="1"/>
  <c r="HN89" i="18"/>
  <c r="HM89" i="18" s="1"/>
  <c r="HO89" i="18" s="1"/>
  <c r="HL90" i="18"/>
  <c r="AV106" i="18"/>
  <c r="AW105" i="18"/>
  <c r="AF106" i="18"/>
  <c r="AG105" i="18"/>
  <c r="AO103" i="18"/>
  <c r="AN104" i="18"/>
  <c r="EI112" i="16" l="1"/>
  <c r="EH112" i="16" s="1"/>
  <c r="EJ112" i="16" s="1"/>
  <c r="ED114" i="16"/>
  <c r="EC114" i="16" s="1"/>
  <c r="EE114" i="16" s="1"/>
  <c r="EG113" i="16"/>
  <c r="HN90" i="18"/>
  <c r="HM90" i="18" s="1"/>
  <c r="HO90" i="18" s="1"/>
  <c r="HI91" i="18"/>
  <c r="HH91" i="18" s="1"/>
  <c r="HJ91" i="18" s="1"/>
  <c r="AN105" i="18"/>
  <c r="AO104" i="18"/>
  <c r="HL91" i="18"/>
  <c r="AF107" i="18"/>
  <c r="AW106" i="18"/>
  <c r="AV107" i="18"/>
  <c r="AG106" i="18"/>
  <c r="EI113" i="16" l="1"/>
  <c r="EH113" i="16" s="1"/>
  <c r="EJ113" i="16" s="1"/>
  <c r="EG114" i="16"/>
  <c r="ED115" i="16"/>
  <c r="EC115" i="16" s="1"/>
  <c r="EE115" i="16" s="1"/>
  <c r="HN91" i="18"/>
  <c r="HM91" i="18" s="1"/>
  <c r="HO91" i="18" s="1"/>
  <c r="HI92" i="18"/>
  <c r="HH92" i="18" s="1"/>
  <c r="HJ92" i="18" s="1"/>
  <c r="HL92" i="18"/>
  <c r="AO105" i="18"/>
  <c r="AN106" i="18"/>
  <c r="AV108" i="18"/>
  <c r="AF108" i="18"/>
  <c r="AW107" i="18"/>
  <c r="AG107" i="18"/>
  <c r="EI114" i="16" l="1"/>
  <c r="EH114" i="16" s="1"/>
  <c r="EJ114" i="16" s="1"/>
  <c r="ED116" i="16"/>
  <c r="EC116" i="16" s="1"/>
  <c r="EE116" i="16" s="1"/>
  <c r="EG115" i="16"/>
  <c r="HN92" i="18"/>
  <c r="HM92" i="18" s="1"/>
  <c r="HO92" i="18" s="1"/>
  <c r="HQ80" i="18" s="1"/>
  <c r="AF109" i="18"/>
  <c r="AW108" i="18"/>
  <c r="AV109" i="18"/>
  <c r="AG108" i="18"/>
  <c r="AO106" i="18"/>
  <c r="AN107" i="18"/>
  <c r="EI115" i="16" l="1"/>
  <c r="EH115" i="16" s="1"/>
  <c r="EJ115" i="16" s="1"/>
  <c r="EG116" i="16"/>
  <c r="HT80" i="18"/>
  <c r="HQ81" i="18"/>
  <c r="HQ82" i="18"/>
  <c r="HQ83" i="18"/>
  <c r="HQ84" i="18"/>
  <c r="HQ85" i="18"/>
  <c r="HQ86" i="18"/>
  <c r="HQ87" i="18"/>
  <c r="HQ88" i="18"/>
  <c r="HQ89" i="18"/>
  <c r="HQ90" i="18"/>
  <c r="HQ91" i="18"/>
  <c r="HQ92" i="18"/>
  <c r="AV110" i="18"/>
  <c r="AF110" i="18"/>
  <c r="AW109" i="18"/>
  <c r="AG109" i="18"/>
  <c r="AO107" i="18"/>
  <c r="AN108" i="18"/>
  <c r="EI116" i="16" l="1"/>
  <c r="EH116" i="16" s="1"/>
  <c r="EJ116" i="16" s="1"/>
  <c r="HS81" i="18"/>
  <c r="HR81" i="18" s="1"/>
  <c r="AN109" i="18"/>
  <c r="AO108" i="18"/>
  <c r="AV111" i="18"/>
  <c r="AG110" i="18"/>
  <c r="AF111" i="18"/>
  <c r="AW110" i="18"/>
  <c r="EL80" i="16" l="1"/>
  <c r="HW81" i="18"/>
  <c r="HT81" i="18"/>
  <c r="AO109" i="18"/>
  <c r="AN110" i="18"/>
  <c r="AF112" i="18"/>
  <c r="AG111" i="18"/>
  <c r="AV112" i="18"/>
  <c r="AW111" i="18"/>
  <c r="EL87" i="16" l="1"/>
  <c r="EL93" i="16"/>
  <c r="EL96" i="16"/>
  <c r="EL98" i="16"/>
  <c r="EL95" i="16"/>
  <c r="EL101" i="16"/>
  <c r="EL102" i="16"/>
  <c r="EL104" i="16"/>
  <c r="EL100" i="16"/>
  <c r="EL108" i="16"/>
  <c r="EL94" i="16"/>
  <c r="EL99" i="16"/>
  <c r="EL107" i="16"/>
  <c r="EL97" i="16"/>
  <c r="EL103" i="16"/>
  <c r="EL106" i="16"/>
  <c r="EL109" i="16"/>
  <c r="EL110" i="16"/>
  <c r="EL111" i="16"/>
  <c r="EL114" i="16"/>
  <c r="EL116" i="16"/>
  <c r="EL105" i="16"/>
  <c r="EL92" i="16"/>
  <c r="EL112" i="16"/>
  <c r="EL113" i="16"/>
  <c r="EL115" i="16"/>
  <c r="EL85" i="16"/>
  <c r="EL83" i="16"/>
  <c r="EL90" i="16"/>
  <c r="EO80" i="16"/>
  <c r="EL81" i="16"/>
  <c r="EL91" i="16"/>
  <c r="EL86" i="16"/>
  <c r="EL89" i="16"/>
  <c r="EL84" i="16"/>
  <c r="EL82" i="16"/>
  <c r="EL88" i="16"/>
  <c r="AO110" i="18"/>
  <c r="AN111" i="18"/>
  <c r="HS82" i="18"/>
  <c r="HR82" i="18" s="1"/>
  <c r="HT82" i="18" s="1"/>
  <c r="AF113" i="18"/>
  <c r="AW112" i="18"/>
  <c r="AG112" i="18"/>
  <c r="AV113" i="18"/>
  <c r="HY81" i="18"/>
  <c r="HV81" i="18"/>
  <c r="HV82" i="18" s="1"/>
  <c r="EN81" i="16" l="1"/>
  <c r="EM81" i="16" s="1"/>
  <c r="HS83" i="18"/>
  <c r="HR83" i="18" s="1"/>
  <c r="HT83" i="18" s="1"/>
  <c r="HV83" i="18"/>
  <c r="AO111" i="18"/>
  <c r="AN112" i="18"/>
  <c r="HX82" i="18"/>
  <c r="HW82" i="18" s="1"/>
  <c r="HY82" i="18" s="1"/>
  <c r="AV114" i="18"/>
  <c r="AW113" i="18"/>
  <c r="AF114" i="18"/>
  <c r="AG113" i="18"/>
  <c r="EO81" i="16" l="1"/>
  <c r="EN82" i="16" s="1"/>
  <c r="EM82" i="16" s="1"/>
  <c r="EO82" i="16" s="1"/>
  <c r="EN83" i="16" s="1"/>
  <c r="EM83" i="16" s="1"/>
  <c r="EO83" i="16" s="1"/>
  <c r="EN84" i="16" s="1"/>
  <c r="EM84" i="16" s="1"/>
  <c r="EO84" i="16" s="1"/>
  <c r="EN85" i="16" s="1"/>
  <c r="EM85" i="16" s="1"/>
  <c r="EO85" i="16" s="1"/>
  <c r="EN86" i="16" s="1"/>
  <c r="EM86" i="16" s="1"/>
  <c r="EO86" i="16" s="1"/>
  <c r="EN87" i="16" s="1"/>
  <c r="EM87" i="16" s="1"/>
  <c r="EO87" i="16" s="1"/>
  <c r="EN88" i="16" s="1"/>
  <c r="EM88" i="16" s="1"/>
  <c r="EO88" i="16" s="1"/>
  <c r="EN89" i="16" s="1"/>
  <c r="EM89" i="16" s="1"/>
  <c r="EO89" i="16" s="1"/>
  <c r="EN90" i="16" s="1"/>
  <c r="EM90" i="16" s="1"/>
  <c r="EO90" i="16" s="1"/>
  <c r="EN91" i="16" s="1"/>
  <c r="EM91" i="16" s="1"/>
  <c r="EO91" i="16" s="1"/>
  <c r="EN92" i="16" s="1"/>
  <c r="EM92" i="16" s="1"/>
  <c r="EO92" i="16" s="1"/>
  <c r="HX83" i="18"/>
  <c r="HW83" i="18" s="1"/>
  <c r="HY83" i="18" s="1"/>
  <c r="HS84" i="18"/>
  <c r="HR84" i="18" s="1"/>
  <c r="HT84" i="18" s="1"/>
  <c r="HV84" i="18"/>
  <c r="AN113" i="18"/>
  <c r="AO112" i="18"/>
  <c r="AV115" i="18"/>
  <c r="AG114" i="18"/>
  <c r="AW114" i="18"/>
  <c r="AF115" i="18"/>
  <c r="ER81" i="16" l="1"/>
  <c r="EN93" i="16"/>
  <c r="EM93" i="16" s="1"/>
  <c r="EO93" i="16" s="1"/>
  <c r="HS85" i="18"/>
  <c r="HR85" i="18" s="1"/>
  <c r="HT85" i="18" s="1"/>
  <c r="HX84" i="18"/>
  <c r="HW84" i="18" s="1"/>
  <c r="HY84" i="18" s="1"/>
  <c r="AN114" i="18"/>
  <c r="AO113" i="18"/>
  <c r="HV85" i="18"/>
  <c r="AF116" i="18"/>
  <c r="AG115" i="18"/>
  <c r="AV116" i="18"/>
  <c r="AW115" i="18"/>
  <c r="ET81" i="16" l="1"/>
  <c r="ES82" i="16" s="1"/>
  <c r="EQ81" i="16"/>
  <c r="EQ82" i="16" s="1"/>
  <c r="EQ83" i="16" s="1"/>
  <c r="EQ84" i="16" s="1"/>
  <c r="EQ85" i="16" s="1"/>
  <c r="EQ86" i="16" s="1"/>
  <c r="EQ87" i="16" s="1"/>
  <c r="EQ88" i="16" s="1"/>
  <c r="EQ89" i="16" s="1"/>
  <c r="EQ90" i="16" s="1"/>
  <c r="EQ91" i="16" s="1"/>
  <c r="EQ92" i="16" s="1"/>
  <c r="EQ93" i="16" s="1"/>
  <c r="EN94" i="16"/>
  <c r="EM94" i="16" s="1"/>
  <c r="EO94" i="16" s="1"/>
  <c r="HX85" i="18"/>
  <c r="HW85" i="18" s="1"/>
  <c r="HY85" i="18" s="1"/>
  <c r="HS86" i="18"/>
  <c r="HR86" i="18" s="1"/>
  <c r="HT86" i="18" s="1"/>
  <c r="AV117" i="18"/>
  <c r="AF117" i="18"/>
  <c r="AW116" i="18"/>
  <c r="AG116" i="18"/>
  <c r="AO114" i="18"/>
  <c r="AN115" i="18"/>
  <c r="HV86" i="18"/>
  <c r="ER82" i="16" l="1"/>
  <c r="ET82" i="16" s="1"/>
  <c r="ES83" i="16" s="1"/>
  <c r="ER83" i="16" s="1"/>
  <c r="ET83" i="16" s="1"/>
  <c r="ES84" i="16" s="1"/>
  <c r="ER84" i="16" s="1"/>
  <c r="ET84" i="16" s="1"/>
  <c r="ES85" i="16" s="1"/>
  <c r="ER85" i="16" s="1"/>
  <c r="ET85" i="16" s="1"/>
  <c r="ES86" i="16" s="1"/>
  <c r="ER86" i="16" s="1"/>
  <c r="ET86" i="16" s="1"/>
  <c r="ES87" i="16" s="1"/>
  <c r="ER87" i="16" s="1"/>
  <c r="ET87" i="16" s="1"/>
  <c r="ES88" i="16" s="1"/>
  <c r="ER88" i="16" s="1"/>
  <c r="ET88" i="16" s="1"/>
  <c r="ES89" i="16" s="1"/>
  <c r="ER89" i="16" s="1"/>
  <c r="ET89" i="16" s="1"/>
  <c r="ES90" i="16" s="1"/>
  <c r="ER90" i="16" s="1"/>
  <c r="ET90" i="16" s="1"/>
  <c r="ES91" i="16" s="1"/>
  <c r="ER91" i="16" s="1"/>
  <c r="ET91" i="16" s="1"/>
  <c r="ES92" i="16" s="1"/>
  <c r="ER92" i="16" s="1"/>
  <c r="ET92" i="16" s="1"/>
  <c r="ES93" i="16" s="1"/>
  <c r="ER93" i="16" s="1"/>
  <c r="ET93" i="16" s="1"/>
  <c r="EN95" i="16"/>
  <c r="EM95" i="16" s="1"/>
  <c r="EO95" i="16" s="1"/>
  <c r="EQ94" i="16"/>
  <c r="HX86" i="18"/>
  <c r="HW86" i="18" s="1"/>
  <c r="HY86" i="18" s="1"/>
  <c r="HS87" i="18"/>
  <c r="HR87" i="18" s="1"/>
  <c r="HT87" i="18" s="1"/>
  <c r="AF118" i="18"/>
  <c r="AW117" i="18"/>
  <c r="AG117" i="18"/>
  <c r="AV118" i="18"/>
  <c r="HV87" i="18"/>
  <c r="AO115" i="18"/>
  <c r="AN116" i="18"/>
  <c r="ES94" i="16" l="1"/>
  <c r="ER94" i="16" s="1"/>
  <c r="ET94" i="16" s="1"/>
  <c r="EN96" i="16"/>
  <c r="EM96" i="16" s="1"/>
  <c r="EO96" i="16" s="1"/>
  <c r="EQ95" i="16"/>
  <c r="HS88" i="18"/>
  <c r="HR88" i="18" s="1"/>
  <c r="HT88" i="18" s="1"/>
  <c r="HX87" i="18"/>
  <c r="HW87" i="18" s="1"/>
  <c r="HY87" i="18" s="1"/>
  <c r="AO116" i="18"/>
  <c r="AN117" i="18"/>
  <c r="AV119" i="18"/>
  <c r="AF119" i="18"/>
  <c r="AW118" i="18"/>
  <c r="AG118" i="18"/>
  <c r="HV88" i="18"/>
  <c r="ES95" i="16" l="1"/>
  <c r="ER95" i="16" s="1"/>
  <c r="ET95" i="16" s="1"/>
  <c r="EN97" i="16"/>
  <c r="EM97" i="16" s="1"/>
  <c r="EO97" i="16" s="1"/>
  <c r="EQ96" i="16"/>
  <c r="HS89" i="18"/>
  <c r="HR89" i="18" s="1"/>
  <c r="HT89" i="18" s="1"/>
  <c r="AN118" i="18"/>
  <c r="AO117" i="18"/>
  <c r="HV89" i="18"/>
  <c r="AF120" i="18"/>
  <c r="AG119" i="18"/>
  <c r="AV120" i="18"/>
  <c r="AW119" i="18"/>
  <c r="HX88" i="18"/>
  <c r="HW88" i="18" s="1"/>
  <c r="HY88" i="18" s="1"/>
  <c r="EN98" i="16" l="1"/>
  <c r="EM98" i="16" s="1"/>
  <c r="EO98" i="16" s="1"/>
  <c r="ES96" i="16"/>
  <c r="ER96" i="16" s="1"/>
  <c r="ET96" i="16" s="1"/>
  <c r="EQ97" i="16"/>
  <c r="HX89" i="18"/>
  <c r="HW89" i="18" s="1"/>
  <c r="HY89" i="18" s="1"/>
  <c r="HS90" i="18"/>
  <c r="HR90" i="18" s="1"/>
  <c r="HT90" i="18" s="1"/>
  <c r="HV90" i="18"/>
  <c r="AV121" i="18"/>
  <c r="AF121" i="18"/>
  <c r="AW120" i="18"/>
  <c r="AG120" i="18"/>
  <c r="AO118" i="18"/>
  <c r="AN119" i="18"/>
  <c r="ES97" i="16" l="1"/>
  <c r="ER97" i="16" s="1"/>
  <c r="ET97" i="16" s="1"/>
  <c r="EN99" i="16"/>
  <c r="EM99" i="16" s="1"/>
  <c r="EO99" i="16" s="1"/>
  <c r="EQ98" i="16"/>
  <c r="HS91" i="18"/>
  <c r="HR91" i="18" s="1"/>
  <c r="HT91" i="18" s="1"/>
  <c r="HX90" i="18"/>
  <c r="HW90" i="18" s="1"/>
  <c r="HY90" i="18" s="1"/>
  <c r="AN120" i="18"/>
  <c r="AO119" i="18"/>
  <c r="AF122" i="18"/>
  <c r="AV122" i="18"/>
  <c r="AG121" i="18"/>
  <c r="AW121" i="18"/>
  <c r="HV91" i="18"/>
  <c r="ES98" i="16" l="1"/>
  <c r="ER98" i="16" s="1"/>
  <c r="ET98" i="16" s="1"/>
  <c r="EN100" i="16"/>
  <c r="EM100" i="16" s="1"/>
  <c r="EO100" i="16" s="1"/>
  <c r="EQ99" i="16"/>
  <c r="HX91" i="18"/>
  <c r="HW91" i="18" s="1"/>
  <c r="HY91" i="18" s="1"/>
  <c r="HS92" i="18"/>
  <c r="HR92" i="18" s="1"/>
  <c r="HT92" i="18" s="1"/>
  <c r="AO120" i="18"/>
  <c r="AN121" i="18"/>
  <c r="HV92" i="18"/>
  <c r="AV123" i="18"/>
  <c r="AW122" i="18"/>
  <c r="AF123" i="18"/>
  <c r="AG122" i="18"/>
  <c r="ES99" i="16" l="1"/>
  <c r="ER99" i="16" s="1"/>
  <c r="ET99" i="16" s="1"/>
  <c r="EN101" i="16"/>
  <c r="EM101" i="16" s="1"/>
  <c r="EO101" i="16" s="1"/>
  <c r="EQ100" i="16"/>
  <c r="HX92" i="18"/>
  <c r="HW92" i="18" s="1"/>
  <c r="HY92" i="18" s="1"/>
  <c r="IA80" i="18" s="1"/>
  <c r="AO121" i="18"/>
  <c r="AN122" i="18"/>
  <c r="AV124" i="18"/>
  <c r="AW123" i="18"/>
  <c r="AG123" i="18"/>
  <c r="AF124" i="18"/>
  <c r="ES100" i="16" l="1"/>
  <c r="ER100" i="16" s="1"/>
  <c r="ET100" i="16" s="1"/>
  <c r="EQ101" i="16"/>
  <c r="EN102" i="16"/>
  <c r="EM102" i="16" s="1"/>
  <c r="EO102" i="16" s="1"/>
  <c r="ID80" i="18"/>
  <c r="IA82" i="18"/>
  <c r="IA81" i="18"/>
  <c r="IA83" i="18"/>
  <c r="IA84" i="18"/>
  <c r="IA85" i="18"/>
  <c r="IA86" i="18"/>
  <c r="IA87" i="18"/>
  <c r="IA88" i="18"/>
  <c r="IA89" i="18"/>
  <c r="IA90" i="18"/>
  <c r="IA91" i="18"/>
  <c r="IA92" i="18"/>
  <c r="AN123" i="18"/>
  <c r="AO122" i="18"/>
  <c r="AF125" i="18"/>
  <c r="AV125" i="18"/>
  <c r="AW124" i="18"/>
  <c r="AG124" i="18"/>
  <c r="ES101" i="16" l="1"/>
  <c r="ER101" i="16" s="1"/>
  <c r="ET101" i="16" s="1"/>
  <c r="EN103" i="16"/>
  <c r="EM103" i="16" s="1"/>
  <c r="EO103" i="16" s="1"/>
  <c r="EQ102" i="16"/>
  <c r="AF126" i="18"/>
  <c r="AG125" i="18"/>
  <c r="AV126" i="18"/>
  <c r="AW125" i="18"/>
  <c r="IC81" i="18"/>
  <c r="IB81" i="18" s="1"/>
  <c r="IG81" i="18" s="1"/>
  <c r="AO123" i="18"/>
  <c r="AN124" i="18"/>
  <c r="ES102" i="16" l="1"/>
  <c r="ER102" i="16" s="1"/>
  <c r="ET102" i="16" s="1"/>
  <c r="EN104" i="16"/>
  <c r="EM104" i="16" s="1"/>
  <c r="EO104" i="16" s="1"/>
  <c r="EQ103" i="16"/>
  <c r="II81" i="18"/>
  <c r="IF81" i="18"/>
  <c r="IF82" i="18" s="1"/>
  <c r="AO124" i="18"/>
  <c r="AN125" i="18"/>
  <c r="AV127" i="18"/>
  <c r="AW126" i="18"/>
  <c r="AG126" i="18"/>
  <c r="AF127" i="18"/>
  <c r="ID81" i="18"/>
  <c r="ES103" i="16" l="1"/>
  <c r="ER103" i="16" s="1"/>
  <c r="ET103" i="16" s="1"/>
  <c r="EN105" i="16"/>
  <c r="EM105" i="16" s="1"/>
  <c r="EO105" i="16" s="1"/>
  <c r="EQ104" i="16"/>
  <c r="IH82" i="18"/>
  <c r="IG82" i="18" s="1"/>
  <c r="II82" i="18" s="1"/>
  <c r="AV128" i="18"/>
  <c r="AW127" i="18"/>
  <c r="AF128" i="18"/>
  <c r="AG127" i="18"/>
  <c r="AN126" i="18"/>
  <c r="AO125" i="18"/>
  <c r="IC82" i="18"/>
  <c r="IB82" i="18" s="1"/>
  <c r="ID82" i="18" s="1"/>
  <c r="IF83" i="18"/>
  <c r="ES104" i="16" l="1"/>
  <c r="ER104" i="16" s="1"/>
  <c r="ET104" i="16" s="1"/>
  <c r="EN106" i="16"/>
  <c r="EM106" i="16" s="1"/>
  <c r="EO106" i="16" s="1"/>
  <c r="EQ105" i="16"/>
  <c r="IH83" i="18"/>
  <c r="IG83" i="18" s="1"/>
  <c r="II83" i="18" s="1"/>
  <c r="IC83" i="18"/>
  <c r="IB83" i="18" s="1"/>
  <c r="ID83" i="18" s="1"/>
  <c r="AF129" i="18"/>
  <c r="AG128" i="18"/>
  <c r="AV129" i="18"/>
  <c r="AW128" i="18"/>
  <c r="AN127" i="18"/>
  <c r="AO126" i="18"/>
  <c r="IF84" i="18"/>
  <c r="ES105" i="16" l="1"/>
  <c r="ER105" i="16" s="1"/>
  <c r="ET105" i="16" s="1"/>
  <c r="EN107" i="16"/>
  <c r="EM107" i="16" s="1"/>
  <c r="EO107" i="16" s="1"/>
  <c r="EQ106" i="16"/>
  <c r="IC84" i="18"/>
  <c r="IB84" i="18" s="1"/>
  <c r="ID84" i="18" s="1"/>
  <c r="IH84" i="18"/>
  <c r="IG84" i="18" s="1"/>
  <c r="II84" i="18" s="1"/>
  <c r="AO127" i="18"/>
  <c r="AN128" i="18"/>
  <c r="AF130" i="18"/>
  <c r="AG129" i="18"/>
  <c r="AV130" i="18"/>
  <c r="AW129" i="18"/>
  <c r="IF85" i="18"/>
  <c r="ES106" i="16" l="1"/>
  <c r="ER106" i="16" s="1"/>
  <c r="ET106" i="16" s="1"/>
  <c r="EN108" i="16"/>
  <c r="EM108" i="16" s="1"/>
  <c r="EO108" i="16" s="1"/>
  <c r="EQ107" i="16"/>
  <c r="IH85" i="18"/>
  <c r="IG85" i="18" s="1"/>
  <c r="II85" i="18" s="1"/>
  <c r="IC85" i="18"/>
  <c r="IB85" i="18" s="1"/>
  <c r="ID85" i="18" s="1"/>
  <c r="IF86" i="18"/>
  <c r="AV131" i="18"/>
  <c r="AW130" i="18"/>
  <c r="AG130" i="18"/>
  <c r="AF131" i="18"/>
  <c r="AO128" i="18"/>
  <c r="AN129" i="18"/>
  <c r="ES107" i="16" l="1"/>
  <c r="ER107" i="16" s="1"/>
  <c r="ET107" i="16" s="1"/>
  <c r="EN109" i="16"/>
  <c r="EM109" i="16" s="1"/>
  <c r="EO109" i="16" s="1"/>
  <c r="EQ108" i="16"/>
  <c r="IH86" i="18"/>
  <c r="IG86" i="18" s="1"/>
  <c r="II86" i="18" s="1"/>
  <c r="IC86" i="18"/>
  <c r="IB86" i="18" s="1"/>
  <c r="ID86" i="18" s="1"/>
  <c r="AN130" i="18"/>
  <c r="AO129" i="18"/>
  <c r="IF87" i="18"/>
  <c r="AV132" i="18"/>
  <c r="AW131" i="18"/>
  <c r="AF132" i="18"/>
  <c r="AG131" i="18"/>
  <c r="ES108" i="16" l="1"/>
  <c r="ER108" i="16" s="1"/>
  <c r="ET108" i="16" s="1"/>
  <c r="EQ109" i="16"/>
  <c r="EN110" i="16"/>
  <c r="EM110" i="16" s="1"/>
  <c r="EO110" i="16" s="1"/>
  <c r="IC87" i="18"/>
  <c r="IB87" i="18" s="1"/>
  <c r="ID87" i="18" s="1"/>
  <c r="IH87" i="18"/>
  <c r="IG87" i="18" s="1"/>
  <c r="II87" i="18" s="1"/>
  <c r="AF133" i="18"/>
  <c r="AG132" i="18"/>
  <c r="AV133" i="18"/>
  <c r="AW132" i="18"/>
  <c r="AN131" i="18"/>
  <c r="AO130" i="18"/>
  <c r="IF88" i="18"/>
  <c r="EN111" i="16" l="1"/>
  <c r="EM111" i="16" s="1"/>
  <c r="EO111" i="16" s="1"/>
  <c r="ES109" i="16"/>
  <c r="ER109" i="16" s="1"/>
  <c r="ET109" i="16" s="1"/>
  <c r="EQ110" i="16"/>
  <c r="IH88" i="18"/>
  <c r="IG88" i="18" s="1"/>
  <c r="II88" i="18" s="1"/>
  <c r="IC88" i="18"/>
  <c r="IB88" i="18" s="1"/>
  <c r="ID88" i="18" s="1"/>
  <c r="AO131" i="18"/>
  <c r="AN132" i="18"/>
  <c r="IF89" i="18"/>
  <c r="AF134" i="18"/>
  <c r="AG133" i="18"/>
  <c r="AV134" i="18"/>
  <c r="AW133" i="18"/>
  <c r="ES110" i="16" l="1"/>
  <c r="ER110" i="16" s="1"/>
  <c r="ET110" i="16" s="1"/>
  <c r="EN112" i="16"/>
  <c r="EM112" i="16" s="1"/>
  <c r="EO112" i="16" s="1"/>
  <c r="EQ111" i="16"/>
  <c r="IC89" i="18"/>
  <c r="IB89" i="18" s="1"/>
  <c r="ID89" i="18" s="1"/>
  <c r="IH89" i="18"/>
  <c r="IG89" i="18" s="1"/>
  <c r="II89" i="18" s="1"/>
  <c r="AO132" i="18"/>
  <c r="AN133" i="18"/>
  <c r="IF90" i="18"/>
  <c r="AV135" i="18"/>
  <c r="AW134" i="18"/>
  <c r="AG134" i="18"/>
  <c r="AF135" i="18"/>
  <c r="ES111" i="16" l="1"/>
  <c r="ER111" i="16" s="1"/>
  <c r="ET111" i="16" s="1"/>
  <c r="EN113" i="16"/>
  <c r="EM113" i="16" s="1"/>
  <c r="EO113" i="16" s="1"/>
  <c r="EQ112" i="16"/>
  <c r="IH90" i="18"/>
  <c r="IG90" i="18" s="1"/>
  <c r="II90" i="18" s="1"/>
  <c r="IC90" i="18"/>
  <c r="IB90" i="18" s="1"/>
  <c r="ID90" i="18" s="1"/>
  <c r="AN134" i="18"/>
  <c r="AO133" i="18"/>
  <c r="AV136" i="18"/>
  <c r="AW135" i="18"/>
  <c r="AF136" i="18"/>
  <c r="AG135" i="18"/>
  <c r="IF91" i="18"/>
  <c r="ES112" i="16" l="1"/>
  <c r="ER112" i="16" s="1"/>
  <c r="ET112" i="16" s="1"/>
  <c r="EN114" i="16"/>
  <c r="EM114" i="16" s="1"/>
  <c r="EO114" i="16" s="1"/>
  <c r="EQ113" i="16"/>
  <c r="IH91" i="18"/>
  <c r="IG91" i="18" s="1"/>
  <c r="II91" i="18" s="1"/>
  <c r="IC91" i="18"/>
  <c r="IB91" i="18" s="1"/>
  <c r="ID91" i="18" s="1"/>
  <c r="IF92" i="18"/>
  <c r="AN135" i="18"/>
  <c r="AO134" i="18"/>
  <c r="AF137" i="18"/>
  <c r="AG136" i="18"/>
  <c r="AV137" i="18"/>
  <c r="AW136" i="18"/>
  <c r="ES113" i="16" l="1"/>
  <c r="ER113" i="16" s="1"/>
  <c r="ET113" i="16" s="1"/>
  <c r="EN115" i="16"/>
  <c r="EM115" i="16" s="1"/>
  <c r="EO115" i="16" s="1"/>
  <c r="EQ114" i="16"/>
  <c r="IC92" i="18"/>
  <c r="IB92" i="18" s="1"/>
  <c r="ID92" i="18" s="1"/>
  <c r="IH92" i="18"/>
  <c r="IG92" i="18" s="1"/>
  <c r="II92" i="18" s="1"/>
  <c r="IK80" i="18" s="1"/>
  <c r="AF138" i="18"/>
  <c r="AG137" i="18"/>
  <c r="AV138" i="18"/>
  <c r="AW137" i="18"/>
  <c r="AO135" i="18"/>
  <c r="AN136" i="18"/>
  <c r="ES114" i="16" l="1"/>
  <c r="ER114" i="16" s="1"/>
  <c r="ET114" i="16" s="1"/>
  <c r="EN116" i="16"/>
  <c r="EM116" i="16" s="1"/>
  <c r="EO116" i="16" s="1"/>
  <c r="EQ115" i="16"/>
  <c r="IN80" i="18"/>
  <c r="IK81" i="18"/>
  <c r="IK82" i="18"/>
  <c r="IK83" i="18"/>
  <c r="IK84" i="18"/>
  <c r="IK85" i="18"/>
  <c r="IK86" i="18"/>
  <c r="IK87" i="18"/>
  <c r="IK88" i="18"/>
  <c r="IK89" i="18"/>
  <c r="IK90" i="18"/>
  <c r="IK91" i="18"/>
  <c r="IK92" i="18"/>
  <c r="AO136" i="18"/>
  <c r="AN137" i="18"/>
  <c r="AV139" i="18"/>
  <c r="AW138" i="18"/>
  <c r="AG138" i="18"/>
  <c r="AF139" i="18"/>
  <c r="ES115" i="16" l="1"/>
  <c r="ER115" i="16" s="1"/>
  <c r="ET115" i="16" s="1"/>
  <c r="EQ116" i="16"/>
  <c r="AV140" i="18"/>
  <c r="AW139" i="18"/>
  <c r="AF140" i="18"/>
  <c r="AG139" i="18"/>
  <c r="AN138" i="18"/>
  <c r="AO137" i="18"/>
  <c r="IM81" i="18"/>
  <c r="IL81" i="18" s="1"/>
  <c r="ES116" i="16" l="1"/>
  <c r="ER116" i="16" s="1"/>
  <c r="ET116" i="16" s="1"/>
  <c r="EV80" i="16" s="1"/>
  <c r="IQ81" i="18"/>
  <c r="IN81" i="18"/>
  <c r="AF141" i="18"/>
  <c r="AG140" i="18"/>
  <c r="AV141" i="18"/>
  <c r="AW140" i="18"/>
  <c r="AN139" i="18"/>
  <c r="AO138" i="18"/>
  <c r="EV94" i="16" l="1"/>
  <c r="EV95" i="16"/>
  <c r="EV96" i="16"/>
  <c r="EV97" i="16"/>
  <c r="EV102" i="16"/>
  <c r="EV103" i="16"/>
  <c r="EV106" i="16"/>
  <c r="EV107" i="16"/>
  <c r="EV111" i="16"/>
  <c r="EV93" i="16"/>
  <c r="EV105" i="16"/>
  <c r="EV104" i="16"/>
  <c r="EV98" i="16"/>
  <c r="EV99" i="16"/>
  <c r="EV108" i="16"/>
  <c r="EV114" i="16"/>
  <c r="EV92" i="16"/>
  <c r="EV113" i="16"/>
  <c r="EV115" i="16"/>
  <c r="EV100" i="16"/>
  <c r="EV101" i="16"/>
  <c r="EV109" i="16"/>
  <c r="EV110" i="16"/>
  <c r="EV112" i="16"/>
  <c r="EV116" i="16"/>
  <c r="EV82" i="16"/>
  <c r="EV83" i="16"/>
  <c r="EV91" i="16"/>
  <c r="EY80" i="16"/>
  <c r="EV90" i="16"/>
  <c r="EV85" i="16"/>
  <c r="EV88" i="16"/>
  <c r="EV87" i="16"/>
  <c r="EV86" i="16"/>
  <c r="EV84" i="16"/>
  <c r="EV81" i="16"/>
  <c r="EV89" i="16"/>
  <c r="IM82" i="18"/>
  <c r="IL82" i="18" s="1"/>
  <c r="IN82" i="18" s="1"/>
  <c r="AO139" i="18"/>
  <c r="AN140" i="18"/>
  <c r="AF142" i="18"/>
  <c r="AG141" i="18"/>
  <c r="AV142" i="18"/>
  <c r="AW141" i="18"/>
  <c r="IS81" i="18"/>
  <c r="IP81" i="18"/>
  <c r="IP82" i="18" s="1"/>
  <c r="EX81" i="16" l="1"/>
  <c r="EW81" i="16" s="1"/>
  <c r="IM83" i="18"/>
  <c r="IL83" i="18" s="1"/>
  <c r="IN83" i="18" s="1"/>
  <c r="IR82" i="18"/>
  <c r="IQ82" i="18" s="1"/>
  <c r="IS82" i="18" s="1"/>
  <c r="AF143" i="18"/>
  <c r="AW142" i="18"/>
  <c r="AG142" i="18"/>
  <c r="AV143" i="18"/>
  <c r="AO140" i="18"/>
  <c r="AN141" i="18"/>
  <c r="IP83" i="18"/>
  <c r="EY81" i="16" l="1"/>
  <c r="EX82" i="16" s="1"/>
  <c r="EW82" i="16" s="1"/>
  <c r="EY82" i="16" s="1"/>
  <c r="EX83" i="16" s="1"/>
  <c r="EW83" i="16" s="1"/>
  <c r="EY83" i="16" s="1"/>
  <c r="EX84" i="16" s="1"/>
  <c r="EW84" i="16" s="1"/>
  <c r="EY84" i="16" s="1"/>
  <c r="EX85" i="16" s="1"/>
  <c r="EW85" i="16" s="1"/>
  <c r="EY85" i="16" s="1"/>
  <c r="EX86" i="16" s="1"/>
  <c r="EW86" i="16" s="1"/>
  <c r="EY86" i="16" s="1"/>
  <c r="EX87" i="16" s="1"/>
  <c r="EW87" i="16" s="1"/>
  <c r="EY87" i="16" s="1"/>
  <c r="EX88" i="16" s="1"/>
  <c r="EW88" i="16" s="1"/>
  <c r="EY88" i="16" s="1"/>
  <c r="EX89" i="16" s="1"/>
  <c r="EW89" i="16" s="1"/>
  <c r="EY89" i="16" s="1"/>
  <c r="EX90" i="16" s="1"/>
  <c r="EW90" i="16" s="1"/>
  <c r="EY90" i="16" s="1"/>
  <c r="EX91" i="16" s="1"/>
  <c r="EW91" i="16" s="1"/>
  <c r="EY91" i="16" s="1"/>
  <c r="EX92" i="16" s="1"/>
  <c r="EW92" i="16" s="1"/>
  <c r="EY92" i="16" s="1"/>
  <c r="IR83" i="18"/>
  <c r="IQ83" i="18" s="1"/>
  <c r="IS83" i="18" s="1"/>
  <c r="IM84" i="18"/>
  <c r="IL84" i="18" s="1"/>
  <c r="IN84" i="18" s="1"/>
  <c r="IP84" i="18"/>
  <c r="AN142" i="18"/>
  <c r="AO141" i="18"/>
  <c r="AF144" i="18"/>
  <c r="AW143" i="18"/>
  <c r="AG143" i="18"/>
  <c r="AV144" i="18"/>
  <c r="FB81" i="16" l="1"/>
  <c r="EX93" i="16"/>
  <c r="EW93" i="16" s="1"/>
  <c r="EY93" i="16" s="1"/>
  <c r="IM85" i="18"/>
  <c r="IL85" i="18" s="1"/>
  <c r="IN85" i="18" s="1"/>
  <c r="IR84" i="18"/>
  <c r="IQ84" i="18" s="1"/>
  <c r="IS84" i="18" s="1"/>
  <c r="AO142" i="18"/>
  <c r="AN143" i="18"/>
  <c r="IP85" i="18"/>
  <c r="AV145" i="18"/>
  <c r="AW144" i="18"/>
  <c r="AG144" i="18"/>
  <c r="AF145" i="18"/>
  <c r="FD81" i="16" l="1"/>
  <c r="FC82" i="16" s="1"/>
  <c r="FA81" i="16"/>
  <c r="FA82" i="16" s="1"/>
  <c r="FA83" i="16" s="1"/>
  <c r="FA84" i="16" s="1"/>
  <c r="FA85" i="16" s="1"/>
  <c r="FA86" i="16" s="1"/>
  <c r="FA87" i="16" s="1"/>
  <c r="FA88" i="16" s="1"/>
  <c r="EX94" i="16"/>
  <c r="EW94" i="16" s="1"/>
  <c r="EY94" i="16" s="1"/>
  <c r="IR85" i="18"/>
  <c r="IQ85" i="18" s="1"/>
  <c r="IS85" i="18" s="1"/>
  <c r="IM86" i="18"/>
  <c r="IL86" i="18" s="1"/>
  <c r="IN86" i="18" s="1"/>
  <c r="AV146" i="18"/>
  <c r="AW145" i="18"/>
  <c r="AF146" i="18"/>
  <c r="AG145" i="18"/>
  <c r="IP86" i="18"/>
  <c r="AN144" i="18"/>
  <c r="AO143" i="18"/>
  <c r="FA89" i="16" l="1"/>
  <c r="FA90" i="16" s="1"/>
  <c r="FA91" i="16" s="1"/>
  <c r="FA92" i="16" s="1"/>
  <c r="FA93" i="16" s="1"/>
  <c r="FA94" i="16" s="1"/>
  <c r="FB82" i="16"/>
  <c r="FD82" i="16" s="1"/>
  <c r="FC83" i="16" s="1"/>
  <c r="FB83" i="16" s="1"/>
  <c r="FD83" i="16" s="1"/>
  <c r="FC84" i="16" s="1"/>
  <c r="FB84" i="16" s="1"/>
  <c r="FD84" i="16" s="1"/>
  <c r="FC85" i="16" s="1"/>
  <c r="FB85" i="16" s="1"/>
  <c r="FD85" i="16" s="1"/>
  <c r="FC86" i="16" s="1"/>
  <c r="FB86" i="16" s="1"/>
  <c r="FD86" i="16" s="1"/>
  <c r="FC87" i="16" s="1"/>
  <c r="FB87" i="16" s="1"/>
  <c r="FD87" i="16" s="1"/>
  <c r="FC88" i="16" s="1"/>
  <c r="FB88" i="16" s="1"/>
  <c r="FD88" i="16" s="1"/>
  <c r="FC89" i="16" s="1"/>
  <c r="EX95" i="16"/>
  <c r="EW95" i="16" s="1"/>
  <c r="EY95" i="16" s="1"/>
  <c r="IM87" i="18"/>
  <c r="IL87" i="18" s="1"/>
  <c r="IN87" i="18" s="1"/>
  <c r="IR86" i="18"/>
  <c r="IQ86" i="18" s="1"/>
  <c r="IS86" i="18" s="1"/>
  <c r="AO144" i="18"/>
  <c r="AN145" i="18"/>
  <c r="AF147" i="18"/>
  <c r="AG146" i="18"/>
  <c r="AW146" i="18"/>
  <c r="AV147" i="18"/>
  <c r="IP87" i="18"/>
  <c r="FB89" i="16" l="1"/>
  <c r="FD89" i="16" s="1"/>
  <c r="FC90" i="16" s="1"/>
  <c r="FB90" i="16" s="1"/>
  <c r="FD90" i="16" s="1"/>
  <c r="FC91" i="16" s="1"/>
  <c r="FB91" i="16" s="1"/>
  <c r="FD91" i="16" s="1"/>
  <c r="FC92" i="16" s="1"/>
  <c r="FB92" i="16" s="1"/>
  <c r="FD92" i="16" s="1"/>
  <c r="FC93" i="16" s="1"/>
  <c r="FB93" i="16" s="1"/>
  <c r="FD93" i="16" s="1"/>
  <c r="EX96" i="16"/>
  <c r="EW96" i="16" s="1"/>
  <c r="EY96" i="16" s="1"/>
  <c r="FA95" i="16"/>
  <c r="IR87" i="18"/>
  <c r="IQ87" i="18" s="1"/>
  <c r="IS87" i="18" s="1"/>
  <c r="IM88" i="18"/>
  <c r="IL88" i="18" s="1"/>
  <c r="IN88" i="18" s="1"/>
  <c r="AF148" i="18"/>
  <c r="AW147" i="18"/>
  <c r="AG147" i="18"/>
  <c r="AV148" i="18"/>
  <c r="IP88" i="18"/>
  <c r="AN146" i="18"/>
  <c r="AO145" i="18"/>
  <c r="EX97" i="16" l="1"/>
  <c r="EW97" i="16" s="1"/>
  <c r="EY97" i="16" s="1"/>
  <c r="FA96" i="16"/>
  <c r="FC94" i="16"/>
  <c r="FB94" i="16" s="1"/>
  <c r="FD94" i="16" s="1"/>
  <c r="IM89" i="18"/>
  <c r="IL89" i="18" s="1"/>
  <c r="IN89" i="18" s="1"/>
  <c r="IR88" i="18"/>
  <c r="IQ88" i="18" s="1"/>
  <c r="IS88" i="18" s="1"/>
  <c r="AV149" i="18"/>
  <c r="AW148" i="18"/>
  <c r="AF149" i="18"/>
  <c r="AG148" i="18"/>
  <c r="AN147" i="18"/>
  <c r="AO146" i="18"/>
  <c r="IP89" i="18"/>
  <c r="FC95" i="16" l="1"/>
  <c r="FB95" i="16" s="1"/>
  <c r="FD95" i="16" s="1"/>
  <c r="EX98" i="16"/>
  <c r="EW98" i="16" s="1"/>
  <c r="EY98" i="16" s="1"/>
  <c r="FA97" i="16"/>
  <c r="IR89" i="18"/>
  <c r="IQ89" i="18" s="1"/>
  <c r="IS89" i="18" s="1"/>
  <c r="IM90" i="18"/>
  <c r="IL90" i="18" s="1"/>
  <c r="IN90" i="18" s="1"/>
  <c r="AN148" i="18"/>
  <c r="AO147" i="18"/>
  <c r="IP90" i="18"/>
  <c r="AF150" i="18"/>
  <c r="AG149" i="18"/>
  <c r="AV150" i="18"/>
  <c r="AW149" i="18"/>
  <c r="EX99" i="16" l="1"/>
  <c r="EW99" i="16" s="1"/>
  <c r="EY99" i="16" s="1"/>
  <c r="FC96" i="16"/>
  <c r="FB96" i="16" s="1"/>
  <c r="FD96" i="16" s="1"/>
  <c r="FA98" i="16"/>
  <c r="IM91" i="18"/>
  <c r="IL91" i="18" s="1"/>
  <c r="IN91" i="18" s="1"/>
  <c r="IR90" i="18"/>
  <c r="IQ90" i="18" s="1"/>
  <c r="IS90" i="18" s="1"/>
  <c r="AF151" i="18"/>
  <c r="AG150" i="18"/>
  <c r="AV151" i="18"/>
  <c r="AW150" i="18"/>
  <c r="IP91" i="18"/>
  <c r="AO148" i="18"/>
  <c r="AN149" i="18"/>
  <c r="EX100" i="16" l="1"/>
  <c r="EW100" i="16" s="1"/>
  <c r="EY100" i="16" s="1"/>
  <c r="FA99" i="16"/>
  <c r="FC97" i="16"/>
  <c r="FB97" i="16" s="1"/>
  <c r="FD97" i="16" s="1"/>
  <c r="IR91" i="18"/>
  <c r="IQ91" i="18" s="1"/>
  <c r="IS91" i="18" s="1"/>
  <c r="IM92" i="18"/>
  <c r="IL92" i="18" s="1"/>
  <c r="IN92" i="18" s="1"/>
  <c r="AO149" i="18"/>
  <c r="AN150" i="18"/>
  <c r="IP92" i="18"/>
  <c r="AV152" i="18"/>
  <c r="AW151" i="18"/>
  <c r="AF152" i="18"/>
  <c r="AG151" i="18"/>
  <c r="FC98" i="16" l="1"/>
  <c r="FB98" i="16" s="1"/>
  <c r="FD98" i="16" s="1"/>
  <c r="EX101" i="16"/>
  <c r="EW101" i="16" s="1"/>
  <c r="EY101" i="16" s="1"/>
  <c r="FA100" i="16"/>
  <c r="IR92" i="18"/>
  <c r="IQ92" i="18" s="1"/>
  <c r="IS92" i="18" s="1"/>
  <c r="IU80" i="18" s="1"/>
  <c r="AV153" i="18"/>
  <c r="AW152" i="18"/>
  <c r="AF153" i="18"/>
  <c r="AG152" i="18"/>
  <c r="AN151" i="18"/>
  <c r="AO150" i="18"/>
  <c r="EX102" i="16" l="1"/>
  <c r="EW102" i="16" s="1"/>
  <c r="EY102" i="16" s="1"/>
  <c r="FC99" i="16"/>
  <c r="FB99" i="16" s="1"/>
  <c r="FD99" i="16" s="1"/>
  <c r="FA101" i="16"/>
  <c r="IX80" i="18"/>
  <c r="IU81" i="18"/>
  <c r="IU82" i="18"/>
  <c r="IU83" i="18"/>
  <c r="IU84" i="18"/>
  <c r="IU85" i="18"/>
  <c r="IU86" i="18"/>
  <c r="IU87" i="18"/>
  <c r="IU88" i="18"/>
  <c r="IU89" i="18"/>
  <c r="IU90" i="18"/>
  <c r="IU91" i="18"/>
  <c r="IU92" i="18"/>
  <c r="AN152" i="18"/>
  <c r="AO151" i="18"/>
  <c r="AF154" i="18"/>
  <c r="AV154" i="18"/>
  <c r="AG153" i="18"/>
  <c r="AW153" i="18"/>
  <c r="FC100" i="16" l="1"/>
  <c r="FB100" i="16" s="1"/>
  <c r="FD100" i="16" s="1"/>
  <c r="EX103" i="16"/>
  <c r="EW103" i="16" s="1"/>
  <c r="EY103" i="16" s="1"/>
  <c r="FA102" i="16"/>
  <c r="AF155" i="18"/>
  <c r="AW154" i="18"/>
  <c r="AG154" i="18"/>
  <c r="AV155" i="18"/>
  <c r="AO152" i="18"/>
  <c r="AN153" i="18"/>
  <c r="IW81" i="18"/>
  <c r="IV81" i="18" s="1"/>
  <c r="JA81" i="18" s="1"/>
  <c r="FC101" i="16" l="1"/>
  <c r="FB101" i="16" s="1"/>
  <c r="FD101" i="16" s="1"/>
  <c r="EX104" i="16"/>
  <c r="EW104" i="16" s="1"/>
  <c r="EY104" i="16" s="1"/>
  <c r="FA103" i="16"/>
  <c r="IX81" i="18"/>
  <c r="IW82" i="18" s="1"/>
  <c r="IV82" i="18" s="1"/>
  <c r="IX82" i="18" s="1"/>
  <c r="IZ81" i="18"/>
  <c r="IZ82" i="18" s="1"/>
  <c r="JC81" i="18"/>
  <c r="AO153" i="18"/>
  <c r="AN154" i="18"/>
  <c r="AV156" i="18"/>
  <c r="AW155" i="18"/>
  <c r="AF156" i="18"/>
  <c r="AG155" i="18"/>
  <c r="FC102" i="16" l="1"/>
  <c r="FB102" i="16" s="1"/>
  <c r="FD102" i="16" s="1"/>
  <c r="EX105" i="16"/>
  <c r="EW105" i="16" s="1"/>
  <c r="EY105" i="16" s="1"/>
  <c r="FA104" i="16"/>
  <c r="IW83" i="18"/>
  <c r="IV83" i="18" s="1"/>
  <c r="IX83" i="18" s="1"/>
  <c r="JB82" i="18"/>
  <c r="JA82" i="18" s="1"/>
  <c r="JC82" i="18" s="1"/>
  <c r="IZ83" i="18"/>
  <c r="AN155" i="18"/>
  <c r="AO154" i="18"/>
  <c r="AW156" i="18"/>
  <c r="AV157" i="18"/>
  <c r="AG156" i="18"/>
  <c r="AF157" i="18"/>
  <c r="FC103" i="16" l="1"/>
  <c r="FB103" i="16" s="1"/>
  <c r="FD103" i="16" s="1"/>
  <c r="EX106" i="16"/>
  <c r="EW106" i="16" s="1"/>
  <c r="EY106" i="16" s="1"/>
  <c r="FA105" i="16"/>
  <c r="JB83" i="18"/>
  <c r="JA83" i="18" s="1"/>
  <c r="JC83" i="18" s="1"/>
  <c r="IW84" i="18"/>
  <c r="IV84" i="18" s="1"/>
  <c r="IX84" i="18" s="1"/>
  <c r="IZ84" i="18"/>
  <c r="AF158" i="18"/>
  <c r="AG157" i="18"/>
  <c r="AV158" i="18"/>
  <c r="AW157" i="18"/>
  <c r="AN156" i="18"/>
  <c r="AO155" i="18"/>
  <c r="FC104" i="16" l="1"/>
  <c r="FB104" i="16" s="1"/>
  <c r="FD104" i="16" s="1"/>
  <c r="EX107" i="16"/>
  <c r="EW107" i="16" s="1"/>
  <c r="EY107" i="16" s="1"/>
  <c r="FA106" i="16"/>
  <c r="JB84" i="18"/>
  <c r="JA84" i="18" s="1"/>
  <c r="JC84" i="18" s="1"/>
  <c r="AN157" i="18"/>
  <c r="AO156" i="18"/>
  <c r="AF159" i="18"/>
  <c r="AW158" i="18"/>
  <c r="AG158" i="18"/>
  <c r="AV159" i="18"/>
  <c r="IW85" i="18"/>
  <c r="IV85" i="18" s="1"/>
  <c r="IX85" i="18" s="1"/>
  <c r="IZ85" i="18"/>
  <c r="EX108" i="16" l="1"/>
  <c r="EW108" i="16" s="1"/>
  <c r="EY108" i="16" s="1"/>
  <c r="FC105" i="16"/>
  <c r="FB105" i="16" s="1"/>
  <c r="FD105" i="16" s="1"/>
  <c r="FA107" i="16"/>
  <c r="JB85" i="18"/>
  <c r="JA85" i="18" s="1"/>
  <c r="JC85" i="18" s="1"/>
  <c r="AO157" i="18"/>
  <c r="AN158" i="18"/>
  <c r="IZ86" i="18"/>
  <c r="IW86" i="18"/>
  <c r="IV86" i="18" s="1"/>
  <c r="IX86" i="18" s="1"/>
  <c r="AF160" i="18"/>
  <c r="AW159" i="18"/>
  <c r="AV160" i="18"/>
  <c r="AG159" i="18"/>
  <c r="FC106" i="16" l="1"/>
  <c r="FB106" i="16" s="1"/>
  <c r="FD106" i="16" s="1"/>
  <c r="EX109" i="16"/>
  <c r="EW109" i="16" s="1"/>
  <c r="EY109" i="16" s="1"/>
  <c r="FA108" i="16"/>
  <c r="JB86" i="18"/>
  <c r="JA86" i="18" s="1"/>
  <c r="JC86" i="18" s="1"/>
  <c r="IW87" i="18"/>
  <c r="IV87" i="18" s="1"/>
  <c r="IX87" i="18" s="1"/>
  <c r="AF161" i="18"/>
  <c r="AV161" i="18"/>
  <c r="AG160" i="18"/>
  <c r="AW160" i="18"/>
  <c r="AN159" i="18"/>
  <c r="AO158" i="18"/>
  <c r="IZ87" i="18"/>
  <c r="FC107" i="16" l="1"/>
  <c r="FB107" i="16" s="1"/>
  <c r="FD107" i="16" s="1"/>
  <c r="EX110" i="16"/>
  <c r="EW110" i="16" s="1"/>
  <c r="EY110" i="16" s="1"/>
  <c r="FA109" i="16"/>
  <c r="JB87" i="18"/>
  <c r="JA87" i="18" s="1"/>
  <c r="JC87" i="18" s="1"/>
  <c r="IW88" i="18"/>
  <c r="IV88" i="18" s="1"/>
  <c r="IX88" i="18" s="1"/>
  <c r="IZ88" i="18"/>
  <c r="AN160" i="18"/>
  <c r="AO159" i="18"/>
  <c r="AV162" i="18"/>
  <c r="AW161" i="18"/>
  <c r="AG161" i="18"/>
  <c r="AF162" i="18"/>
  <c r="EX111" i="16" l="1"/>
  <c r="EW111" i="16" s="1"/>
  <c r="EY111" i="16" s="1"/>
  <c r="FC108" i="16"/>
  <c r="FB108" i="16" s="1"/>
  <c r="FD108" i="16" s="1"/>
  <c r="FA110" i="16"/>
  <c r="JB88" i="18"/>
  <c r="JA88" i="18" s="1"/>
  <c r="JC88" i="18" s="1"/>
  <c r="IW89" i="18"/>
  <c r="IV89" i="18" s="1"/>
  <c r="IX89" i="18" s="1"/>
  <c r="IZ89" i="18"/>
  <c r="AF163" i="18"/>
  <c r="AV163" i="18"/>
  <c r="AW162" i="18"/>
  <c r="AG162" i="18"/>
  <c r="AN161" i="18"/>
  <c r="AO160" i="18"/>
  <c r="FC109" i="16" l="1"/>
  <c r="FB109" i="16" s="1"/>
  <c r="FD109" i="16" s="1"/>
  <c r="EX112" i="16"/>
  <c r="EW112" i="16" s="1"/>
  <c r="EY112" i="16" s="1"/>
  <c r="FA111" i="16"/>
  <c r="JB89" i="18"/>
  <c r="JA89" i="18" s="1"/>
  <c r="JC89" i="18" s="1"/>
  <c r="IW90" i="18"/>
  <c r="IV90" i="18" s="1"/>
  <c r="IX90" i="18" s="1"/>
  <c r="AF164" i="18"/>
  <c r="AG163" i="18"/>
  <c r="AV164" i="18"/>
  <c r="AW163" i="18"/>
  <c r="AO161" i="18"/>
  <c r="AN162" i="18"/>
  <c r="IZ90" i="18"/>
  <c r="EX113" i="16" l="1"/>
  <c r="EW113" i="16" s="1"/>
  <c r="EY113" i="16" s="1"/>
  <c r="FC110" i="16"/>
  <c r="FB110" i="16" s="1"/>
  <c r="FD110" i="16" s="1"/>
  <c r="FA112" i="16"/>
  <c r="IW91" i="18"/>
  <c r="IV91" i="18" s="1"/>
  <c r="IX91" i="18" s="1"/>
  <c r="JB90" i="18"/>
  <c r="JA90" i="18" s="1"/>
  <c r="JC90" i="18" s="1"/>
  <c r="AO162" i="18"/>
  <c r="AN163" i="18"/>
  <c r="AV165" i="18"/>
  <c r="AF165" i="18"/>
  <c r="AG164" i="18"/>
  <c r="AW164" i="18"/>
  <c r="IZ91" i="18"/>
  <c r="FC111" i="16" l="1"/>
  <c r="FB111" i="16" s="1"/>
  <c r="FD111" i="16" s="1"/>
  <c r="EX114" i="16"/>
  <c r="EW114" i="16" s="1"/>
  <c r="EY114" i="16" s="1"/>
  <c r="FA113" i="16"/>
  <c r="JB91" i="18"/>
  <c r="JA91" i="18" s="1"/>
  <c r="JC91" i="18" s="1"/>
  <c r="IW92" i="18"/>
  <c r="IV92" i="18" s="1"/>
  <c r="IX92" i="18" s="1"/>
  <c r="IZ92" i="18"/>
  <c r="AO163" i="18"/>
  <c r="AN164" i="18"/>
  <c r="AV166" i="18"/>
  <c r="AW165" i="18"/>
  <c r="AF166" i="18"/>
  <c r="AG165" i="18"/>
  <c r="EX115" i="16" l="1"/>
  <c r="EW115" i="16" s="1"/>
  <c r="EY115" i="16" s="1"/>
  <c r="FC112" i="16"/>
  <c r="FB112" i="16" s="1"/>
  <c r="FD112" i="16" s="1"/>
  <c r="FA114" i="16"/>
  <c r="JB92" i="18"/>
  <c r="JA92" i="18" s="1"/>
  <c r="JC92" i="18" s="1"/>
  <c r="JE80" i="18" s="1"/>
  <c r="AF167" i="18"/>
  <c r="AV167" i="18"/>
  <c r="AG166" i="18"/>
  <c r="AW166" i="18"/>
  <c r="AN165" i="18"/>
  <c r="AO164" i="18"/>
  <c r="FC113" i="16" l="1"/>
  <c r="FB113" i="16" s="1"/>
  <c r="FD113" i="16" s="1"/>
  <c r="EX116" i="16"/>
  <c r="EW116" i="16" s="1"/>
  <c r="EY116" i="16" s="1"/>
  <c r="FA115" i="16"/>
  <c r="JH80" i="18"/>
  <c r="JE82" i="18"/>
  <c r="JE81" i="18"/>
  <c r="JE83" i="18"/>
  <c r="JE84" i="18"/>
  <c r="JE85" i="18"/>
  <c r="JE86" i="18"/>
  <c r="JE87" i="18"/>
  <c r="JE88" i="18"/>
  <c r="JE89" i="18"/>
  <c r="JE90" i="18"/>
  <c r="JE91" i="18"/>
  <c r="JE92" i="18"/>
  <c r="AN166" i="18"/>
  <c r="AO165" i="18"/>
  <c r="AF168" i="18"/>
  <c r="AG167" i="18"/>
  <c r="AV168" i="18"/>
  <c r="AW167" i="18"/>
  <c r="FC114" i="16" l="1"/>
  <c r="FB114" i="16" s="1"/>
  <c r="FD114" i="16" s="1"/>
  <c r="FA116" i="16"/>
  <c r="AF169" i="18"/>
  <c r="AW168" i="18"/>
  <c r="AG168" i="18"/>
  <c r="AV169" i="18"/>
  <c r="AO166" i="18"/>
  <c r="AN167" i="18"/>
  <c r="JG81" i="18"/>
  <c r="JF81" i="18" s="1"/>
  <c r="FC115" i="16" l="1"/>
  <c r="FB115" i="16" s="1"/>
  <c r="FD115" i="16" s="1"/>
  <c r="JK81" i="18"/>
  <c r="JH81" i="18"/>
  <c r="AV170" i="18"/>
  <c r="AW169" i="18"/>
  <c r="AF170" i="18"/>
  <c r="AG169" i="18"/>
  <c r="AO167" i="18"/>
  <c r="AN168" i="18"/>
  <c r="FC116" i="16" l="1"/>
  <c r="FB116" i="16" s="1"/>
  <c r="FD116" i="16" s="1"/>
  <c r="FF80" i="16" s="1"/>
  <c r="AW170" i="18"/>
  <c r="AF171" i="18"/>
  <c r="AV171" i="18"/>
  <c r="AG170" i="18"/>
  <c r="JG82" i="18"/>
  <c r="JF82" i="18" s="1"/>
  <c r="JH82" i="18" s="1"/>
  <c r="AN169" i="18"/>
  <c r="AO168" i="18"/>
  <c r="JJ81" i="18"/>
  <c r="JJ82" i="18" s="1"/>
  <c r="JM81" i="18"/>
  <c r="FF85" i="16" l="1"/>
  <c r="FF93" i="16"/>
  <c r="FF97" i="16"/>
  <c r="FF102" i="16"/>
  <c r="FF94" i="16"/>
  <c r="FF95" i="16"/>
  <c r="FF100" i="16"/>
  <c r="FF101" i="16"/>
  <c r="FF103" i="16"/>
  <c r="FF99" i="16"/>
  <c r="FF105" i="16"/>
  <c r="FF109" i="16"/>
  <c r="FF111" i="16"/>
  <c r="FF104" i="16"/>
  <c r="FF110" i="16"/>
  <c r="FF106" i="16"/>
  <c r="FF115" i="16"/>
  <c r="FF92" i="16"/>
  <c r="FF114" i="16"/>
  <c r="FF98" i="16"/>
  <c r="FF107" i="16"/>
  <c r="FF112" i="16"/>
  <c r="FF96" i="16"/>
  <c r="FF108" i="16"/>
  <c r="FF113" i="16"/>
  <c r="FF116" i="16"/>
  <c r="FF88" i="16"/>
  <c r="FF84" i="16"/>
  <c r="FF90" i="16"/>
  <c r="FF81" i="16"/>
  <c r="FF83" i="16"/>
  <c r="FF87" i="16"/>
  <c r="FF91" i="16"/>
  <c r="FF89" i="16"/>
  <c r="FF86" i="16"/>
  <c r="FF82" i="16"/>
  <c r="FI80" i="16"/>
  <c r="JG83" i="18"/>
  <c r="JF83" i="18" s="1"/>
  <c r="JH83" i="18" s="1"/>
  <c r="JL82" i="18"/>
  <c r="JK82" i="18" s="1"/>
  <c r="JM82" i="18" s="1"/>
  <c r="AO169" i="18"/>
  <c r="AN170" i="18"/>
  <c r="JJ83" i="18"/>
  <c r="AF172" i="18"/>
  <c r="AG171" i="18"/>
  <c r="AV172" i="18"/>
  <c r="AW171" i="18"/>
  <c r="FH81" i="16" l="1"/>
  <c r="FG81" i="16" s="1"/>
  <c r="JL83" i="18"/>
  <c r="JK83" i="18" s="1"/>
  <c r="JM83" i="18" s="1"/>
  <c r="JG84" i="18"/>
  <c r="JF84" i="18" s="1"/>
  <c r="JH84" i="18" s="1"/>
  <c r="AN171" i="18"/>
  <c r="AO170" i="18"/>
  <c r="AF173" i="18"/>
  <c r="AW172" i="18"/>
  <c r="AG172" i="18"/>
  <c r="AV173" i="18"/>
  <c r="JJ84" i="18"/>
  <c r="FI81" i="16" l="1"/>
  <c r="FH82" i="16" s="1"/>
  <c r="FG82" i="16" s="1"/>
  <c r="FI82" i="16" s="1"/>
  <c r="FH83" i="16" s="1"/>
  <c r="FG83" i="16" s="1"/>
  <c r="FI83" i="16" s="1"/>
  <c r="FH84" i="16" s="1"/>
  <c r="FG84" i="16" s="1"/>
  <c r="FI84" i="16" s="1"/>
  <c r="FH85" i="16" s="1"/>
  <c r="FG85" i="16" s="1"/>
  <c r="FI85" i="16" s="1"/>
  <c r="FH86" i="16" s="1"/>
  <c r="FG86" i="16" s="1"/>
  <c r="FI86" i="16" s="1"/>
  <c r="FH87" i="16" s="1"/>
  <c r="FG87" i="16" s="1"/>
  <c r="FI87" i="16" s="1"/>
  <c r="FH88" i="16" s="1"/>
  <c r="FG88" i="16" s="1"/>
  <c r="FI88" i="16" s="1"/>
  <c r="FH89" i="16" s="1"/>
  <c r="FG89" i="16" s="1"/>
  <c r="FI89" i="16" s="1"/>
  <c r="FH90" i="16" s="1"/>
  <c r="FG90" i="16" s="1"/>
  <c r="FI90" i="16" s="1"/>
  <c r="FH91" i="16" s="1"/>
  <c r="FG91" i="16" s="1"/>
  <c r="FI91" i="16" s="1"/>
  <c r="FH92" i="16" s="1"/>
  <c r="FG92" i="16" s="1"/>
  <c r="FI92" i="16" s="1"/>
  <c r="JL84" i="18"/>
  <c r="JK84" i="18" s="1"/>
  <c r="JM84" i="18" s="1"/>
  <c r="JG85" i="18"/>
  <c r="JF85" i="18" s="1"/>
  <c r="JH85" i="18" s="1"/>
  <c r="AO171" i="18"/>
  <c r="AN172" i="18"/>
  <c r="JJ85" i="18"/>
  <c r="AV174" i="18"/>
  <c r="AW173" i="18"/>
  <c r="AF174" i="18"/>
  <c r="AG173" i="18"/>
  <c r="FL81" i="16" l="1"/>
  <c r="FH93" i="16"/>
  <c r="FG93" i="16" s="1"/>
  <c r="FI93" i="16" s="1"/>
  <c r="JL85" i="18"/>
  <c r="JK85" i="18" s="1"/>
  <c r="JM85" i="18" s="1"/>
  <c r="JG86" i="18"/>
  <c r="JF86" i="18" s="1"/>
  <c r="JH86" i="18" s="1"/>
  <c r="JJ86" i="18"/>
  <c r="AW174" i="18"/>
  <c r="AV175" i="18"/>
  <c r="AG174" i="18"/>
  <c r="AF175" i="18"/>
  <c r="AN173" i="18"/>
  <c r="AO172" i="18"/>
  <c r="FN81" i="16" l="1"/>
  <c r="FM82" i="16" s="1"/>
  <c r="FK81" i="16"/>
  <c r="FK82" i="16" s="1"/>
  <c r="FK83" i="16" s="1"/>
  <c r="FK84" i="16" s="1"/>
  <c r="FK85" i="16" s="1"/>
  <c r="FK86" i="16" s="1"/>
  <c r="FK87" i="16" s="1"/>
  <c r="FK88" i="16" s="1"/>
  <c r="FH94" i="16"/>
  <c r="FG94" i="16" s="1"/>
  <c r="FI94" i="16" s="1"/>
  <c r="JL86" i="18"/>
  <c r="JK86" i="18" s="1"/>
  <c r="JM86" i="18" s="1"/>
  <c r="JG87" i="18"/>
  <c r="JF87" i="18" s="1"/>
  <c r="JH87" i="18" s="1"/>
  <c r="AO173" i="18"/>
  <c r="AN174" i="18"/>
  <c r="AF176" i="18"/>
  <c r="AG175" i="18"/>
  <c r="AV176" i="18"/>
  <c r="AW175" i="18"/>
  <c r="JJ87" i="18"/>
  <c r="FK89" i="16" l="1"/>
  <c r="FL82" i="16"/>
  <c r="FN82" i="16" s="1"/>
  <c r="FM83" i="16" s="1"/>
  <c r="FL83" i="16" s="1"/>
  <c r="FN83" i="16" s="1"/>
  <c r="FM84" i="16" s="1"/>
  <c r="FL84" i="16" s="1"/>
  <c r="FN84" i="16" s="1"/>
  <c r="FM85" i="16" s="1"/>
  <c r="FL85" i="16" s="1"/>
  <c r="FN85" i="16" s="1"/>
  <c r="FM86" i="16" s="1"/>
  <c r="FL86" i="16" s="1"/>
  <c r="FN86" i="16" s="1"/>
  <c r="FM87" i="16" s="1"/>
  <c r="FL87" i="16" s="1"/>
  <c r="FN87" i="16" s="1"/>
  <c r="FM88" i="16" s="1"/>
  <c r="FL88" i="16" s="1"/>
  <c r="FN88" i="16" s="1"/>
  <c r="FM89" i="16" s="1"/>
  <c r="FH95" i="16"/>
  <c r="FG95" i="16" s="1"/>
  <c r="FI95" i="16" s="1"/>
  <c r="JL87" i="18"/>
  <c r="AF177" i="18"/>
  <c r="AW176" i="18"/>
  <c r="AG176" i="18"/>
  <c r="AV177" i="18"/>
  <c r="JG88" i="18"/>
  <c r="JF88" i="18" s="1"/>
  <c r="JH88" i="18" s="1"/>
  <c r="AN175" i="18"/>
  <c r="AO174" i="18"/>
  <c r="JK87" i="18"/>
  <c r="JM87" i="18" s="1"/>
  <c r="JJ88" i="18"/>
  <c r="FL89" i="16" l="1"/>
  <c r="FN89" i="16" s="1"/>
  <c r="FM90" i="16" s="1"/>
  <c r="FK90" i="16"/>
  <c r="FH96" i="16"/>
  <c r="FG96" i="16" s="1"/>
  <c r="FI96" i="16" s="1"/>
  <c r="JL88" i="18"/>
  <c r="JK88" i="18" s="1"/>
  <c r="JM88" i="18" s="1"/>
  <c r="JG89" i="18"/>
  <c r="JF89" i="18" s="1"/>
  <c r="JH89" i="18" s="1"/>
  <c r="AN176" i="18"/>
  <c r="AO175" i="18"/>
  <c r="JJ89" i="18"/>
  <c r="AV178" i="18"/>
  <c r="AW177" i="18"/>
  <c r="AF178" i="18"/>
  <c r="AG177" i="18"/>
  <c r="FK91" i="16" l="1"/>
  <c r="FK92" i="16" s="1"/>
  <c r="FK93" i="16" s="1"/>
  <c r="FK94" i="16" s="1"/>
  <c r="FK95" i="16" s="1"/>
  <c r="FK96" i="16" s="1"/>
  <c r="FL90" i="16"/>
  <c r="FN90" i="16" s="1"/>
  <c r="FM91" i="16" s="1"/>
  <c r="FH97" i="16"/>
  <c r="FG97" i="16" s="1"/>
  <c r="FI97" i="16" s="1"/>
  <c r="JL89" i="18"/>
  <c r="JK89" i="18" s="1"/>
  <c r="JM89" i="18" s="1"/>
  <c r="JG90" i="18"/>
  <c r="JF90" i="18" s="1"/>
  <c r="JH90" i="18" s="1"/>
  <c r="JJ90" i="18"/>
  <c r="AV179" i="18"/>
  <c r="AW178" i="18"/>
  <c r="AF179" i="18"/>
  <c r="AG178" i="18"/>
  <c r="AN177" i="18"/>
  <c r="AO176" i="18"/>
  <c r="FL91" i="16" l="1"/>
  <c r="FN91" i="16" s="1"/>
  <c r="FM92" i="16" s="1"/>
  <c r="FL92" i="16" s="1"/>
  <c r="FN92" i="16" s="1"/>
  <c r="FM93" i="16" s="1"/>
  <c r="FL93" i="16" s="1"/>
  <c r="FN93" i="16" s="1"/>
  <c r="FM94" i="16" s="1"/>
  <c r="FL94" i="16" s="1"/>
  <c r="FN94" i="16" s="1"/>
  <c r="FH98" i="16"/>
  <c r="FG98" i="16" s="1"/>
  <c r="FI98" i="16" s="1"/>
  <c r="FK97" i="16"/>
  <c r="JL90" i="18"/>
  <c r="JK90" i="18" s="1"/>
  <c r="JM90" i="18" s="1"/>
  <c r="JG91" i="18"/>
  <c r="JF91" i="18" s="1"/>
  <c r="JH91" i="18" s="1"/>
  <c r="AV180" i="18"/>
  <c r="AG179" i="18"/>
  <c r="AW179" i="18"/>
  <c r="AF180" i="18"/>
  <c r="AO177" i="18"/>
  <c r="AN178" i="18"/>
  <c r="JJ91" i="18"/>
  <c r="FM95" i="16" l="1"/>
  <c r="FL95" i="16" s="1"/>
  <c r="FN95" i="16" s="1"/>
  <c r="FH99" i="16"/>
  <c r="FG99" i="16" s="1"/>
  <c r="FI99" i="16" s="1"/>
  <c r="FK98" i="16"/>
  <c r="JL91" i="18"/>
  <c r="JK91" i="18" s="1"/>
  <c r="JM91" i="18" s="1"/>
  <c r="JG92" i="18"/>
  <c r="JF92" i="18" s="1"/>
  <c r="JH92" i="18" s="1"/>
  <c r="AN179" i="18"/>
  <c r="AO178" i="18"/>
  <c r="AF181" i="18"/>
  <c r="AG180" i="18"/>
  <c r="AV181" i="18"/>
  <c r="AW180" i="18"/>
  <c r="JJ92" i="18"/>
  <c r="FM96" i="16" l="1"/>
  <c r="FL96" i="16" s="1"/>
  <c r="FN96" i="16" s="1"/>
  <c r="FH100" i="16"/>
  <c r="FG100" i="16" s="1"/>
  <c r="FI100" i="16" s="1"/>
  <c r="FK99" i="16"/>
  <c r="JL92" i="18"/>
  <c r="JK92" i="18" s="1"/>
  <c r="JM92" i="18" s="1"/>
  <c r="JO80" i="18" s="1"/>
  <c r="AF182" i="18"/>
  <c r="AW181" i="18"/>
  <c r="AG181" i="18"/>
  <c r="AV182" i="18"/>
  <c r="AN180" i="18"/>
  <c r="AO179" i="18"/>
  <c r="FH101" i="16" l="1"/>
  <c r="FG101" i="16" s="1"/>
  <c r="FI101" i="16" s="1"/>
  <c r="FM97" i="16"/>
  <c r="FL97" i="16" s="1"/>
  <c r="FN97" i="16" s="1"/>
  <c r="FK100" i="16"/>
  <c r="JR80" i="18"/>
  <c r="JO82" i="18"/>
  <c r="JO81" i="18"/>
  <c r="JO83" i="18"/>
  <c r="JO84" i="18"/>
  <c r="JO85" i="18"/>
  <c r="JO86" i="18"/>
  <c r="JO87" i="18"/>
  <c r="JO88" i="18"/>
  <c r="JO89" i="18"/>
  <c r="JO90" i="18"/>
  <c r="JO91" i="18"/>
  <c r="JO92" i="18"/>
  <c r="AV183" i="18"/>
  <c r="AW182" i="18"/>
  <c r="AF183" i="18"/>
  <c r="AG182" i="18"/>
  <c r="AN181" i="18"/>
  <c r="AO180" i="18"/>
  <c r="FM98" i="16" l="1"/>
  <c r="FL98" i="16" s="1"/>
  <c r="FN98" i="16" s="1"/>
  <c r="FH102" i="16"/>
  <c r="FG102" i="16" s="1"/>
  <c r="FI102" i="16" s="1"/>
  <c r="FK101" i="16"/>
  <c r="AN182" i="18"/>
  <c r="AO181" i="18"/>
  <c r="AV184" i="18"/>
  <c r="AG183" i="18"/>
  <c r="AW183" i="18"/>
  <c r="AF184" i="18"/>
  <c r="JQ81" i="18"/>
  <c r="JP81" i="18" s="1"/>
  <c r="FM99" i="16" l="1"/>
  <c r="FL99" i="16" s="1"/>
  <c r="FN99" i="16" s="1"/>
  <c r="FH103" i="16"/>
  <c r="FG103" i="16" s="1"/>
  <c r="FI103" i="16" s="1"/>
  <c r="FK102" i="16"/>
  <c r="JU81" i="18"/>
  <c r="JW81" i="18" s="1"/>
  <c r="JR81" i="18"/>
  <c r="JQ82" i="18" s="1"/>
  <c r="JP82" i="18" s="1"/>
  <c r="JR82" i="18" s="1"/>
  <c r="AV185" i="18"/>
  <c r="AF185" i="18"/>
  <c r="AG184" i="18"/>
  <c r="AW184" i="18"/>
  <c r="AN183" i="18"/>
  <c r="AO182" i="18"/>
  <c r="FM100" i="16" l="1"/>
  <c r="FL100" i="16" s="1"/>
  <c r="FN100" i="16" s="1"/>
  <c r="FK103" i="16"/>
  <c r="FH104" i="16"/>
  <c r="FG104" i="16" s="1"/>
  <c r="FI104" i="16" s="1"/>
  <c r="JT81" i="18"/>
  <c r="JT82" i="18" s="1"/>
  <c r="JT83" i="18" s="1"/>
  <c r="JQ83" i="18"/>
  <c r="JP83" i="18" s="1"/>
  <c r="JR83" i="18" s="1"/>
  <c r="JV82" i="18"/>
  <c r="AV186" i="18"/>
  <c r="AF186" i="18"/>
  <c r="AG185" i="18"/>
  <c r="AW185" i="18"/>
  <c r="AN184" i="18"/>
  <c r="AO183" i="18"/>
  <c r="FH105" i="16" l="1"/>
  <c r="FG105" i="16" s="1"/>
  <c r="FI105" i="16" s="1"/>
  <c r="FM101" i="16"/>
  <c r="FL101" i="16" s="1"/>
  <c r="FN101" i="16" s="1"/>
  <c r="FK104" i="16"/>
  <c r="JU82" i="18"/>
  <c r="JW82" i="18" s="1"/>
  <c r="JV83" i="18" s="1"/>
  <c r="JU83" i="18" s="1"/>
  <c r="JW83" i="18" s="1"/>
  <c r="JT84" i="18"/>
  <c r="JQ84" i="18"/>
  <c r="JP84" i="18" s="1"/>
  <c r="JR84" i="18" s="1"/>
  <c r="AF187" i="18"/>
  <c r="AG186" i="18"/>
  <c r="AV187" i="18"/>
  <c r="AW186" i="18"/>
  <c r="AN185" i="18"/>
  <c r="AO184" i="18"/>
  <c r="FH106" i="16" l="1"/>
  <c r="FG106" i="16" s="1"/>
  <c r="FI106" i="16" s="1"/>
  <c r="FK105" i="16"/>
  <c r="FM102" i="16"/>
  <c r="FL102" i="16" s="1"/>
  <c r="FN102" i="16" s="1"/>
  <c r="JQ85" i="18"/>
  <c r="JP85" i="18" s="1"/>
  <c r="JR85" i="18" s="1"/>
  <c r="JV84" i="18"/>
  <c r="JU84" i="18" s="1"/>
  <c r="JW84" i="18" s="1"/>
  <c r="JT85" i="18"/>
  <c r="AN186" i="18"/>
  <c r="AO185" i="18"/>
  <c r="AF188" i="18"/>
  <c r="AV188" i="18"/>
  <c r="AG187" i="18"/>
  <c r="AW187" i="18"/>
  <c r="FM103" i="16" l="1"/>
  <c r="FL103" i="16" s="1"/>
  <c r="FN103" i="16" s="1"/>
  <c r="FH107" i="16"/>
  <c r="FG107" i="16" s="1"/>
  <c r="FI107" i="16" s="1"/>
  <c r="FK106" i="16"/>
  <c r="JV85" i="18"/>
  <c r="JU85" i="18" s="1"/>
  <c r="JW85" i="18" s="1"/>
  <c r="JQ86" i="18"/>
  <c r="JP86" i="18" s="1"/>
  <c r="JR86" i="18" s="1"/>
  <c r="AN187" i="18"/>
  <c r="AO186" i="18"/>
  <c r="JT86" i="18"/>
  <c r="AV189" i="18"/>
  <c r="AW188" i="18"/>
  <c r="AF189" i="18"/>
  <c r="AG188" i="18"/>
  <c r="FH108" i="16" l="1"/>
  <c r="FG108" i="16" s="1"/>
  <c r="FI108" i="16" s="1"/>
  <c r="FM104" i="16"/>
  <c r="FL104" i="16" s="1"/>
  <c r="FN104" i="16" s="1"/>
  <c r="FK107" i="16"/>
  <c r="JV86" i="18"/>
  <c r="JU86" i="18" s="1"/>
  <c r="JW86" i="18" s="1"/>
  <c r="JQ87" i="18"/>
  <c r="JP87" i="18" s="1"/>
  <c r="JR87" i="18" s="1"/>
  <c r="AO187" i="18"/>
  <c r="AN188" i="18"/>
  <c r="JT87" i="18"/>
  <c r="AV190" i="18"/>
  <c r="AW189" i="18"/>
  <c r="AF190" i="18"/>
  <c r="AG189" i="18"/>
  <c r="FH109" i="16" l="1"/>
  <c r="FG109" i="16" s="1"/>
  <c r="FI109" i="16" s="1"/>
  <c r="FM105" i="16"/>
  <c r="FL105" i="16" s="1"/>
  <c r="FN105" i="16" s="1"/>
  <c r="FK108" i="16"/>
  <c r="JV87" i="18"/>
  <c r="JU87" i="18" s="1"/>
  <c r="JW87" i="18" s="1"/>
  <c r="AW190" i="18"/>
  <c r="AG190" i="18"/>
  <c r="AV191" i="18"/>
  <c r="AF191" i="18"/>
  <c r="JQ88" i="18"/>
  <c r="JP88" i="18" s="1"/>
  <c r="JR88" i="18" s="1"/>
  <c r="AN189" i="18"/>
  <c r="AO188" i="18"/>
  <c r="JT88" i="18"/>
  <c r="FH110" i="16" l="1"/>
  <c r="FG110" i="16" s="1"/>
  <c r="FI110" i="16" s="1"/>
  <c r="FM106" i="16"/>
  <c r="FL106" i="16" s="1"/>
  <c r="FN106" i="16" s="1"/>
  <c r="FK109" i="16"/>
  <c r="JQ89" i="18"/>
  <c r="JP89" i="18" s="1"/>
  <c r="JR89" i="18" s="1"/>
  <c r="JV88" i="18"/>
  <c r="JU88" i="18" s="1"/>
  <c r="JW88" i="18" s="1"/>
  <c r="JT89" i="18"/>
  <c r="AG191" i="18"/>
  <c r="AV192" i="18"/>
  <c r="AW191" i="18"/>
  <c r="AF192" i="18"/>
  <c r="AN190" i="18"/>
  <c r="AO189" i="18"/>
  <c r="FH111" i="16" l="1"/>
  <c r="FG111" i="16" s="1"/>
  <c r="FI111" i="16" s="1"/>
  <c r="FM107" i="16"/>
  <c r="FL107" i="16" s="1"/>
  <c r="FN107" i="16" s="1"/>
  <c r="FK110" i="16"/>
  <c r="JV89" i="18"/>
  <c r="JU89" i="18" s="1"/>
  <c r="JW89" i="18" s="1"/>
  <c r="JQ90" i="18"/>
  <c r="JP90" i="18" s="1"/>
  <c r="JR90" i="18" s="1"/>
  <c r="AN191" i="18"/>
  <c r="AO190" i="18"/>
  <c r="AF193" i="18"/>
  <c r="AG192" i="18"/>
  <c r="AV193" i="18"/>
  <c r="AW192" i="18"/>
  <c r="JT90" i="18"/>
  <c r="FH112" i="16" l="1"/>
  <c r="FG112" i="16" s="1"/>
  <c r="FI112" i="16" s="1"/>
  <c r="FM108" i="16"/>
  <c r="FL108" i="16" s="1"/>
  <c r="FN108" i="16" s="1"/>
  <c r="FK111" i="16"/>
  <c r="JQ91" i="18"/>
  <c r="JP91" i="18" s="1"/>
  <c r="JR91" i="18" s="1"/>
  <c r="JV90" i="18"/>
  <c r="JU90" i="18" s="1"/>
  <c r="JW90" i="18" s="1"/>
  <c r="JT91" i="18"/>
  <c r="AF194" i="18"/>
  <c r="AW193" i="18"/>
  <c r="AG193" i="18"/>
  <c r="AV194" i="18"/>
  <c r="AN192" i="18"/>
  <c r="AO191" i="18"/>
  <c r="FH113" i="16" l="1"/>
  <c r="FG113" i="16" s="1"/>
  <c r="FI113" i="16" s="1"/>
  <c r="FM109" i="16"/>
  <c r="FL109" i="16" s="1"/>
  <c r="FN109" i="16" s="1"/>
  <c r="FK112" i="16"/>
  <c r="JV91" i="18"/>
  <c r="JU91" i="18" s="1"/>
  <c r="JW91" i="18" s="1"/>
  <c r="JQ92" i="18"/>
  <c r="JP92" i="18" s="1"/>
  <c r="JR92" i="18" s="1"/>
  <c r="AN193" i="18"/>
  <c r="AO192" i="18"/>
  <c r="AV195" i="18"/>
  <c r="AW194" i="18"/>
  <c r="AF195" i="18"/>
  <c r="AG194" i="18"/>
  <c r="JT92" i="18"/>
  <c r="FH114" i="16" l="1"/>
  <c r="FG114" i="16" s="1"/>
  <c r="FI114" i="16" s="1"/>
  <c r="FM110" i="16"/>
  <c r="FL110" i="16" s="1"/>
  <c r="FN110" i="16" s="1"/>
  <c r="FK113" i="16"/>
  <c r="JV92" i="18"/>
  <c r="JU92" i="18" s="1"/>
  <c r="JW92" i="18" s="1"/>
  <c r="JY80" i="18" s="1"/>
  <c r="AF196" i="18"/>
  <c r="AW195" i="18"/>
  <c r="AV196" i="18"/>
  <c r="AG195" i="18"/>
  <c r="AN194" i="18"/>
  <c r="AO193" i="18"/>
  <c r="FH115" i="16" l="1"/>
  <c r="FG115" i="16" s="1"/>
  <c r="FI115" i="16" s="1"/>
  <c r="FK114" i="16"/>
  <c r="FM111" i="16"/>
  <c r="FL111" i="16" s="1"/>
  <c r="FN111" i="16" s="1"/>
  <c r="KB80" i="18"/>
  <c r="JY81" i="18"/>
  <c r="JY82" i="18"/>
  <c r="JY83" i="18"/>
  <c r="JY84" i="18"/>
  <c r="JY85" i="18"/>
  <c r="JY86" i="18"/>
  <c r="JY87" i="18"/>
  <c r="JY88" i="18"/>
  <c r="JY89" i="18"/>
  <c r="JY90" i="18"/>
  <c r="JY91" i="18"/>
  <c r="JY92" i="18"/>
  <c r="AN195" i="18"/>
  <c r="AO194" i="18"/>
  <c r="AF197" i="18"/>
  <c r="AV197" i="18"/>
  <c r="AG196" i="18"/>
  <c r="AW196" i="18"/>
  <c r="FM112" i="16" l="1"/>
  <c r="FL112" i="16" s="1"/>
  <c r="FN112" i="16" s="1"/>
  <c r="FH116" i="16"/>
  <c r="FG116" i="16" s="1"/>
  <c r="FI116" i="16" s="1"/>
  <c r="FK115" i="16"/>
  <c r="AV198" i="18"/>
  <c r="AF198" i="18"/>
  <c r="AG197" i="18"/>
  <c r="AW197" i="18"/>
  <c r="AO195" i="18"/>
  <c r="AN196" i="18"/>
  <c r="KA81" i="18"/>
  <c r="JZ81" i="18" s="1"/>
  <c r="FM113" i="16" l="1"/>
  <c r="FL113" i="16" s="1"/>
  <c r="FN113" i="16" s="1"/>
  <c r="FK116" i="16"/>
  <c r="KE81" i="18"/>
  <c r="KB81" i="18"/>
  <c r="AN197" i="18"/>
  <c r="AO196" i="18"/>
  <c r="AW198" i="18"/>
  <c r="AF199" i="18"/>
  <c r="AV199" i="18"/>
  <c r="AG198" i="18"/>
  <c r="FM114" i="16" l="1"/>
  <c r="FL114" i="16" s="1"/>
  <c r="FN114" i="16" s="1"/>
  <c r="AN198" i="18"/>
  <c r="AO197" i="18"/>
  <c r="AG199" i="18"/>
  <c r="AV200" i="18"/>
  <c r="AW199" i="18"/>
  <c r="AF200" i="18"/>
  <c r="KA82" i="18"/>
  <c r="JZ82" i="18" s="1"/>
  <c r="KB82" i="18" s="1"/>
  <c r="KG81" i="18"/>
  <c r="KD81" i="18"/>
  <c r="FM115" i="16" l="1"/>
  <c r="FL115" i="16" s="1"/>
  <c r="FN115" i="16" s="1"/>
  <c r="KA83" i="18"/>
  <c r="JZ83" i="18" s="1"/>
  <c r="KB83" i="18" s="1"/>
  <c r="M81" i="18"/>
  <c r="KD82" i="18"/>
  <c r="AG200" i="18"/>
  <c r="AW200" i="18"/>
  <c r="R56" i="18" s="1"/>
  <c r="Q81" i="18"/>
  <c r="KF82" i="18"/>
  <c r="P82" i="18" s="1"/>
  <c r="AN199" i="18"/>
  <c r="AO198" i="18"/>
  <c r="FM116" i="16" l="1"/>
  <c r="FL116" i="16" s="1"/>
  <c r="FN116" i="16" s="1"/>
  <c r="FP80" i="16" s="1"/>
  <c r="KA84" i="18"/>
  <c r="JZ84" i="18" s="1"/>
  <c r="KB84" i="18" s="1"/>
  <c r="KE82" i="18"/>
  <c r="KG82" i="18" s="1"/>
  <c r="KD83" i="18"/>
  <c r="BF82" i="18"/>
  <c r="N82" i="18"/>
  <c r="AP82" i="18" s="1"/>
  <c r="AN200" i="18"/>
  <c r="AO200" i="18" s="1"/>
  <c r="AO199" i="18"/>
  <c r="FP93" i="16" l="1"/>
  <c r="FP100" i="16"/>
  <c r="FP94" i="16"/>
  <c r="FP95" i="16"/>
  <c r="FP97" i="16"/>
  <c r="FP99" i="16"/>
  <c r="FP96" i="16"/>
  <c r="FP98" i="16"/>
  <c r="FP103" i="16"/>
  <c r="FP108" i="16"/>
  <c r="FP109" i="16"/>
  <c r="FP102" i="16"/>
  <c r="FP106" i="16"/>
  <c r="FP110" i="16"/>
  <c r="FP111" i="16"/>
  <c r="FP104" i="16"/>
  <c r="FP107" i="16"/>
  <c r="FP105" i="16"/>
  <c r="FP115" i="16"/>
  <c r="FP113" i="16"/>
  <c r="FP112" i="16"/>
  <c r="FP101" i="16"/>
  <c r="FP114" i="16"/>
  <c r="FP116" i="16"/>
  <c r="FP92" i="16"/>
  <c r="FP90" i="16"/>
  <c r="FS80" i="16"/>
  <c r="FP85" i="16"/>
  <c r="FP87" i="16"/>
  <c r="FP82" i="16"/>
  <c r="FP84" i="16"/>
  <c r="FP89" i="16"/>
  <c r="FP86" i="16"/>
  <c r="FP91" i="16"/>
  <c r="FP81" i="16"/>
  <c r="FP83" i="16"/>
  <c r="FP88" i="16"/>
  <c r="KA85" i="18"/>
  <c r="JZ85" i="18" s="1"/>
  <c r="KB85" i="18" s="1"/>
  <c r="M82" i="18"/>
  <c r="Q82" i="18"/>
  <c r="KF83" i="18"/>
  <c r="P83" i="18" s="1"/>
  <c r="KD84" i="18"/>
  <c r="FR81" i="16" l="1"/>
  <c r="FQ81" i="16" s="1"/>
  <c r="KE83" i="18"/>
  <c r="KG83" i="18" s="1"/>
  <c r="KF84" i="18" s="1"/>
  <c r="KA86" i="18"/>
  <c r="JZ86" i="18" s="1"/>
  <c r="KB86" i="18" s="1"/>
  <c r="BF83" i="18"/>
  <c r="N83" i="18"/>
  <c r="KD85" i="18"/>
  <c r="FS81" i="16" l="1"/>
  <c r="FR82" i="16" s="1"/>
  <c r="FQ82" i="16" s="1"/>
  <c r="FS82" i="16" s="1"/>
  <c r="FR83" i="16" s="1"/>
  <c r="FQ83" i="16" s="1"/>
  <c r="FS83" i="16" s="1"/>
  <c r="FR84" i="16" s="1"/>
  <c r="FQ84" i="16" s="1"/>
  <c r="FS84" i="16" s="1"/>
  <c r="FR85" i="16" s="1"/>
  <c r="FQ85" i="16" s="1"/>
  <c r="FS85" i="16" s="1"/>
  <c r="FR86" i="16" s="1"/>
  <c r="FQ86" i="16" s="1"/>
  <c r="FS86" i="16" s="1"/>
  <c r="FR87" i="16" s="1"/>
  <c r="FQ87" i="16" s="1"/>
  <c r="FS87" i="16" s="1"/>
  <c r="FR88" i="16" s="1"/>
  <c r="FQ88" i="16" s="1"/>
  <c r="FS88" i="16" s="1"/>
  <c r="FR89" i="16" s="1"/>
  <c r="FQ89" i="16" s="1"/>
  <c r="FS89" i="16" s="1"/>
  <c r="FR90" i="16" s="1"/>
  <c r="FQ90" i="16" s="1"/>
  <c r="FS90" i="16" s="1"/>
  <c r="FR91" i="16" s="1"/>
  <c r="FQ91" i="16" s="1"/>
  <c r="FS91" i="16" s="1"/>
  <c r="FR92" i="16" s="1"/>
  <c r="FQ92" i="16" s="1"/>
  <c r="FS92" i="16" s="1"/>
  <c r="FR93" i="16" s="1"/>
  <c r="FQ93" i="16" s="1"/>
  <c r="FS93" i="16" s="1"/>
  <c r="Q83" i="18"/>
  <c r="N84" i="18" s="1"/>
  <c r="P84" i="18"/>
  <c r="KE84" i="18"/>
  <c r="KG84" i="18" s="1"/>
  <c r="KF85" i="18" s="1"/>
  <c r="KA87" i="18"/>
  <c r="JZ87" i="18" s="1"/>
  <c r="KB87" i="18" s="1"/>
  <c r="AP83" i="18"/>
  <c r="M83" i="18"/>
  <c r="KD86" i="18"/>
  <c r="FV81" i="16" l="1"/>
  <c r="FR94" i="16"/>
  <c r="FQ94" i="16" s="1"/>
  <c r="FS94" i="16" s="1"/>
  <c r="BF84" i="18"/>
  <c r="P85" i="18"/>
  <c r="KE85" i="18"/>
  <c r="KG85" i="18" s="1"/>
  <c r="KF86" i="18" s="1"/>
  <c r="Q84" i="18"/>
  <c r="BF85" i="18" s="1"/>
  <c r="KA88" i="18"/>
  <c r="JZ88" i="18" s="1"/>
  <c r="KB88" i="18" s="1"/>
  <c r="AP84" i="18"/>
  <c r="M84" i="18"/>
  <c r="KD87" i="18"/>
  <c r="FX81" i="16" l="1"/>
  <c r="FW82" i="16" s="1"/>
  <c r="FU81" i="16"/>
  <c r="FU82" i="16" s="1"/>
  <c r="FU83" i="16" s="1"/>
  <c r="FU84" i="16" s="1"/>
  <c r="FU85" i="16" s="1"/>
  <c r="FU86" i="16" s="1"/>
  <c r="FU87" i="16" s="1"/>
  <c r="FU88" i="16" s="1"/>
  <c r="FR95" i="16"/>
  <c r="FQ95" i="16" s="1"/>
  <c r="FS95" i="16" s="1"/>
  <c r="Q85" i="18"/>
  <c r="BF86" i="18" s="1"/>
  <c r="P86" i="18"/>
  <c r="KE86" i="18"/>
  <c r="KG86" i="18" s="1"/>
  <c r="KF87" i="18" s="1"/>
  <c r="N85" i="18"/>
  <c r="M85" i="18" s="1"/>
  <c r="KA89" i="18"/>
  <c r="JZ89" i="18" s="1"/>
  <c r="KB89" i="18" s="1"/>
  <c r="KD88" i="18"/>
  <c r="FV82" i="16" l="1"/>
  <c r="FX82" i="16" s="1"/>
  <c r="FW83" i="16" s="1"/>
  <c r="FV83" i="16" s="1"/>
  <c r="FX83" i="16" s="1"/>
  <c r="FW84" i="16" s="1"/>
  <c r="FV84" i="16" s="1"/>
  <c r="FX84" i="16" s="1"/>
  <c r="FW85" i="16" s="1"/>
  <c r="FV85" i="16" s="1"/>
  <c r="FX85" i="16" s="1"/>
  <c r="FW86" i="16" s="1"/>
  <c r="FV86" i="16" s="1"/>
  <c r="FX86" i="16" s="1"/>
  <c r="FW87" i="16" s="1"/>
  <c r="FV87" i="16" s="1"/>
  <c r="FX87" i="16" s="1"/>
  <c r="FW88" i="16" s="1"/>
  <c r="FV88" i="16" s="1"/>
  <c r="FX88" i="16" s="1"/>
  <c r="FW89" i="16" s="1"/>
  <c r="FR96" i="16"/>
  <c r="FQ96" i="16" s="1"/>
  <c r="FS96" i="16" s="1"/>
  <c r="FU89" i="16"/>
  <c r="AP85" i="18"/>
  <c r="N86" i="18"/>
  <c r="AP86" i="18" s="1"/>
  <c r="Q86" i="18"/>
  <c r="N87" i="18" s="1"/>
  <c r="P87" i="18"/>
  <c r="KE87" i="18"/>
  <c r="KG87" i="18" s="1"/>
  <c r="KF88" i="18" s="1"/>
  <c r="KA90" i="18"/>
  <c r="JZ90" i="18" s="1"/>
  <c r="KB90" i="18" s="1"/>
  <c r="KD89" i="18"/>
  <c r="FR97" i="16" l="1"/>
  <c r="FQ97" i="16" s="1"/>
  <c r="FS97" i="16" s="1"/>
  <c r="FU90" i="16"/>
  <c r="FU91" i="16" s="1"/>
  <c r="FU92" i="16" s="1"/>
  <c r="FU93" i="16" s="1"/>
  <c r="FV89" i="16"/>
  <c r="FX89" i="16" s="1"/>
  <c r="FW90" i="16" s="1"/>
  <c r="Q87" i="18"/>
  <c r="BF88" i="18" s="1"/>
  <c r="BF87" i="18"/>
  <c r="M86" i="18"/>
  <c r="P88" i="18"/>
  <c r="KE88" i="18"/>
  <c r="KG88" i="18" s="1"/>
  <c r="Q88" i="18" s="1"/>
  <c r="KA91" i="18"/>
  <c r="JZ91" i="18" s="1"/>
  <c r="KB91" i="18" s="1"/>
  <c r="AP87" i="18"/>
  <c r="M87" i="18"/>
  <c r="KD90" i="18"/>
  <c r="FV90" i="16" l="1"/>
  <c r="FX90" i="16" s="1"/>
  <c r="FW91" i="16" s="1"/>
  <c r="FV91" i="16" s="1"/>
  <c r="FX91" i="16" s="1"/>
  <c r="FW92" i="16" s="1"/>
  <c r="FV92" i="16" s="1"/>
  <c r="FX92" i="16" s="1"/>
  <c r="FR98" i="16"/>
  <c r="FQ98" i="16" s="1"/>
  <c r="FS98" i="16" s="1"/>
  <c r="FU94" i="16"/>
  <c r="N88" i="18"/>
  <c r="AP88" i="18" s="1"/>
  <c r="KF89" i="18"/>
  <c r="KA92" i="18"/>
  <c r="JZ92" i="18" s="1"/>
  <c r="KB92" i="18" s="1"/>
  <c r="BF89" i="18"/>
  <c r="N89" i="18"/>
  <c r="KD91" i="18"/>
  <c r="FR99" i="16" l="1"/>
  <c r="FQ99" i="16" s="1"/>
  <c r="FS99" i="16" s="1"/>
  <c r="FW93" i="16"/>
  <c r="FV93" i="16" s="1"/>
  <c r="FX93" i="16" s="1"/>
  <c r="FU95" i="16"/>
  <c r="M88" i="18"/>
  <c r="P89" i="18"/>
  <c r="KE89" i="18"/>
  <c r="KG89" i="18" s="1"/>
  <c r="AP89" i="18"/>
  <c r="M89" i="18"/>
  <c r="FW94" i="16" l="1"/>
  <c r="FV94" i="16" s="1"/>
  <c r="FX94" i="16" s="1"/>
  <c r="FR100" i="16"/>
  <c r="FQ100" i="16" s="1"/>
  <c r="FS100" i="16" s="1"/>
  <c r="FU96" i="16"/>
  <c r="KF90" i="18"/>
  <c r="Q89" i="18"/>
  <c r="FR101" i="16" l="1"/>
  <c r="FQ101" i="16" s="1"/>
  <c r="FS101" i="16" s="1"/>
  <c r="FW95" i="16"/>
  <c r="FV95" i="16" s="1"/>
  <c r="FX95" i="16" s="1"/>
  <c r="FU97" i="16"/>
  <c r="BF90" i="18"/>
  <c r="N90" i="18"/>
  <c r="P90" i="18"/>
  <c r="KE90" i="18"/>
  <c r="KG90" i="18" s="1"/>
  <c r="FW96" i="16" l="1"/>
  <c r="FV96" i="16" s="1"/>
  <c r="FX96" i="16" s="1"/>
  <c r="FR102" i="16"/>
  <c r="FQ102" i="16" s="1"/>
  <c r="FS102" i="16" s="1"/>
  <c r="FU98" i="16"/>
  <c r="KF91" i="18"/>
  <c r="Q90" i="18"/>
  <c r="AP90" i="18"/>
  <c r="M90" i="18"/>
  <c r="FR103" i="16" l="1"/>
  <c r="FQ103" i="16" s="1"/>
  <c r="FS103" i="16" s="1"/>
  <c r="FW97" i="16"/>
  <c r="FV97" i="16" s="1"/>
  <c r="FX97" i="16" s="1"/>
  <c r="FU99" i="16"/>
  <c r="BF91" i="18"/>
  <c r="N91" i="18"/>
  <c r="P91" i="18"/>
  <c r="KE91" i="18"/>
  <c r="KG91" i="18" s="1"/>
  <c r="FR104" i="16" l="1"/>
  <c r="FQ104" i="16" s="1"/>
  <c r="FS104" i="16" s="1"/>
  <c r="FU100" i="16"/>
  <c r="FW98" i="16"/>
  <c r="FV98" i="16" s="1"/>
  <c r="FX98" i="16" s="1"/>
  <c r="AP91" i="18"/>
  <c r="M91" i="18"/>
  <c r="Q91" i="18"/>
  <c r="KF92" i="18"/>
  <c r="P92" i="18" s="1"/>
  <c r="KE92" i="18"/>
  <c r="FW99" i="16" l="1"/>
  <c r="FV99" i="16" s="1"/>
  <c r="FX99" i="16" s="1"/>
  <c r="FR105" i="16"/>
  <c r="FQ105" i="16" s="1"/>
  <c r="FS105" i="16" s="1"/>
  <c r="FU101" i="16"/>
  <c r="BF92" i="18"/>
  <c r="N92" i="18"/>
  <c r="AP92" i="18" s="1"/>
  <c r="KG92" i="18"/>
  <c r="Q92" i="18" s="1"/>
  <c r="BF93" i="18" s="1"/>
  <c r="KD92" i="18"/>
  <c r="FR106" i="16" l="1"/>
  <c r="FQ106" i="16" s="1"/>
  <c r="FS106" i="16" s="1"/>
  <c r="FW100" i="16"/>
  <c r="FV100" i="16" s="1"/>
  <c r="FX100" i="16" s="1"/>
  <c r="FU102" i="16"/>
  <c r="M92" i="18"/>
  <c r="FW101" i="16" l="1"/>
  <c r="FV101" i="16" s="1"/>
  <c r="FX101" i="16" s="1"/>
  <c r="FR107" i="16"/>
  <c r="FQ107" i="16" s="1"/>
  <c r="FS107" i="16" s="1"/>
  <c r="FU103" i="16"/>
  <c r="B92" i="7"/>
  <c r="K105" i="7"/>
  <c r="K104" i="7"/>
  <c r="K103" i="7"/>
  <c r="K102" i="7"/>
  <c r="K109" i="7"/>
  <c r="K110" i="7"/>
  <c r="K111" i="7"/>
  <c r="K112" i="7"/>
  <c r="K113" i="7"/>
  <c r="K114" i="7"/>
  <c r="K115" i="7"/>
  <c r="K116" i="7"/>
  <c r="K117" i="7"/>
  <c r="K108" i="7"/>
  <c r="FW102" i="16" l="1"/>
  <c r="FV102" i="16" s="1"/>
  <c r="FX102" i="16" s="1"/>
  <c r="FR108" i="16"/>
  <c r="FQ108" i="16" s="1"/>
  <c r="FS108" i="16" s="1"/>
  <c r="FU104" i="16"/>
  <c r="K118" i="7"/>
  <c r="B90" i="7" s="1"/>
  <c r="K106" i="7"/>
  <c r="F22" i="18"/>
  <c r="H22" i="18" s="1"/>
  <c r="F24" i="18"/>
  <c r="H24" i="18" s="1"/>
  <c r="L118" i="7"/>
  <c r="B8" i="15" s="1"/>
  <c r="FW103" i="16" l="1"/>
  <c r="FV103" i="16" s="1"/>
  <c r="FX103" i="16" s="1"/>
  <c r="FU105" i="16"/>
  <c r="FR109" i="16"/>
  <c r="FQ109" i="16" s="1"/>
  <c r="FS109" i="16" s="1"/>
  <c r="CY141" i="18"/>
  <c r="CY131" i="18"/>
  <c r="CY132" i="18"/>
  <c r="CY133" i="18"/>
  <c r="CY134" i="18"/>
  <c r="CY135" i="18"/>
  <c r="CY136" i="18"/>
  <c r="CY137" i="18"/>
  <c r="CY138" i="18"/>
  <c r="CY139" i="18"/>
  <c r="CY140" i="18"/>
  <c r="CY129" i="18"/>
  <c r="CY130" i="18"/>
  <c r="DA81" i="18"/>
  <c r="H7" i="18"/>
  <c r="FI81" i="18"/>
  <c r="DK81" i="18"/>
  <c r="R7" i="18"/>
  <c r="GC81" i="18"/>
  <c r="FS81" i="18"/>
  <c r="EY81" i="18"/>
  <c r="EE81" i="18"/>
  <c r="EO81" i="18"/>
  <c r="GM81" i="18"/>
  <c r="G81" i="18" s="1"/>
  <c r="G24" i="18"/>
  <c r="I24" i="18"/>
  <c r="DU81" i="18"/>
  <c r="BC5" i="3"/>
  <c r="BA5" i="3"/>
  <c r="AY5" i="3"/>
  <c r="BC3" i="3"/>
  <c r="BD2" i="3" s="1"/>
  <c r="BA3" i="3"/>
  <c r="BB2" i="3" s="1"/>
  <c r="AZ2" i="3"/>
  <c r="BC2" i="3"/>
  <c r="BD3" i="3" s="1"/>
  <c r="BA2" i="3"/>
  <c r="BB5" i="3" s="1"/>
  <c r="AZ3" i="3"/>
  <c r="FR110" i="16" l="1"/>
  <c r="FQ110" i="16" s="1"/>
  <c r="FS110" i="16" s="1"/>
  <c r="FW104" i="16"/>
  <c r="FV104" i="16" s="1"/>
  <c r="FX104" i="16" s="1"/>
  <c r="FU106" i="16"/>
  <c r="Q16" i="18"/>
  <c r="R18" i="18"/>
  <c r="H60" i="18" s="1"/>
  <c r="H58" i="18"/>
  <c r="BB4" i="3"/>
  <c r="BB3" i="3"/>
  <c r="BD5" i="3"/>
  <c r="BD4" i="3"/>
  <c r="AZ4" i="3"/>
  <c r="AZ5" i="3"/>
  <c r="FW105" i="16" l="1"/>
  <c r="FV105" i="16" s="1"/>
  <c r="FX105" i="16" s="1"/>
  <c r="FR111" i="16"/>
  <c r="FQ111" i="16" s="1"/>
  <c r="FS111" i="16" s="1"/>
  <c r="FU107" i="16"/>
  <c r="AB80" i="18"/>
  <c r="AR80" i="18"/>
  <c r="AS80" i="18" s="1"/>
  <c r="R3" i="18" s="1"/>
  <c r="K2" i="12"/>
  <c r="FW106" i="16" l="1"/>
  <c r="FV106" i="16" s="1"/>
  <c r="FX106" i="16" s="1"/>
  <c r="FR112" i="16"/>
  <c r="FQ112" i="16" s="1"/>
  <c r="FS112" i="16" s="1"/>
  <c r="FU108" i="16"/>
  <c r="BH80" i="18"/>
  <c r="AC80" i="18"/>
  <c r="AK29" i="13"/>
  <c r="AJ29" i="13"/>
  <c r="FW107" i="16" l="1"/>
  <c r="FV107" i="16" s="1"/>
  <c r="FX107" i="16" s="1"/>
  <c r="FR113" i="16"/>
  <c r="FQ113" i="16" s="1"/>
  <c r="FS113" i="16" s="1"/>
  <c r="FU109" i="16"/>
  <c r="K43" i="12"/>
  <c r="K42" i="12"/>
  <c r="K41" i="12"/>
  <c r="K40" i="12"/>
  <c r="FW108" i="16" l="1"/>
  <c r="FV108" i="16" s="1"/>
  <c r="FX108" i="16" s="1"/>
  <c r="FR114" i="16"/>
  <c r="FQ114" i="16" s="1"/>
  <c r="FS114" i="16" s="1"/>
  <c r="FU110" i="16"/>
  <c r="B128" i="7"/>
  <c r="B2" i="15" s="1"/>
  <c r="I127" i="7"/>
  <c r="FW109" i="16" l="1"/>
  <c r="FV109" i="16" s="1"/>
  <c r="FX109" i="16" s="1"/>
  <c r="FR115" i="16"/>
  <c r="FQ115" i="16" s="1"/>
  <c r="FS115" i="16" s="1"/>
  <c r="FU111" i="16"/>
  <c r="I128" i="7"/>
  <c r="B12" i="15" s="1"/>
  <c r="FR116" i="16" l="1"/>
  <c r="FQ116" i="16" s="1"/>
  <c r="FS116" i="16" s="1"/>
  <c r="FW110" i="16"/>
  <c r="FV110" i="16" s="1"/>
  <c r="FX110" i="16" s="1"/>
  <c r="FU112" i="16"/>
  <c r="I129" i="7"/>
  <c r="FW111" i="16" l="1"/>
  <c r="FV111" i="16" s="1"/>
  <c r="FX111" i="16" s="1"/>
  <c r="FU113" i="16"/>
  <c r="B13" i="15"/>
  <c r="B6" i="15"/>
  <c r="FW112" i="16" l="1"/>
  <c r="FV112" i="16" s="1"/>
  <c r="FX112" i="16" s="1"/>
  <c r="FU114" i="16"/>
  <c r="M80" i="7"/>
  <c r="M81" i="7"/>
  <c r="N79" i="7"/>
  <c r="M79" i="7"/>
  <c r="N78" i="7"/>
  <c r="M78" i="7"/>
  <c r="N81" i="7"/>
  <c r="N80" i="7"/>
  <c r="FW113" i="16" l="1"/>
  <c r="FV113" i="16" s="1"/>
  <c r="FX113" i="16" s="1"/>
  <c r="FU115" i="16"/>
  <c r="M10" i="7"/>
  <c r="M8" i="7"/>
  <c r="FW114" i="16" l="1"/>
  <c r="FV114" i="16" s="1"/>
  <c r="FX114" i="16" s="1"/>
  <c r="FU116" i="16"/>
  <c r="B87" i="7"/>
  <c r="E3" i="14"/>
  <c r="H3" i="14" s="1"/>
  <c r="E4" i="14"/>
  <c r="G4" i="14" s="1"/>
  <c r="E5" i="14"/>
  <c r="E6" i="14"/>
  <c r="G6" i="14" s="1"/>
  <c r="E7" i="14"/>
  <c r="G7" i="14" s="1"/>
  <c r="E8" i="14"/>
  <c r="G8" i="14" s="1"/>
  <c r="E9" i="14"/>
  <c r="H9" i="14" s="1"/>
  <c r="E10" i="14"/>
  <c r="E11" i="14"/>
  <c r="H11" i="14" s="1"/>
  <c r="E12" i="14"/>
  <c r="G12" i="14" s="1"/>
  <c r="E13" i="14"/>
  <c r="G13" i="14" s="1"/>
  <c r="E14" i="14"/>
  <c r="G14" i="14" s="1"/>
  <c r="E15" i="14"/>
  <c r="G15" i="14" s="1"/>
  <c r="E16" i="14"/>
  <c r="G16" i="14" s="1"/>
  <c r="E17" i="14"/>
  <c r="H17" i="14" s="1"/>
  <c r="E18" i="14"/>
  <c r="E19" i="14"/>
  <c r="H19" i="14" s="1"/>
  <c r="E20" i="14"/>
  <c r="G20" i="14" s="1"/>
  <c r="E21" i="14"/>
  <c r="E22" i="14"/>
  <c r="G22" i="14" s="1"/>
  <c r="E23" i="14"/>
  <c r="G23" i="14" s="1"/>
  <c r="E24" i="14"/>
  <c r="G24" i="14" s="1"/>
  <c r="E25" i="14"/>
  <c r="G25" i="14" s="1"/>
  <c r="E26" i="14"/>
  <c r="E27" i="14"/>
  <c r="H27" i="14" s="1"/>
  <c r="E28" i="14"/>
  <c r="G28" i="14" s="1"/>
  <c r="E29" i="14"/>
  <c r="E30" i="14"/>
  <c r="H30" i="14" s="1"/>
  <c r="E31" i="14"/>
  <c r="G31" i="14" s="1"/>
  <c r="E32" i="14"/>
  <c r="G32" i="14" s="1"/>
  <c r="E33" i="14"/>
  <c r="G33" i="14" s="1"/>
  <c r="E34" i="14"/>
  <c r="E35" i="14"/>
  <c r="H35" i="14" s="1"/>
  <c r="E36" i="14"/>
  <c r="G36" i="14" s="1"/>
  <c r="E37" i="14"/>
  <c r="E38" i="14"/>
  <c r="G38" i="14" s="1"/>
  <c r="E39" i="14"/>
  <c r="G39" i="14" s="1"/>
  <c r="E40" i="14"/>
  <c r="G40" i="14" s="1"/>
  <c r="E41" i="14"/>
  <c r="H41" i="14" s="1"/>
  <c r="E42" i="14"/>
  <c r="E43" i="14"/>
  <c r="H43" i="14" s="1"/>
  <c r="E44" i="14"/>
  <c r="G44" i="14" s="1"/>
  <c r="E45" i="14"/>
  <c r="E46" i="14"/>
  <c r="G46" i="14" s="1"/>
  <c r="E47" i="14"/>
  <c r="G47" i="14" s="1"/>
  <c r="E48" i="14"/>
  <c r="G48" i="14" s="1"/>
  <c r="E49" i="14"/>
  <c r="H49" i="14" s="1"/>
  <c r="E50" i="14"/>
  <c r="E51" i="14"/>
  <c r="H51" i="14" s="1"/>
  <c r="E52" i="14"/>
  <c r="G52" i="14" s="1"/>
  <c r="E53" i="14"/>
  <c r="E54" i="14"/>
  <c r="G54" i="14" s="1"/>
  <c r="E55" i="14"/>
  <c r="G55" i="14" s="1"/>
  <c r="E56" i="14"/>
  <c r="G56" i="14" s="1"/>
  <c r="E57" i="14"/>
  <c r="G57" i="14" s="1"/>
  <c r="E58" i="14"/>
  <c r="E59" i="14"/>
  <c r="H59" i="14" s="1"/>
  <c r="E60" i="14"/>
  <c r="G60" i="14" s="1"/>
  <c r="E61" i="14"/>
  <c r="E62" i="14"/>
  <c r="H62" i="14" s="1"/>
  <c r="E63" i="14"/>
  <c r="G63" i="14" s="1"/>
  <c r="E64" i="14"/>
  <c r="G64" i="14" s="1"/>
  <c r="E65" i="14"/>
  <c r="G65" i="14" s="1"/>
  <c r="E66" i="14"/>
  <c r="E67" i="14"/>
  <c r="H67" i="14" s="1"/>
  <c r="E68" i="14"/>
  <c r="G68" i="14" s="1"/>
  <c r="E69" i="14"/>
  <c r="E70" i="14"/>
  <c r="H70" i="14" s="1"/>
  <c r="E71" i="14"/>
  <c r="G71" i="14" s="1"/>
  <c r="E72" i="14"/>
  <c r="G72" i="14" s="1"/>
  <c r="E73" i="14"/>
  <c r="H73" i="14" s="1"/>
  <c r="E74" i="14"/>
  <c r="G74" i="14" s="1"/>
  <c r="E75" i="14"/>
  <c r="H75" i="14" s="1"/>
  <c r="E76" i="14"/>
  <c r="H76" i="14" s="1"/>
  <c r="E77" i="14"/>
  <c r="G77" i="14" s="1"/>
  <c r="E78" i="14"/>
  <c r="G78" i="14" s="1"/>
  <c r="E79" i="14"/>
  <c r="G79" i="14" s="1"/>
  <c r="E80" i="14"/>
  <c r="G80" i="14" s="1"/>
  <c r="E81" i="14"/>
  <c r="G81" i="14" s="1"/>
  <c r="E82" i="14"/>
  <c r="G82" i="14" s="1"/>
  <c r="FW115" i="16" l="1"/>
  <c r="FV115" i="16" s="1"/>
  <c r="FX115" i="16" s="1"/>
  <c r="H81" i="14"/>
  <c r="I81" i="14" s="1"/>
  <c r="G67" i="14"/>
  <c r="I67" i="14" s="1"/>
  <c r="G9" i="14"/>
  <c r="I9" i="14" s="1"/>
  <c r="G49" i="14"/>
  <c r="I49" i="14" s="1"/>
  <c r="G35" i="14"/>
  <c r="I35" i="14" s="1"/>
  <c r="G70" i="14"/>
  <c r="I70" i="14" s="1"/>
  <c r="H77" i="14"/>
  <c r="I77" i="14" s="1"/>
  <c r="G41" i="14"/>
  <c r="I41" i="14" s="1"/>
  <c r="H33" i="14"/>
  <c r="I33" i="14" s="1"/>
  <c r="H6" i="14"/>
  <c r="I6" i="14" s="1"/>
  <c r="G73" i="14"/>
  <c r="I73" i="14" s="1"/>
  <c r="H65" i="14"/>
  <c r="I65" i="14" s="1"/>
  <c r="H38" i="14"/>
  <c r="I38" i="14" s="1"/>
  <c r="H25" i="14"/>
  <c r="I25" i="14" s="1"/>
  <c r="H57" i="14"/>
  <c r="I57" i="14" s="1"/>
  <c r="G17" i="14"/>
  <c r="I17" i="14" s="1"/>
  <c r="G3" i="14"/>
  <c r="H80" i="14"/>
  <c r="I80" i="14" s="1"/>
  <c r="G76" i="14"/>
  <c r="I76" i="14" s="1"/>
  <c r="H60" i="14"/>
  <c r="I60" i="14" s="1"/>
  <c r="H56" i="14"/>
  <c r="I56" i="14" s="1"/>
  <c r="H44" i="14"/>
  <c r="I44" i="14" s="1"/>
  <c r="H28" i="14"/>
  <c r="I28" i="14" s="1"/>
  <c r="H24" i="14"/>
  <c r="I24" i="14" s="1"/>
  <c r="H12" i="14"/>
  <c r="I12" i="14" s="1"/>
  <c r="H79" i="14"/>
  <c r="I79" i="14" s="1"/>
  <c r="G75" i="14"/>
  <c r="I75" i="14" s="1"/>
  <c r="H52" i="14"/>
  <c r="I52" i="14" s="1"/>
  <c r="H48" i="14"/>
  <c r="I48" i="14" s="1"/>
  <c r="H20" i="14"/>
  <c r="I20" i="14" s="1"/>
  <c r="H16" i="14"/>
  <c r="I16" i="14" s="1"/>
  <c r="H68" i="14"/>
  <c r="I68" i="14" s="1"/>
  <c r="H64" i="14"/>
  <c r="I64" i="14" s="1"/>
  <c r="H47" i="14"/>
  <c r="I47" i="14" s="1"/>
  <c r="H36" i="14"/>
  <c r="I36" i="14" s="1"/>
  <c r="H32" i="14"/>
  <c r="I32" i="14" s="1"/>
  <c r="H15" i="14"/>
  <c r="I15" i="14" s="1"/>
  <c r="H4" i="14"/>
  <c r="I4" i="14" s="1"/>
  <c r="H72" i="14"/>
  <c r="I72" i="14" s="1"/>
  <c r="G62" i="14"/>
  <c r="I62" i="14" s="1"/>
  <c r="H46" i="14"/>
  <c r="I46" i="14" s="1"/>
  <c r="H40" i="14"/>
  <c r="I40" i="14" s="1"/>
  <c r="G30" i="14"/>
  <c r="I30" i="14" s="1"/>
  <c r="H14" i="14"/>
  <c r="I14" i="14" s="1"/>
  <c r="H8" i="14"/>
  <c r="I8" i="14" s="1"/>
  <c r="H55" i="14"/>
  <c r="I55" i="14" s="1"/>
  <c r="G43" i="14"/>
  <c r="I43" i="14" s="1"/>
  <c r="H23" i="14"/>
  <c r="I23" i="14" s="1"/>
  <c r="G11" i="14"/>
  <c r="I11" i="14" s="1"/>
  <c r="G66" i="14"/>
  <c r="H66" i="14"/>
  <c r="G58" i="14"/>
  <c r="H58" i="14"/>
  <c r="G50" i="14"/>
  <c r="H50" i="14"/>
  <c r="G42" i="14"/>
  <c r="H42" i="14"/>
  <c r="G34" i="14"/>
  <c r="H34" i="14"/>
  <c r="G26" i="14"/>
  <c r="H26" i="14"/>
  <c r="G18" i="14"/>
  <c r="H18" i="14"/>
  <c r="G10" i="14"/>
  <c r="H10" i="14"/>
  <c r="H78" i="14"/>
  <c r="I78" i="14" s="1"/>
  <c r="H74" i="14"/>
  <c r="I74" i="14" s="1"/>
  <c r="H63" i="14"/>
  <c r="I63" i="14" s="1"/>
  <c r="H54" i="14"/>
  <c r="I54" i="14" s="1"/>
  <c r="G51" i="14"/>
  <c r="I51" i="14" s="1"/>
  <c r="H31" i="14"/>
  <c r="I31" i="14" s="1"/>
  <c r="H22" i="14"/>
  <c r="I22" i="14" s="1"/>
  <c r="G19" i="14"/>
  <c r="I19" i="14" s="1"/>
  <c r="G69" i="14"/>
  <c r="H69" i="14"/>
  <c r="G61" i="14"/>
  <c r="H61" i="14"/>
  <c r="G53" i="14"/>
  <c r="H53" i="14"/>
  <c r="G45" i="14"/>
  <c r="H45" i="14"/>
  <c r="G37" i="14"/>
  <c r="H37" i="14"/>
  <c r="G29" i="14"/>
  <c r="H29" i="14"/>
  <c r="G21" i="14"/>
  <c r="H21" i="14"/>
  <c r="H13" i="14"/>
  <c r="G5" i="14"/>
  <c r="H5" i="14"/>
  <c r="H82" i="14"/>
  <c r="I82" i="14" s="1"/>
  <c r="H71" i="14"/>
  <c r="I71" i="14" s="1"/>
  <c r="G59" i="14"/>
  <c r="I59" i="14" s="1"/>
  <c r="H39" i="14"/>
  <c r="I39" i="14" s="1"/>
  <c r="G27" i="14"/>
  <c r="I27" i="14" s="1"/>
  <c r="H7" i="14"/>
  <c r="I7" i="14" s="1"/>
  <c r="FW116" i="16" l="1"/>
  <c r="FV116" i="16" s="1"/>
  <c r="FX116" i="16" s="1"/>
  <c r="FZ80" i="16" s="1"/>
  <c r="I3" i="14"/>
  <c r="G83" i="14"/>
  <c r="H83" i="14"/>
  <c r="F86" i="14" s="1"/>
  <c r="I13" i="14"/>
  <c r="I29" i="14"/>
  <c r="I45" i="14"/>
  <c r="I61" i="14"/>
  <c r="I18" i="14"/>
  <c r="I34" i="14"/>
  <c r="I50" i="14"/>
  <c r="I66" i="14"/>
  <c r="I5" i="14"/>
  <c r="I21" i="14"/>
  <c r="I37" i="14"/>
  <c r="I53" i="14"/>
  <c r="I69" i="14"/>
  <c r="I10" i="14"/>
  <c r="I26" i="14"/>
  <c r="I42" i="14"/>
  <c r="I58" i="14"/>
  <c r="FZ94" i="16" l="1"/>
  <c r="FZ95" i="16"/>
  <c r="FZ99" i="16"/>
  <c r="FZ93" i="16"/>
  <c r="FZ96" i="16"/>
  <c r="FZ98" i="16"/>
  <c r="FZ101" i="16"/>
  <c r="FZ106" i="16"/>
  <c r="FZ107" i="16"/>
  <c r="FZ103" i="16"/>
  <c r="FZ109" i="16"/>
  <c r="FZ100" i="16"/>
  <c r="FZ102" i="16"/>
  <c r="FZ105" i="16"/>
  <c r="FZ110" i="16"/>
  <c r="FZ111" i="16"/>
  <c r="FZ114" i="16"/>
  <c r="FZ112" i="16"/>
  <c r="FZ113" i="16"/>
  <c r="FZ115" i="16"/>
  <c r="FZ104" i="16"/>
  <c r="FZ108" i="16"/>
  <c r="FZ116" i="16"/>
  <c r="FZ92" i="16"/>
  <c r="FZ97" i="16"/>
  <c r="FZ91" i="16"/>
  <c r="FZ82" i="16"/>
  <c r="FZ86" i="16"/>
  <c r="GC80" i="16"/>
  <c r="FZ81" i="16"/>
  <c r="FZ84" i="16"/>
  <c r="FZ89" i="16"/>
  <c r="FZ85" i="16"/>
  <c r="FZ87" i="16"/>
  <c r="FZ88" i="16"/>
  <c r="FZ83" i="16"/>
  <c r="FZ90" i="16"/>
  <c r="I83" i="14"/>
  <c r="E86" i="14"/>
  <c r="A1" i="13"/>
  <c r="A63" i="7"/>
  <c r="A64" i="7"/>
  <c r="A65" i="7"/>
  <c r="A66" i="7"/>
  <c r="A67" i="7"/>
  <c r="A68" i="7"/>
  <c r="A69" i="7"/>
  <c r="A70" i="7"/>
  <c r="A71" i="7"/>
  <c r="A72" i="7"/>
  <c r="A73" i="7"/>
  <c r="A74" i="7"/>
  <c r="A75" i="7"/>
  <c r="A76" i="7"/>
  <c r="A62" i="7"/>
  <c r="GB81" i="16" l="1"/>
  <c r="GA81" i="16" s="1"/>
  <c r="F90" i="14"/>
  <c r="B32" i="13" s="1"/>
  <c r="F89" i="14"/>
  <c r="F88" i="14"/>
  <c r="E90" i="14"/>
  <c r="B31" i="13" s="1"/>
  <c r="E89" i="14"/>
  <c r="E88" i="14"/>
  <c r="AJ16" i="13"/>
  <c r="AK16" i="13"/>
  <c r="AJ17" i="13"/>
  <c r="AK17" i="13"/>
  <c r="AJ18" i="13"/>
  <c r="AK18" i="13"/>
  <c r="AJ19" i="13"/>
  <c r="AK19" i="13"/>
  <c r="AJ20" i="13"/>
  <c r="AK20" i="13"/>
  <c r="AJ21" i="13"/>
  <c r="AK21" i="13"/>
  <c r="AJ22" i="13"/>
  <c r="AK22" i="13"/>
  <c r="AJ23" i="13"/>
  <c r="AK23" i="13"/>
  <c r="AJ24" i="13"/>
  <c r="AK24" i="13"/>
  <c r="AJ25" i="13"/>
  <c r="AK25" i="13"/>
  <c r="AJ26" i="13"/>
  <c r="AK26" i="13"/>
  <c r="AJ27" i="13"/>
  <c r="AK27" i="13"/>
  <c r="AJ28" i="13"/>
  <c r="AK28" i="13"/>
  <c r="A29" i="13"/>
  <c r="A28" i="13"/>
  <c r="A27" i="13"/>
  <c r="A26" i="13"/>
  <c r="A25" i="13"/>
  <c r="A24" i="13"/>
  <c r="A23" i="13"/>
  <c r="A22" i="13"/>
  <c r="A21" i="13"/>
  <c r="A20" i="13"/>
  <c r="A19" i="13"/>
  <c r="A18" i="13"/>
  <c r="A17" i="13"/>
  <c r="AK15" i="13"/>
  <c r="AJ15" i="13"/>
  <c r="AK14" i="13"/>
  <c r="AJ14" i="13"/>
  <c r="GC81" i="16" l="1"/>
  <c r="GB82" i="16" s="1"/>
  <c r="GA82" i="16" s="1"/>
  <c r="GC82" i="16" s="1"/>
  <c r="GB83" i="16" s="1"/>
  <c r="GA83" i="16" s="1"/>
  <c r="GC83" i="16" s="1"/>
  <c r="GB84" i="16" s="1"/>
  <c r="GA84" i="16" s="1"/>
  <c r="GC84" i="16" s="1"/>
  <c r="GB85" i="16" s="1"/>
  <c r="GA85" i="16" s="1"/>
  <c r="GC85" i="16" s="1"/>
  <c r="GB86" i="16" s="1"/>
  <c r="GA86" i="16" s="1"/>
  <c r="GC86" i="16" s="1"/>
  <c r="GB87" i="16" s="1"/>
  <c r="GA87" i="16" s="1"/>
  <c r="GC87" i="16" s="1"/>
  <c r="GB88" i="16" s="1"/>
  <c r="GA88" i="16" s="1"/>
  <c r="GC88" i="16" s="1"/>
  <c r="GB89" i="16" s="1"/>
  <c r="GA89" i="16" s="1"/>
  <c r="GC89" i="16" s="1"/>
  <c r="GB90" i="16" s="1"/>
  <c r="GA90" i="16" s="1"/>
  <c r="GC90" i="16" s="1"/>
  <c r="GB91" i="16" s="1"/>
  <c r="GA91" i="16" s="1"/>
  <c r="GC91" i="16" s="1"/>
  <c r="GB92" i="16" s="1"/>
  <c r="GA92" i="16" s="1"/>
  <c r="GC92" i="16" s="1"/>
  <c r="GB93" i="16" s="1"/>
  <c r="GA93" i="16" s="1"/>
  <c r="GC93" i="16" s="1"/>
  <c r="AE74" i="7"/>
  <c r="GB94" i="16" l="1"/>
  <c r="GA94" i="16" s="1"/>
  <c r="GC94" i="16" s="1"/>
  <c r="K10" i="12"/>
  <c r="K9" i="12"/>
  <c r="K6" i="12"/>
  <c r="H6" i="12"/>
  <c r="GB95" i="16" l="1"/>
  <c r="GA95" i="16" s="1"/>
  <c r="GC95" i="16" s="1"/>
  <c r="E9" i="12"/>
  <c r="E8" i="12"/>
  <c r="E5" i="12"/>
  <c r="K3" i="12"/>
  <c r="E3" i="12"/>
  <c r="E2" i="12"/>
  <c r="GB96" i="16" l="1"/>
  <c r="GA96" i="16" s="1"/>
  <c r="GC96" i="16" s="1"/>
  <c r="AF74" i="7"/>
  <c r="A27" i="7"/>
  <c r="M7" i="12"/>
  <c r="GB97" i="16" l="1"/>
  <c r="GA97" i="16" s="1"/>
  <c r="GC97" i="16" s="1"/>
  <c r="AE67" i="7"/>
  <c r="AF67" i="7"/>
  <c r="AE68" i="7"/>
  <c r="AF68" i="7"/>
  <c r="AE69" i="7"/>
  <c r="AF69" i="7"/>
  <c r="AE70" i="7"/>
  <c r="AF70" i="7"/>
  <c r="AE71" i="7"/>
  <c r="AF71" i="7"/>
  <c r="AE72" i="7"/>
  <c r="AF72" i="7"/>
  <c r="AE73" i="7"/>
  <c r="AF73" i="7"/>
  <c r="AE62" i="7"/>
  <c r="AF62" i="7"/>
  <c r="AE63" i="7"/>
  <c r="AF63" i="7"/>
  <c r="AE60" i="7"/>
  <c r="AF60" i="7"/>
  <c r="AE61" i="7"/>
  <c r="AE59" i="7"/>
  <c r="AE64" i="7"/>
  <c r="AE65" i="7"/>
  <c r="AE66" i="7"/>
  <c r="AF59" i="7"/>
  <c r="AF61" i="7"/>
  <c r="AF64" i="7"/>
  <c r="AF65" i="7"/>
  <c r="AF66" i="7"/>
  <c r="GB98" i="16" l="1"/>
  <c r="GA98" i="16" s="1"/>
  <c r="GC98" i="16" s="1"/>
  <c r="E64" i="4"/>
  <c r="H64" i="4" s="1"/>
  <c r="E80" i="4"/>
  <c r="E38" i="4"/>
  <c r="E60" i="4"/>
  <c r="E13" i="4"/>
  <c r="E7" i="4"/>
  <c r="E69" i="4"/>
  <c r="E56" i="4"/>
  <c r="E6" i="4"/>
  <c r="E81" i="4"/>
  <c r="E23" i="4"/>
  <c r="E9" i="4"/>
  <c r="E4" i="4"/>
  <c r="E82" i="4"/>
  <c r="E8" i="4"/>
  <c r="E65" i="4"/>
  <c r="E20" i="4"/>
  <c r="E49" i="4"/>
  <c r="G49" i="4" s="1"/>
  <c r="E28" i="4"/>
  <c r="H28" i="4" s="1"/>
  <c r="E40" i="4"/>
  <c r="H40" i="4" s="1"/>
  <c r="E42" i="4"/>
  <c r="G42" i="4" s="1"/>
  <c r="E14" i="4"/>
  <c r="H14" i="4" s="1"/>
  <c r="E5" i="4"/>
  <c r="G5" i="4" s="1"/>
  <c r="E44" i="4"/>
  <c r="G44" i="4" s="1"/>
  <c r="E72" i="4"/>
  <c r="H72" i="4" s="1"/>
  <c r="E34" i="4"/>
  <c r="H34" i="4" s="1"/>
  <c r="E29" i="4"/>
  <c r="G29" i="4" s="1"/>
  <c r="E26" i="4"/>
  <c r="E19" i="4"/>
  <c r="E33" i="4"/>
  <c r="G33" i="4" s="1"/>
  <c r="E10" i="4"/>
  <c r="E70" i="4"/>
  <c r="E16" i="4"/>
  <c r="E57" i="4"/>
  <c r="E78" i="4"/>
  <c r="E17" i="4"/>
  <c r="E41" i="4"/>
  <c r="E30" i="4"/>
  <c r="E21" i="4"/>
  <c r="E48" i="4"/>
  <c r="E3" i="4"/>
  <c r="E79" i="4"/>
  <c r="E75" i="4"/>
  <c r="E52" i="4"/>
  <c r="E53" i="4"/>
  <c r="E77" i="4"/>
  <c r="E66" i="4"/>
  <c r="E31" i="4"/>
  <c r="E37" i="4"/>
  <c r="E73" i="4"/>
  <c r="E58" i="4"/>
  <c r="E50" i="4"/>
  <c r="E39" i="4"/>
  <c r="E24" i="4"/>
  <c r="E11" i="4"/>
  <c r="E68" i="4"/>
  <c r="E55" i="4"/>
  <c r="E36" i="4"/>
  <c r="E51" i="4"/>
  <c r="E32" i="4"/>
  <c r="E15" i="4"/>
  <c r="E12" i="4"/>
  <c r="E35" i="4"/>
  <c r="E74" i="4"/>
  <c r="E71" i="4"/>
  <c r="E22" i="4"/>
  <c r="E63" i="4"/>
  <c r="E59" i="4"/>
  <c r="E61" i="4"/>
  <c r="E62" i="4"/>
  <c r="E27" i="4"/>
  <c r="E25" i="4"/>
  <c r="E47" i="4"/>
  <c r="E76" i="4"/>
  <c r="E67" i="4"/>
  <c r="E18" i="4"/>
  <c r="E43" i="4"/>
  <c r="E45" i="4"/>
  <c r="E46" i="4"/>
  <c r="E54" i="4"/>
  <c r="GB99" i="16" l="1"/>
  <c r="GA99" i="16" s="1"/>
  <c r="GC99" i="16" s="1"/>
  <c r="G64" i="4"/>
  <c r="I64" i="4" s="1"/>
  <c r="G9" i="4"/>
  <c r="H9" i="4"/>
  <c r="G8" i="4"/>
  <c r="H8" i="4"/>
  <c r="G60" i="4"/>
  <c r="H60" i="4"/>
  <c r="H82" i="4"/>
  <c r="G82" i="4"/>
  <c r="G81" i="4"/>
  <c r="H81" i="4"/>
  <c r="H69" i="4"/>
  <c r="G69" i="4"/>
  <c r="H38" i="4"/>
  <c r="G38" i="4"/>
  <c r="G65" i="4"/>
  <c r="H65" i="4"/>
  <c r="H23" i="4"/>
  <c r="G23" i="4"/>
  <c r="G56" i="4"/>
  <c r="H56" i="4"/>
  <c r="H42" i="4"/>
  <c r="I42" i="4" s="1"/>
  <c r="G20" i="4"/>
  <c r="H20" i="4"/>
  <c r="G4" i="4"/>
  <c r="H4" i="4"/>
  <c r="G6" i="4"/>
  <c r="H6" i="4"/>
  <c r="G7" i="4"/>
  <c r="H7" i="4"/>
  <c r="G80" i="4"/>
  <c r="H80" i="4"/>
  <c r="G72" i="4"/>
  <c r="I72" i="4" s="1"/>
  <c r="H49" i="4"/>
  <c r="I49" i="4" s="1"/>
  <c r="G28" i="4"/>
  <c r="I28" i="4" s="1"/>
  <c r="G40" i="4"/>
  <c r="I40" i="4" s="1"/>
  <c r="G14" i="4"/>
  <c r="I14" i="4" s="1"/>
  <c r="H33" i="4"/>
  <c r="I33" i="4" s="1"/>
  <c r="H5" i="4"/>
  <c r="I5" i="4" s="1"/>
  <c r="H44" i="4"/>
  <c r="I44" i="4" s="1"/>
  <c r="H29" i="4"/>
  <c r="I29" i="4" s="1"/>
  <c r="H19" i="4"/>
  <c r="G19" i="4"/>
  <c r="G26" i="4"/>
  <c r="H26" i="4"/>
  <c r="G34" i="4"/>
  <c r="I34" i="4" s="1"/>
  <c r="G18" i="4"/>
  <c r="H18" i="4"/>
  <c r="H62" i="4"/>
  <c r="G62" i="4"/>
  <c r="H22" i="4"/>
  <c r="G22" i="4"/>
  <c r="G51" i="4"/>
  <c r="H51" i="4"/>
  <c r="H66" i="4"/>
  <c r="G66" i="4"/>
  <c r="G48" i="4"/>
  <c r="H48" i="4"/>
  <c r="G70" i="4"/>
  <c r="H70" i="4"/>
  <c r="G27" i="4"/>
  <c r="H27" i="4"/>
  <c r="H71" i="4"/>
  <c r="G71" i="4"/>
  <c r="H36" i="4"/>
  <c r="G36" i="4"/>
  <c r="G73" i="4"/>
  <c r="H73" i="4"/>
  <c r="H21" i="4"/>
  <c r="G21" i="4"/>
  <c r="G78" i="4"/>
  <c r="H78" i="4"/>
  <c r="H13" i="4"/>
  <c r="G13" i="4"/>
  <c r="G43" i="4"/>
  <c r="H43" i="4"/>
  <c r="G76" i="4"/>
  <c r="H76" i="4"/>
  <c r="G59" i="4"/>
  <c r="H59" i="4"/>
  <c r="H74" i="4"/>
  <c r="G74" i="4"/>
  <c r="H32" i="4"/>
  <c r="G32" i="4"/>
  <c r="G55" i="4"/>
  <c r="H55" i="4"/>
  <c r="H39" i="4"/>
  <c r="G39" i="4"/>
  <c r="G37" i="4"/>
  <c r="H37" i="4"/>
  <c r="H53" i="4"/>
  <c r="G53" i="4"/>
  <c r="G79" i="4"/>
  <c r="H79" i="4"/>
  <c r="H30" i="4"/>
  <c r="G30" i="4"/>
  <c r="H57" i="4"/>
  <c r="G57" i="4"/>
  <c r="G46" i="4"/>
  <c r="H46" i="4"/>
  <c r="G25" i="4"/>
  <c r="H25" i="4"/>
  <c r="H12" i="4"/>
  <c r="G12" i="4"/>
  <c r="G11" i="4"/>
  <c r="H11" i="4"/>
  <c r="G58" i="4"/>
  <c r="H58" i="4"/>
  <c r="H75" i="4"/>
  <c r="G75" i="4"/>
  <c r="G17" i="4"/>
  <c r="H17" i="4"/>
  <c r="G45" i="4"/>
  <c r="H45" i="4"/>
  <c r="G67" i="4"/>
  <c r="H67" i="4"/>
  <c r="G61" i="4"/>
  <c r="H61" i="4"/>
  <c r="H15" i="4"/>
  <c r="G15" i="4"/>
  <c r="H24" i="4"/>
  <c r="G24" i="4"/>
  <c r="G77" i="4"/>
  <c r="H77" i="4"/>
  <c r="H10" i="4"/>
  <c r="G10" i="4"/>
  <c r="G54" i="4"/>
  <c r="H54" i="4"/>
  <c r="H47" i="4"/>
  <c r="G47" i="4"/>
  <c r="G63" i="4"/>
  <c r="H63" i="4"/>
  <c r="G35" i="4"/>
  <c r="H35" i="4"/>
  <c r="G68" i="4"/>
  <c r="H68" i="4"/>
  <c r="H50" i="4"/>
  <c r="G50" i="4"/>
  <c r="G31" i="4"/>
  <c r="H31" i="4"/>
  <c r="H52" i="4"/>
  <c r="G52" i="4"/>
  <c r="G3" i="4"/>
  <c r="H3" i="4"/>
  <c r="H41" i="4"/>
  <c r="G41" i="4"/>
  <c r="G16" i="4"/>
  <c r="H16" i="4"/>
  <c r="GB100" i="16" l="1"/>
  <c r="GA100" i="16" s="1"/>
  <c r="GC100" i="16" s="1"/>
  <c r="I7" i="4"/>
  <c r="I4" i="4"/>
  <c r="I56" i="4"/>
  <c r="I38" i="4"/>
  <c r="I81" i="4"/>
  <c r="I60" i="4"/>
  <c r="I9" i="4"/>
  <c r="I23" i="4"/>
  <c r="I65" i="4"/>
  <c r="I69" i="4"/>
  <c r="I82" i="4"/>
  <c r="I8" i="4"/>
  <c r="I80" i="4"/>
  <c r="I6" i="4"/>
  <c r="I20" i="4"/>
  <c r="I19" i="4"/>
  <c r="I26" i="4"/>
  <c r="I41" i="4"/>
  <c r="I52" i="4"/>
  <c r="I50" i="4"/>
  <c r="I15" i="4"/>
  <c r="I12" i="4"/>
  <c r="I30" i="4"/>
  <c r="I53" i="4"/>
  <c r="I39" i="4"/>
  <c r="I32" i="4"/>
  <c r="I36" i="4"/>
  <c r="I62" i="4"/>
  <c r="I66" i="4"/>
  <c r="I31" i="4"/>
  <c r="I68" i="4"/>
  <c r="I35" i="4"/>
  <c r="I61" i="4"/>
  <c r="I45" i="4"/>
  <c r="I11" i="4"/>
  <c r="I25" i="4"/>
  <c r="I79" i="4"/>
  <c r="I37" i="4"/>
  <c r="I55" i="4"/>
  <c r="I76" i="4"/>
  <c r="I73" i="4"/>
  <c r="I77" i="4"/>
  <c r="I17" i="4"/>
  <c r="I46" i="4"/>
  <c r="I59" i="4"/>
  <c r="I43" i="4"/>
  <c r="I27" i="4"/>
  <c r="I48" i="4"/>
  <c r="H83" i="4"/>
  <c r="I47" i="4"/>
  <c r="I10" i="4"/>
  <c r="I24" i="4"/>
  <c r="I75" i="4"/>
  <c r="M83" i="7" s="1"/>
  <c r="I57" i="4"/>
  <c r="I74" i="4"/>
  <c r="I13" i="4"/>
  <c r="I21" i="4"/>
  <c r="I71" i="4"/>
  <c r="I22" i="4"/>
  <c r="I63" i="4"/>
  <c r="I54" i="4"/>
  <c r="I67" i="4"/>
  <c r="I58" i="4"/>
  <c r="I78" i="4"/>
  <c r="I51" i="4"/>
  <c r="I16" i="4"/>
  <c r="I3" i="4"/>
  <c r="G83" i="4"/>
  <c r="I70" i="4"/>
  <c r="I18" i="4"/>
  <c r="GB101" i="16" l="1"/>
  <c r="GA101" i="16" s="1"/>
  <c r="GC101" i="16" s="1"/>
  <c r="N77" i="7"/>
  <c r="B79" i="7" s="1"/>
  <c r="M77" i="7"/>
  <c r="B78" i="7" s="1"/>
  <c r="B49" i="7" s="1"/>
  <c r="I83" i="4"/>
  <c r="GB102" i="16" l="1"/>
  <c r="GA102" i="16" s="1"/>
  <c r="GC102" i="16" s="1"/>
  <c r="F49" i="7"/>
  <c r="B82" i="7"/>
  <c r="B88" i="7" s="1"/>
  <c r="S88" i="7" s="1"/>
  <c r="B33" i="13"/>
  <c r="B36" i="13" s="1"/>
  <c r="GB103" i="16" l="1"/>
  <c r="GA103" i="16" s="1"/>
  <c r="GC103" i="16" s="1"/>
  <c r="G49" i="7"/>
  <c r="D49" i="7"/>
  <c r="E49" i="7"/>
  <c r="C13" i="12"/>
  <c r="K52" i="7"/>
  <c r="B10" i="15"/>
  <c r="B11" i="15"/>
  <c r="B53" i="7" l="1"/>
  <c r="C53" i="7" s="1"/>
  <c r="B54" i="7"/>
  <c r="C54" i="7" s="1"/>
  <c r="GB104" i="16"/>
  <c r="GA104" i="16" s="1"/>
  <c r="GC104" i="16" s="1"/>
  <c r="S91" i="7"/>
  <c r="F98" i="7"/>
  <c r="M13" i="12"/>
  <c r="F13" i="12"/>
  <c r="M82" i="7"/>
  <c r="M84" i="7" s="1"/>
  <c r="B7" i="15"/>
  <c r="F97" i="7" l="1"/>
  <c r="F96" i="7"/>
  <c r="O51" i="7"/>
  <c r="GB105" i="16"/>
  <c r="GA105" i="16" s="1"/>
  <c r="GC105" i="16" s="1"/>
  <c r="S92" i="7"/>
  <c r="J13" i="12"/>
  <c r="G62" i="7"/>
  <c r="G71" i="7"/>
  <c r="G65" i="7"/>
  <c r="G74" i="7"/>
  <c r="G68" i="7"/>
  <c r="F99" i="7" l="1"/>
  <c r="K99" i="7" s="1"/>
  <c r="O52" i="7"/>
  <c r="N52" i="7" s="1"/>
  <c r="N51" i="7" s="1"/>
  <c r="B55" i="7" s="1"/>
  <c r="C55" i="7" s="1"/>
  <c r="GB106" i="16"/>
  <c r="GA106" i="16" s="1"/>
  <c r="GC106" i="16" s="1"/>
  <c r="O157" i="7"/>
  <c r="H157" i="7" s="1"/>
  <c r="H158" i="7" s="1"/>
  <c r="DI141" i="18"/>
  <c r="DD138" i="18"/>
  <c r="DD132" i="18"/>
  <c r="DD137" i="18"/>
  <c r="DD140" i="18"/>
  <c r="DD135" i="18"/>
  <c r="DD136" i="18"/>
  <c r="DD131" i="18"/>
  <c r="DD133" i="18"/>
  <c r="DD134" i="18"/>
  <c r="DD139" i="18"/>
  <c r="DD129" i="18"/>
  <c r="DD130" i="18"/>
  <c r="DD117" i="18"/>
  <c r="DD119" i="18"/>
  <c r="DD120" i="18"/>
  <c r="DD127" i="18"/>
  <c r="DD122" i="18"/>
  <c r="DD123" i="18"/>
  <c r="DD125" i="18"/>
  <c r="DD124" i="18"/>
  <c r="DD126" i="18"/>
  <c r="DD118" i="18"/>
  <c r="DD121" i="18"/>
  <c r="DD128" i="18"/>
  <c r="GB107" i="16" l="1"/>
  <c r="GA107" i="16" s="1"/>
  <c r="GC107" i="16" s="1"/>
  <c r="DI131" i="18"/>
  <c r="DI137" i="18"/>
  <c r="DI139" i="18"/>
  <c r="DI136" i="18"/>
  <c r="DI132" i="18"/>
  <c r="DI134" i="18"/>
  <c r="DI135" i="18"/>
  <c r="DI138" i="18"/>
  <c r="DI133" i="18"/>
  <c r="DI140" i="18"/>
  <c r="DI130" i="18"/>
  <c r="DI129" i="18"/>
  <c r="GB108" i="16" l="1"/>
  <c r="GA108" i="16" s="1"/>
  <c r="GC108" i="16" s="1"/>
  <c r="GB109" i="16" l="1"/>
  <c r="GA109" i="16" s="1"/>
  <c r="GC109" i="16" s="1"/>
  <c r="GB110" i="16" l="1"/>
  <c r="GA110" i="16" s="1"/>
  <c r="GC110" i="16" s="1"/>
  <c r="GB111" i="16" l="1"/>
  <c r="GA111" i="16" s="1"/>
  <c r="GC111" i="16" s="1"/>
  <c r="GB112" i="16" l="1"/>
  <c r="GA112" i="16" s="1"/>
  <c r="GC112" i="16" s="1"/>
  <c r="GB113" i="16" l="1"/>
  <c r="GA113" i="16" s="1"/>
  <c r="GC113" i="16" s="1"/>
  <c r="GB114" i="16" l="1"/>
  <c r="GA114" i="16" s="1"/>
  <c r="GC114" i="16" s="1"/>
  <c r="DF117" i="18"/>
  <c r="DE117" i="18" s="1"/>
  <c r="DG117" i="18" s="1"/>
  <c r="GB115" i="16" l="1"/>
  <c r="GA115" i="16" s="1"/>
  <c r="GC115" i="16" s="1"/>
  <c r="DF118" i="18"/>
  <c r="DE118" i="18" s="1"/>
  <c r="DG118" i="18" s="1"/>
  <c r="GB116" i="16" l="1"/>
  <c r="GA116" i="16" s="1"/>
  <c r="GC116" i="16" s="1"/>
  <c r="DF119" i="18"/>
  <c r="DE119" i="18" s="1"/>
  <c r="DG119" i="18" s="1"/>
  <c r="DA117" i="18"/>
  <c r="CZ117" i="18" l="1"/>
  <c r="DB117" i="18" s="1"/>
  <c r="CY117" i="18"/>
  <c r="DF120" i="18"/>
  <c r="DE120" i="18" s="1"/>
  <c r="DG120" i="18" s="1"/>
  <c r="DA118" i="18"/>
  <c r="CZ118" i="18" l="1"/>
  <c r="DB118" i="18" s="1"/>
  <c r="CY118" i="18"/>
  <c r="DA119" i="18"/>
  <c r="DF121" i="18"/>
  <c r="DE121" i="18" s="1"/>
  <c r="DG121" i="18" s="1"/>
  <c r="CZ119" i="18" l="1"/>
  <c r="DB119" i="18" s="1"/>
  <c r="CY119" i="18"/>
  <c r="DF122" i="18"/>
  <c r="DE122" i="18" s="1"/>
  <c r="DG122" i="18" s="1"/>
  <c r="DA120" i="18"/>
  <c r="CZ120" i="18" l="1"/>
  <c r="DB120" i="18" s="1"/>
  <c r="CY120" i="18"/>
  <c r="DA121" i="18"/>
  <c r="DF123" i="18"/>
  <c r="DE123" i="18" s="1"/>
  <c r="DG123" i="18" s="1"/>
  <c r="CZ121" i="18" l="1"/>
  <c r="DB121" i="18" s="1"/>
  <c r="CY121" i="18"/>
  <c r="DF124" i="18"/>
  <c r="DE124" i="18" s="1"/>
  <c r="DG124" i="18" s="1"/>
  <c r="DA122" i="18"/>
  <c r="CZ122" i="18" l="1"/>
  <c r="DB122" i="18" s="1"/>
  <c r="CY122" i="18"/>
  <c r="DA123" i="18"/>
  <c r="DF125" i="18"/>
  <c r="DE125" i="18" s="1"/>
  <c r="DG125" i="18" s="1"/>
  <c r="CZ123" i="18" l="1"/>
  <c r="DB123" i="18" s="1"/>
  <c r="CY123" i="18"/>
  <c r="DF126" i="18"/>
  <c r="DE126" i="18" s="1"/>
  <c r="DG126" i="18" s="1"/>
  <c r="DA124" i="18"/>
  <c r="CZ124" i="18" l="1"/>
  <c r="DB124" i="18" s="1"/>
  <c r="CY124" i="18"/>
  <c r="DA125" i="18"/>
  <c r="DF127" i="18"/>
  <c r="DE127" i="18" s="1"/>
  <c r="DG127" i="18" s="1"/>
  <c r="CZ125" i="18" l="1"/>
  <c r="DB125" i="18" s="1"/>
  <c r="CY125" i="18"/>
  <c r="DF128" i="18"/>
  <c r="DE128" i="18" s="1"/>
  <c r="DG128" i="18" s="1"/>
  <c r="DA126" i="18"/>
  <c r="DF129" i="18" l="1"/>
  <c r="DE129" i="18" s="1"/>
  <c r="DG129" i="18" s="1"/>
  <c r="CZ126" i="18"/>
  <c r="DB126" i="18" s="1"/>
  <c r="CY126" i="18"/>
  <c r="DA127" i="18"/>
  <c r="DF130" i="18" l="1"/>
  <c r="DE130" i="18" s="1"/>
  <c r="DG130" i="18" s="1"/>
  <c r="CZ127" i="18"/>
  <c r="DB127" i="18" s="1"/>
  <c r="CY127" i="18"/>
  <c r="DA128" i="18"/>
  <c r="DI117" i="18"/>
  <c r="DF131" i="18" l="1"/>
  <c r="DE131" i="18" s="1"/>
  <c r="DG131" i="18" s="1"/>
  <c r="CZ128" i="18"/>
  <c r="DB128" i="18" s="1"/>
  <c r="CY128" i="18"/>
  <c r="DI118" i="18"/>
  <c r="DF132" i="18" l="1"/>
  <c r="DE132" i="18" s="1"/>
  <c r="DG132" i="18" s="1"/>
  <c r="DI119" i="18"/>
  <c r="DF133" i="18" l="1"/>
  <c r="DE133" i="18" s="1"/>
  <c r="DG133" i="18" s="1"/>
  <c r="DK117" i="18"/>
  <c r="DJ117" i="18" s="1"/>
  <c r="DL117" i="18" s="1"/>
  <c r="DI120" i="18"/>
  <c r="DS141" i="18" l="1"/>
  <c r="DF134" i="18"/>
  <c r="DE134" i="18" s="1"/>
  <c r="DG134" i="18" s="1"/>
  <c r="DN133" i="18"/>
  <c r="DN136" i="18"/>
  <c r="DN137" i="18"/>
  <c r="DN131" i="18"/>
  <c r="DN132" i="18"/>
  <c r="DN135" i="18"/>
  <c r="DN138" i="18"/>
  <c r="DN139" i="18"/>
  <c r="DN140" i="18"/>
  <c r="DN134" i="18"/>
  <c r="DN130" i="18"/>
  <c r="DN129" i="18"/>
  <c r="DK118" i="18"/>
  <c r="DJ118" i="18" s="1"/>
  <c r="DL118" i="18" s="1"/>
  <c r="DI121" i="18"/>
  <c r="DN120" i="18"/>
  <c r="DN117" i="18"/>
  <c r="DN121" i="18"/>
  <c r="DN118" i="18"/>
  <c r="DN119" i="18"/>
  <c r="DN122" i="18"/>
  <c r="DN124" i="18"/>
  <c r="DN123" i="18"/>
  <c r="DN125" i="18"/>
  <c r="DN126" i="18"/>
  <c r="DN127" i="18"/>
  <c r="DN128" i="18"/>
  <c r="DF135" i="18" l="1"/>
  <c r="DE135" i="18" s="1"/>
  <c r="DG135" i="18" s="1"/>
  <c r="DS134" i="18"/>
  <c r="DS135" i="18"/>
  <c r="DS136" i="18"/>
  <c r="DS140" i="18"/>
  <c r="DS132" i="18"/>
  <c r="DS133" i="18"/>
  <c r="DS139" i="18"/>
  <c r="DS131" i="18"/>
  <c r="DS138" i="18"/>
  <c r="DS137" i="18"/>
  <c r="DS129" i="18"/>
  <c r="DS130" i="18"/>
  <c r="DK119" i="18"/>
  <c r="DJ119" i="18" s="1"/>
  <c r="DL119" i="18" s="1"/>
  <c r="DI122" i="18"/>
  <c r="DF136" i="18" l="1"/>
  <c r="DE136" i="18" s="1"/>
  <c r="DG136" i="18" s="1"/>
  <c r="DK120" i="18"/>
  <c r="DJ120" i="18" s="1"/>
  <c r="DL120" i="18" s="1"/>
  <c r="DI123" i="18"/>
  <c r="DF137" i="18" l="1"/>
  <c r="DE137" i="18" s="1"/>
  <c r="DG137" i="18" s="1"/>
  <c r="DK121" i="18"/>
  <c r="DJ121" i="18" s="1"/>
  <c r="DL121" i="18" s="1"/>
  <c r="DI124" i="18"/>
  <c r="DP118" i="18"/>
  <c r="DO118" i="18" s="1"/>
  <c r="DQ118" i="18" s="1"/>
  <c r="DF138" i="18" l="1"/>
  <c r="DE138" i="18" s="1"/>
  <c r="DG138" i="18" s="1"/>
  <c r="DP119" i="18"/>
  <c r="DO119" i="18" s="1"/>
  <c r="DQ119" i="18" s="1"/>
  <c r="DK122" i="18"/>
  <c r="DJ122" i="18" s="1"/>
  <c r="DL122" i="18" s="1"/>
  <c r="DI125" i="18"/>
  <c r="DF139" i="18" l="1"/>
  <c r="DE139" i="18" s="1"/>
  <c r="DG139" i="18" s="1"/>
  <c r="DK123" i="18"/>
  <c r="DJ123" i="18" s="1"/>
  <c r="DL123" i="18" s="1"/>
  <c r="DP120" i="18"/>
  <c r="DO120" i="18" s="1"/>
  <c r="DQ120" i="18" s="1"/>
  <c r="DI126" i="18"/>
  <c r="DF140" i="18" l="1"/>
  <c r="DE140" i="18" s="1"/>
  <c r="DG140" i="18" s="1"/>
  <c r="DK124" i="18"/>
  <c r="DJ124" i="18" s="1"/>
  <c r="DL124" i="18" s="1"/>
  <c r="DI127" i="18"/>
  <c r="DP121" i="18"/>
  <c r="DO121" i="18" s="1"/>
  <c r="DQ121" i="18" s="1"/>
  <c r="DF141" i="18" l="1"/>
  <c r="DE141" i="18" s="1"/>
  <c r="DG141" i="18" s="1"/>
  <c r="DK125" i="18"/>
  <c r="DJ125" i="18" s="1"/>
  <c r="DL125" i="18" s="1"/>
  <c r="DP122" i="18"/>
  <c r="DO122" i="18" s="1"/>
  <c r="DQ122" i="18" s="1"/>
  <c r="DI128" i="18"/>
  <c r="DK126" i="18" l="1"/>
  <c r="DJ126" i="18" s="1"/>
  <c r="DL126" i="18" s="1"/>
  <c r="DP123" i="18"/>
  <c r="DO123" i="18" s="1"/>
  <c r="DQ123" i="18" s="1"/>
  <c r="DP124" i="18" l="1"/>
  <c r="DO124" i="18" s="1"/>
  <c r="DQ124" i="18" s="1"/>
  <c r="DK127" i="18"/>
  <c r="DJ127" i="18" s="1"/>
  <c r="DL127" i="18" s="1"/>
  <c r="DK128" i="18" l="1"/>
  <c r="DJ128" i="18" s="1"/>
  <c r="DL128" i="18" s="1"/>
  <c r="DL129" i="18" s="1"/>
  <c r="DL130" i="18" s="1"/>
  <c r="DL131" i="18" s="1"/>
  <c r="DL132" i="18" s="1"/>
  <c r="DL133" i="18" s="1"/>
  <c r="DL134" i="18" s="1"/>
  <c r="DL135" i="18" s="1"/>
  <c r="DL136" i="18" s="1"/>
  <c r="DL137" i="18" s="1"/>
  <c r="DL138" i="18" s="1"/>
  <c r="DL139" i="18" s="1"/>
  <c r="DL140" i="18" s="1"/>
  <c r="DL141" i="18" s="1"/>
  <c r="DP125" i="18"/>
  <c r="DO125" i="18" s="1"/>
  <c r="DQ125" i="18" s="1"/>
  <c r="DP126" i="18" l="1"/>
  <c r="DO126" i="18" s="1"/>
  <c r="DQ126" i="18" s="1"/>
  <c r="DP127" i="18" l="1"/>
  <c r="DO127" i="18" s="1"/>
  <c r="DQ127" i="18" s="1"/>
  <c r="DP128" i="18" l="1"/>
  <c r="DO128" i="18" s="1"/>
  <c r="DQ128" i="18" s="1"/>
  <c r="DP129" i="18" l="1"/>
  <c r="DO129" i="18" s="1"/>
  <c r="DQ129" i="18" s="1"/>
  <c r="DS117" i="18"/>
  <c r="DP130" i="18" l="1"/>
  <c r="DO130" i="18" s="1"/>
  <c r="DQ130" i="18" s="1"/>
  <c r="DS118" i="18"/>
  <c r="DP131" i="18" l="1"/>
  <c r="DO131" i="18" s="1"/>
  <c r="DQ131" i="18" s="1"/>
  <c r="DU117" i="18"/>
  <c r="DT117" i="18" s="1"/>
  <c r="DV117" i="18" s="1"/>
  <c r="DS119" i="18"/>
  <c r="EC141" i="18" l="1"/>
  <c r="DP132" i="18"/>
  <c r="DO132" i="18" s="1"/>
  <c r="DQ132" i="18" s="1"/>
  <c r="DX137" i="18"/>
  <c r="DX139" i="18"/>
  <c r="DX140" i="18"/>
  <c r="DX133" i="18"/>
  <c r="DX131" i="18"/>
  <c r="DX132" i="18"/>
  <c r="DX135" i="18"/>
  <c r="DX134" i="18"/>
  <c r="DX136" i="18"/>
  <c r="DX138" i="18"/>
  <c r="DX129" i="18"/>
  <c r="DX130" i="18"/>
  <c r="DU118" i="18"/>
  <c r="DT118" i="18" s="1"/>
  <c r="DV118" i="18" s="1"/>
  <c r="DS120" i="18"/>
  <c r="DX120" i="18"/>
  <c r="DX122" i="18"/>
  <c r="DX118" i="18"/>
  <c r="DX124" i="18"/>
  <c r="DX125" i="18"/>
  <c r="DX117" i="18"/>
  <c r="DX121" i="18"/>
  <c r="DX123" i="18"/>
  <c r="DX126" i="18"/>
  <c r="DX119" i="18"/>
  <c r="DX128" i="18"/>
  <c r="DX127" i="18"/>
  <c r="DP133" i="18" l="1"/>
  <c r="DO133" i="18" s="1"/>
  <c r="DQ133" i="18" s="1"/>
  <c r="EC138" i="18"/>
  <c r="EC139" i="18"/>
  <c r="EC136" i="18"/>
  <c r="EC137" i="18"/>
  <c r="EC134" i="18"/>
  <c r="EC133" i="18"/>
  <c r="EC132" i="18"/>
  <c r="EC131" i="18"/>
  <c r="EC135" i="18"/>
  <c r="EC140" i="18"/>
  <c r="EC130" i="18"/>
  <c r="EC129" i="18"/>
  <c r="DU119" i="18"/>
  <c r="DT119" i="18" s="1"/>
  <c r="DV119" i="18" s="1"/>
  <c r="DS121" i="18"/>
  <c r="DP134" i="18" l="1"/>
  <c r="DO134" i="18" s="1"/>
  <c r="DQ134" i="18" s="1"/>
  <c r="DU120" i="18"/>
  <c r="DT120" i="18" s="1"/>
  <c r="DV120" i="18" s="1"/>
  <c r="DS122" i="18"/>
  <c r="DP135" i="18" l="1"/>
  <c r="DO135" i="18" s="1"/>
  <c r="DQ135" i="18" s="1"/>
  <c r="DZ118" i="18"/>
  <c r="DY118" i="18" s="1"/>
  <c r="EA118" i="18" s="1"/>
  <c r="DU121" i="18"/>
  <c r="DT121" i="18" s="1"/>
  <c r="DV121" i="18" s="1"/>
  <c r="DS123" i="18"/>
  <c r="DP136" i="18" l="1"/>
  <c r="DO136" i="18" s="1"/>
  <c r="DQ136" i="18" s="1"/>
  <c r="DZ119" i="18"/>
  <c r="DY119" i="18" s="1"/>
  <c r="EA119" i="18" s="1"/>
  <c r="DU122" i="18"/>
  <c r="DT122" i="18" s="1"/>
  <c r="DV122" i="18" s="1"/>
  <c r="DS124" i="18"/>
  <c r="DP137" i="18" l="1"/>
  <c r="DO137" i="18" s="1"/>
  <c r="DQ137" i="18" s="1"/>
  <c r="DZ120" i="18"/>
  <c r="DY120" i="18" s="1"/>
  <c r="EA120" i="18" s="1"/>
  <c r="DU123" i="18"/>
  <c r="DT123" i="18" s="1"/>
  <c r="DV123" i="18" s="1"/>
  <c r="DS125" i="18"/>
  <c r="DP138" i="18" l="1"/>
  <c r="DO138" i="18" s="1"/>
  <c r="DQ138" i="18" s="1"/>
  <c r="DZ121" i="18"/>
  <c r="DY121" i="18" s="1"/>
  <c r="EA121" i="18" s="1"/>
  <c r="DS126" i="18"/>
  <c r="DU124" i="18"/>
  <c r="DT124" i="18" s="1"/>
  <c r="DV124" i="18" s="1"/>
  <c r="DP139" i="18" l="1"/>
  <c r="DO139" i="18" s="1"/>
  <c r="DQ139" i="18" s="1"/>
  <c r="DU125" i="18"/>
  <c r="DT125" i="18" s="1"/>
  <c r="DV125" i="18" s="1"/>
  <c r="DZ122" i="18"/>
  <c r="DY122" i="18" s="1"/>
  <c r="EA122" i="18" s="1"/>
  <c r="DS127" i="18"/>
  <c r="DP140" i="18" l="1"/>
  <c r="DO140" i="18" s="1"/>
  <c r="DQ140" i="18" s="1"/>
  <c r="DZ123" i="18"/>
  <c r="DY123" i="18" s="1"/>
  <c r="EA123" i="18" s="1"/>
  <c r="DU126" i="18"/>
  <c r="DT126" i="18" s="1"/>
  <c r="DV126" i="18" s="1"/>
  <c r="DS128" i="18"/>
  <c r="DP141" i="18" l="1"/>
  <c r="DO141" i="18" s="1"/>
  <c r="DQ141" i="18" s="1"/>
  <c r="DZ124" i="18"/>
  <c r="DY124" i="18" s="1"/>
  <c r="EA124" i="18" s="1"/>
  <c r="DU127" i="18"/>
  <c r="DT127" i="18" s="1"/>
  <c r="DV127" i="18" s="1"/>
  <c r="DU128" i="18" l="1"/>
  <c r="DT128" i="18" s="1"/>
  <c r="DV128" i="18" s="1"/>
  <c r="DV129" i="18" s="1"/>
  <c r="DV130" i="18" s="1"/>
  <c r="DV131" i="18" s="1"/>
  <c r="DV132" i="18" s="1"/>
  <c r="DV133" i="18" s="1"/>
  <c r="DV134" i="18" s="1"/>
  <c r="DV135" i="18" s="1"/>
  <c r="DV136" i="18" s="1"/>
  <c r="DV137" i="18" s="1"/>
  <c r="DV138" i="18" s="1"/>
  <c r="DV139" i="18" s="1"/>
  <c r="DV140" i="18" s="1"/>
  <c r="DV141" i="18" s="1"/>
  <c r="DZ125" i="18"/>
  <c r="DY125" i="18" s="1"/>
  <c r="EA125" i="18" s="1"/>
  <c r="DZ126" i="18" l="1"/>
  <c r="DY126" i="18" s="1"/>
  <c r="EA126" i="18" s="1"/>
  <c r="DZ127" i="18" l="1"/>
  <c r="DY127" i="18" s="1"/>
  <c r="EA127" i="18" s="1"/>
  <c r="DZ128" i="18" l="1"/>
  <c r="DY128" i="18" s="1"/>
  <c r="EA128" i="18" s="1"/>
  <c r="EC117" i="18"/>
  <c r="DZ129" i="18" l="1"/>
  <c r="DY129" i="18" s="1"/>
  <c r="EA129" i="18" s="1"/>
  <c r="EE117" i="18"/>
  <c r="ED117" i="18"/>
  <c r="EF117" i="18" s="1"/>
  <c r="EC118" i="18"/>
  <c r="EM141" i="18" l="1"/>
  <c r="EH132" i="18"/>
  <c r="EH138" i="18"/>
  <c r="EH140" i="18"/>
  <c r="EH131" i="18"/>
  <c r="EH136" i="18"/>
  <c r="EH137" i="18"/>
  <c r="EH139" i="18"/>
  <c r="EH133" i="18"/>
  <c r="EH134" i="18"/>
  <c r="EH135" i="18"/>
  <c r="DZ130" i="18"/>
  <c r="DY130" i="18" s="1"/>
  <c r="EA130" i="18" s="1"/>
  <c r="EH130" i="18"/>
  <c r="EH129" i="18"/>
  <c r="EE118" i="18"/>
  <c r="ED118" i="18"/>
  <c r="EF118" i="18" s="1"/>
  <c r="EC119" i="18"/>
  <c r="EH118" i="18"/>
  <c r="EH119" i="18"/>
  <c r="EH125" i="18"/>
  <c r="EH124" i="18"/>
  <c r="EH127" i="18"/>
  <c r="EH117" i="18"/>
  <c r="EH123" i="18"/>
  <c r="EH126" i="18"/>
  <c r="EH128" i="18"/>
  <c r="EH121" i="18"/>
  <c r="EH120" i="18"/>
  <c r="EH122" i="18"/>
  <c r="EM131" i="18" l="1"/>
  <c r="DZ131" i="18"/>
  <c r="DY131" i="18" s="1"/>
  <c r="EA131" i="18" s="1"/>
  <c r="EM140" i="18"/>
  <c r="EM135" i="18"/>
  <c r="EM137" i="18"/>
  <c r="EM138" i="18"/>
  <c r="EM133" i="18"/>
  <c r="EM139" i="18"/>
  <c r="EM134" i="18"/>
  <c r="EM136" i="18"/>
  <c r="EM132" i="18"/>
  <c r="EM129" i="18"/>
  <c r="EM130" i="18"/>
  <c r="EE119" i="18"/>
  <c r="ED119" i="18" s="1"/>
  <c r="EF119" i="18" s="1"/>
  <c r="EC120" i="18"/>
  <c r="DZ132" i="18" l="1"/>
  <c r="DY132" i="18" s="1"/>
  <c r="EA132" i="18" s="1"/>
  <c r="EE120" i="18"/>
  <c r="ED120" i="18"/>
  <c r="EF120" i="18" s="1"/>
  <c r="EC121" i="18"/>
  <c r="DZ133" i="18" l="1"/>
  <c r="DY133" i="18" s="1"/>
  <c r="EA133" i="18" s="1"/>
  <c r="EE121" i="18"/>
  <c r="ED121" i="18" s="1"/>
  <c r="EF121" i="18" s="1"/>
  <c r="EJ117" i="18"/>
  <c r="EI117" i="18" s="1"/>
  <c r="EK117" i="18" s="1"/>
  <c r="EC122" i="18"/>
  <c r="DZ134" i="18" l="1"/>
  <c r="DY134" i="18" s="1"/>
  <c r="EA134" i="18" s="1"/>
  <c r="EJ118" i="18"/>
  <c r="EI118" i="18" s="1"/>
  <c r="EK118" i="18" s="1"/>
  <c r="EE122" i="18"/>
  <c r="ED122" i="18"/>
  <c r="EF122" i="18" s="1"/>
  <c r="EC123" i="18"/>
  <c r="DZ135" i="18" l="1"/>
  <c r="DY135" i="18" s="1"/>
  <c r="EA135" i="18" s="1"/>
  <c r="EE123" i="18"/>
  <c r="ED123" i="18" s="1"/>
  <c r="EF123" i="18" s="1"/>
  <c r="EJ119" i="18"/>
  <c r="EI119" i="18" s="1"/>
  <c r="EK119" i="18" s="1"/>
  <c r="EC124" i="18"/>
  <c r="DZ136" i="18" l="1"/>
  <c r="DY136" i="18" s="1"/>
  <c r="EA136" i="18" s="1"/>
  <c r="EE124" i="18"/>
  <c r="ED124" i="18" s="1"/>
  <c r="EF124" i="18" s="1"/>
  <c r="EJ120" i="18"/>
  <c r="EI120" i="18" s="1"/>
  <c r="EK120" i="18" s="1"/>
  <c r="EC125" i="18"/>
  <c r="DZ137" i="18" l="1"/>
  <c r="DY137" i="18" s="1"/>
  <c r="EA137" i="18" s="1"/>
  <c r="EE125" i="18"/>
  <c r="ED125" i="18" s="1"/>
  <c r="EF125" i="18" s="1"/>
  <c r="EJ121" i="18"/>
  <c r="EI121" i="18" s="1"/>
  <c r="EK121" i="18" s="1"/>
  <c r="EC126" i="18"/>
  <c r="DZ138" i="18" l="1"/>
  <c r="DY138" i="18" s="1"/>
  <c r="EA138" i="18" s="1"/>
  <c r="EE126" i="18"/>
  <c r="EJ122" i="18"/>
  <c r="EI122" i="18" s="1"/>
  <c r="EK122" i="18" s="1"/>
  <c r="ED126" i="18"/>
  <c r="EF126" i="18" s="1"/>
  <c r="EC127" i="18"/>
  <c r="DZ139" i="18" l="1"/>
  <c r="DY139" i="18" s="1"/>
  <c r="EA139" i="18" s="1"/>
  <c r="EE127" i="18"/>
  <c r="ED127" i="18" s="1"/>
  <c r="EF127" i="18" s="1"/>
  <c r="EJ123" i="18"/>
  <c r="EI123" i="18" s="1"/>
  <c r="EK123" i="18" s="1"/>
  <c r="EC128" i="18"/>
  <c r="DZ140" i="18" l="1"/>
  <c r="DY140" i="18" s="1"/>
  <c r="EA140" i="18" s="1"/>
  <c r="EJ124" i="18"/>
  <c r="EI124" i="18" s="1"/>
  <c r="EK124" i="18" s="1"/>
  <c r="EE128" i="18"/>
  <c r="ED128" i="18"/>
  <c r="EF128" i="18" s="1"/>
  <c r="EF129" i="18" s="1"/>
  <c r="EF130" i="18" s="1"/>
  <c r="EF131" i="18" s="1"/>
  <c r="EF132" i="18" s="1"/>
  <c r="EF133" i="18" s="1"/>
  <c r="EF134" i="18" s="1"/>
  <c r="EF135" i="18" s="1"/>
  <c r="EF136" i="18" s="1"/>
  <c r="EF137" i="18" s="1"/>
  <c r="EF138" i="18" s="1"/>
  <c r="EF139" i="18" s="1"/>
  <c r="EF140" i="18" s="1"/>
  <c r="EF141" i="18" s="1"/>
  <c r="DZ141" i="18" l="1"/>
  <c r="DY141" i="18" s="1"/>
  <c r="EA141" i="18" s="1"/>
  <c r="EJ125" i="18"/>
  <c r="EI125" i="18" s="1"/>
  <c r="EK125" i="18" s="1"/>
  <c r="EJ126" i="18" l="1"/>
  <c r="EI126" i="18" s="1"/>
  <c r="EK126" i="18" s="1"/>
  <c r="EM117" i="18" l="1"/>
  <c r="EJ127" i="18"/>
  <c r="EI127" i="18" s="1"/>
  <c r="EK127" i="18" s="1"/>
  <c r="EJ128" i="18" l="1"/>
  <c r="EI128" i="18" s="1"/>
  <c r="EK128" i="18" s="1"/>
  <c r="EO117" i="18"/>
  <c r="EN117" i="18"/>
  <c r="EP117" i="18" s="1"/>
  <c r="EM118" i="18"/>
  <c r="EW141" i="18" l="1"/>
  <c r="ER132" i="18"/>
  <c r="ER131" i="18"/>
  <c r="ER133" i="18"/>
  <c r="ER134" i="18"/>
  <c r="ER135" i="18"/>
  <c r="ER136" i="18"/>
  <c r="ER138" i="18"/>
  <c r="ER139" i="18"/>
  <c r="ER137" i="18"/>
  <c r="ER140" i="18"/>
  <c r="ER129" i="18"/>
  <c r="ER130" i="18"/>
  <c r="EJ129" i="18"/>
  <c r="EI129" i="18" s="1"/>
  <c r="EK129" i="18" s="1"/>
  <c r="EO118" i="18"/>
  <c r="EN118" i="18" s="1"/>
  <c r="EP118" i="18" s="1"/>
  <c r="ER118" i="18"/>
  <c r="ER121" i="18"/>
  <c r="ER124" i="18"/>
  <c r="ER117" i="18"/>
  <c r="ER122" i="18"/>
  <c r="ER128" i="18"/>
  <c r="ER119" i="18"/>
  <c r="ER123" i="18"/>
  <c r="ER126" i="18"/>
  <c r="ER125" i="18"/>
  <c r="ER120" i="18"/>
  <c r="ER127" i="18"/>
  <c r="EM119" i="18"/>
  <c r="EW139" i="18" l="1"/>
  <c r="EW134" i="18"/>
  <c r="EW138" i="18"/>
  <c r="EW133" i="18"/>
  <c r="EW140" i="18"/>
  <c r="EW136" i="18"/>
  <c r="EW131" i="18"/>
  <c r="EW137" i="18"/>
  <c r="EW135" i="18"/>
  <c r="EW132" i="18"/>
  <c r="EJ130" i="18"/>
  <c r="EI130" i="18" s="1"/>
  <c r="EK130" i="18" s="1"/>
  <c r="EW130" i="18"/>
  <c r="EW129" i="18"/>
  <c r="EO119" i="18"/>
  <c r="EN119" i="18"/>
  <c r="EP119" i="18" s="1"/>
  <c r="EM120" i="18"/>
  <c r="EJ131" i="18" l="1"/>
  <c r="EI131" i="18" s="1"/>
  <c r="EK131" i="18" s="1"/>
  <c r="EO120" i="18"/>
  <c r="EN120" i="18"/>
  <c r="EP120" i="18" s="1"/>
  <c r="EM121" i="18"/>
  <c r="EJ132" i="18" l="1"/>
  <c r="EI132" i="18" s="1"/>
  <c r="EK132" i="18" s="1"/>
  <c r="ET118" i="18"/>
  <c r="ES118" i="18" s="1"/>
  <c r="EU118" i="18" s="1"/>
  <c r="EO121" i="18"/>
  <c r="EN121" i="18"/>
  <c r="EP121" i="18" s="1"/>
  <c r="EM122" i="18"/>
  <c r="EJ133" i="18" l="1"/>
  <c r="EI133" i="18" s="1"/>
  <c r="EK133" i="18" s="1"/>
  <c r="EO122" i="18"/>
  <c r="ET119" i="18"/>
  <c r="ES119" i="18" s="1"/>
  <c r="EU119" i="18" s="1"/>
  <c r="EN122" i="18"/>
  <c r="EP122" i="18" s="1"/>
  <c r="EM123" i="18"/>
  <c r="EJ134" i="18" l="1"/>
  <c r="EI134" i="18" s="1"/>
  <c r="EK134" i="18" s="1"/>
  <c r="EO123" i="18"/>
  <c r="ET120" i="18"/>
  <c r="ES120" i="18" s="1"/>
  <c r="EU120" i="18" s="1"/>
  <c r="EN123" i="18"/>
  <c r="EP123" i="18" s="1"/>
  <c r="EM124" i="18"/>
  <c r="EJ135" i="18" l="1"/>
  <c r="EI135" i="18" s="1"/>
  <c r="EK135" i="18" s="1"/>
  <c r="EO124" i="18"/>
  <c r="ET121" i="18"/>
  <c r="ES121" i="18" s="1"/>
  <c r="EU121" i="18" s="1"/>
  <c r="EN124" i="18"/>
  <c r="EP124" i="18" s="1"/>
  <c r="EM125" i="18"/>
  <c r="EJ136" i="18" l="1"/>
  <c r="EI136" i="18" s="1"/>
  <c r="EK136" i="18" s="1"/>
  <c r="EO125" i="18"/>
  <c r="EN125" i="18"/>
  <c r="EP125" i="18" s="1"/>
  <c r="EM126" i="18"/>
  <c r="ET122" i="18"/>
  <c r="ES122" i="18" s="1"/>
  <c r="EU122" i="18" s="1"/>
  <c r="EJ137" i="18" l="1"/>
  <c r="EI137" i="18" s="1"/>
  <c r="EK137" i="18" s="1"/>
  <c r="ET123" i="18"/>
  <c r="ES123" i="18" s="1"/>
  <c r="EU123" i="18" s="1"/>
  <c r="EO126" i="18"/>
  <c r="EN126" i="18" s="1"/>
  <c r="EP126" i="18" s="1"/>
  <c r="EM127" i="18"/>
  <c r="EJ138" i="18" l="1"/>
  <c r="EI138" i="18" s="1"/>
  <c r="EK138" i="18" s="1"/>
  <c r="ET124" i="18"/>
  <c r="ES124" i="18" s="1"/>
  <c r="EU124" i="18" s="1"/>
  <c r="EO127" i="18"/>
  <c r="EN127" i="18" s="1"/>
  <c r="EP127" i="18" s="1"/>
  <c r="EM128" i="18"/>
  <c r="EJ139" i="18" l="1"/>
  <c r="EI139" i="18" s="1"/>
  <c r="EK139" i="18" s="1"/>
  <c r="EO128" i="18"/>
  <c r="ET125" i="18"/>
  <c r="ES125" i="18" s="1"/>
  <c r="EU125" i="18" s="1"/>
  <c r="EN128" i="18"/>
  <c r="EP128" i="18" s="1"/>
  <c r="EP129" i="18" s="1"/>
  <c r="EP130" i="18" s="1"/>
  <c r="EP131" i="18" s="1"/>
  <c r="EP132" i="18" s="1"/>
  <c r="EP133" i="18" s="1"/>
  <c r="EP134" i="18" s="1"/>
  <c r="EP135" i="18" s="1"/>
  <c r="EP136" i="18" s="1"/>
  <c r="EP137" i="18" s="1"/>
  <c r="EP138" i="18" s="1"/>
  <c r="EP139" i="18" s="1"/>
  <c r="EP140" i="18" s="1"/>
  <c r="EP141" i="18" s="1"/>
  <c r="EJ140" i="18" l="1"/>
  <c r="EI140" i="18" s="1"/>
  <c r="EK140" i="18" s="1"/>
  <c r="ET126" i="18"/>
  <c r="ES126" i="18" s="1"/>
  <c r="EU126" i="18" s="1"/>
  <c r="EJ141" i="18" l="1"/>
  <c r="EI141" i="18" s="1"/>
  <c r="EK141" i="18" s="1"/>
  <c r="ET127" i="18"/>
  <c r="ES127" i="18" s="1"/>
  <c r="EU127" i="18" s="1"/>
  <c r="ET128" i="18" l="1"/>
  <c r="ES128" i="18" s="1"/>
  <c r="EU128" i="18" s="1"/>
  <c r="EW117" i="18"/>
  <c r="ET129" i="18" l="1"/>
  <c r="ES129" i="18" s="1"/>
  <c r="EU129" i="18" s="1"/>
  <c r="EW118" i="18"/>
  <c r="ET130" i="18" l="1"/>
  <c r="ES130" i="18" s="1"/>
  <c r="EU130" i="18" s="1"/>
  <c r="EY117" i="18"/>
  <c r="EX117" i="18" s="1"/>
  <c r="EZ117" i="18" s="1"/>
  <c r="EW119" i="18"/>
  <c r="FG141" i="18" l="1"/>
  <c r="FB131" i="18"/>
  <c r="FB139" i="18"/>
  <c r="FB133" i="18"/>
  <c r="FB140" i="18"/>
  <c r="FB134" i="18"/>
  <c r="FB135" i="18"/>
  <c r="FB136" i="18"/>
  <c r="FB137" i="18"/>
  <c r="FB132" i="18"/>
  <c r="FB138" i="18"/>
  <c r="ET131" i="18"/>
  <c r="ES131" i="18" s="1"/>
  <c r="EU131" i="18" s="1"/>
  <c r="FB129" i="18"/>
  <c r="FB130" i="18"/>
  <c r="EY118" i="18"/>
  <c r="EX118" i="18" s="1"/>
  <c r="EZ118" i="18" s="1"/>
  <c r="EW120" i="18"/>
  <c r="FB117" i="18"/>
  <c r="FB119" i="18"/>
  <c r="FB121" i="18"/>
  <c r="FB123" i="18"/>
  <c r="FB118" i="18"/>
  <c r="FB124" i="18"/>
  <c r="FB126" i="18"/>
  <c r="FB127" i="18"/>
  <c r="FB120" i="18"/>
  <c r="FB122" i="18"/>
  <c r="FB125" i="18"/>
  <c r="FB128" i="18"/>
  <c r="ET132" i="18" l="1"/>
  <c r="ES132" i="18" s="1"/>
  <c r="EU132" i="18" s="1"/>
  <c r="FG140" i="18"/>
  <c r="FG133" i="18"/>
  <c r="FG138" i="18"/>
  <c r="FG135" i="18"/>
  <c r="FG139" i="18"/>
  <c r="FG137" i="18"/>
  <c r="FG136" i="18"/>
  <c r="FG132" i="18"/>
  <c r="FG134" i="18"/>
  <c r="FG131" i="18"/>
  <c r="FG130" i="18"/>
  <c r="FG129" i="18"/>
  <c r="EY119" i="18"/>
  <c r="EX119" i="18" s="1"/>
  <c r="EZ119" i="18" s="1"/>
  <c r="EW121" i="18"/>
  <c r="ET133" i="18" l="1"/>
  <c r="ES133" i="18" s="1"/>
  <c r="EU133" i="18" s="1"/>
  <c r="EY120" i="18"/>
  <c r="EX120" i="18" s="1"/>
  <c r="EZ120" i="18" s="1"/>
  <c r="EW122" i="18"/>
  <c r="ET134" i="18" l="1"/>
  <c r="ES134" i="18" s="1"/>
  <c r="EU134" i="18" s="1"/>
  <c r="EY121" i="18"/>
  <c r="EX121" i="18" s="1"/>
  <c r="EZ121" i="18" s="1"/>
  <c r="EW123" i="18"/>
  <c r="FD117" i="18"/>
  <c r="FC117" i="18" s="1"/>
  <c r="FE117" i="18" s="1"/>
  <c r="ET135" i="18" l="1"/>
  <c r="ES135" i="18" s="1"/>
  <c r="EU135" i="18" s="1"/>
  <c r="FD118" i="18"/>
  <c r="FC118" i="18" s="1"/>
  <c r="FE118" i="18" s="1"/>
  <c r="EY122" i="18"/>
  <c r="EX122" i="18" s="1"/>
  <c r="EZ122" i="18" s="1"/>
  <c r="EW124" i="18"/>
  <c r="ET136" i="18" l="1"/>
  <c r="ES136" i="18" s="1"/>
  <c r="EU136" i="18" s="1"/>
  <c r="EY123" i="18"/>
  <c r="EX123" i="18" s="1"/>
  <c r="EZ123" i="18" s="1"/>
  <c r="FD119" i="18"/>
  <c r="FC119" i="18" s="1"/>
  <c r="FE119" i="18" s="1"/>
  <c r="EW125" i="18"/>
  <c r="ET137" i="18" l="1"/>
  <c r="ES137" i="18" s="1"/>
  <c r="EU137" i="18" s="1"/>
  <c r="FD120" i="18"/>
  <c r="FC120" i="18" s="1"/>
  <c r="FE120" i="18" s="1"/>
  <c r="EY124" i="18"/>
  <c r="EX124" i="18" s="1"/>
  <c r="EZ124" i="18" s="1"/>
  <c r="EW126" i="18"/>
  <c r="ET138" i="18" l="1"/>
  <c r="ES138" i="18" s="1"/>
  <c r="EU138" i="18" s="1"/>
  <c r="FD121" i="18"/>
  <c r="FC121" i="18" s="1"/>
  <c r="FE121" i="18" s="1"/>
  <c r="EY125" i="18"/>
  <c r="EX125" i="18" s="1"/>
  <c r="EZ125" i="18" s="1"/>
  <c r="EW127" i="18"/>
  <c r="ET139" i="18" l="1"/>
  <c r="ES139" i="18" s="1"/>
  <c r="EU139" i="18" s="1"/>
  <c r="EY126" i="18"/>
  <c r="EX126" i="18" s="1"/>
  <c r="EZ126" i="18" s="1"/>
  <c r="FD122" i="18"/>
  <c r="FC122" i="18" s="1"/>
  <c r="FE122" i="18" s="1"/>
  <c r="EW128" i="18"/>
  <c r="ET140" i="18" l="1"/>
  <c r="ES140" i="18" s="1"/>
  <c r="EU140" i="18" s="1"/>
  <c r="FD123" i="18"/>
  <c r="FC123" i="18" s="1"/>
  <c r="FE123" i="18" s="1"/>
  <c r="EY127" i="18"/>
  <c r="EX127" i="18" s="1"/>
  <c r="EZ127" i="18" s="1"/>
  <c r="ET141" i="18" l="1"/>
  <c r="ES141" i="18" s="1"/>
  <c r="EU141" i="18" s="1"/>
  <c r="FD124" i="18"/>
  <c r="FC124" i="18" s="1"/>
  <c r="FE124" i="18" s="1"/>
  <c r="EY128" i="18"/>
  <c r="EX128" i="18" s="1"/>
  <c r="EZ128" i="18" s="1"/>
  <c r="EZ129" i="18" s="1"/>
  <c r="EZ130" i="18" s="1"/>
  <c r="EZ131" i="18" s="1"/>
  <c r="EZ132" i="18" s="1"/>
  <c r="EZ133" i="18" s="1"/>
  <c r="EZ134" i="18" s="1"/>
  <c r="EZ135" i="18" s="1"/>
  <c r="EZ136" i="18" s="1"/>
  <c r="EZ137" i="18" s="1"/>
  <c r="EZ138" i="18" s="1"/>
  <c r="EZ139" i="18" s="1"/>
  <c r="EZ140" i="18" s="1"/>
  <c r="EZ141" i="18" s="1"/>
  <c r="FD125" i="18" l="1"/>
  <c r="FC125" i="18" s="1"/>
  <c r="FE125" i="18" s="1"/>
  <c r="FD126" i="18" l="1"/>
  <c r="FC126" i="18" s="1"/>
  <c r="FE126" i="18" s="1"/>
  <c r="FD127" i="18" l="1"/>
  <c r="FC127" i="18" s="1"/>
  <c r="FE127" i="18" s="1"/>
  <c r="FG117" i="18"/>
  <c r="FD128" i="18" l="1"/>
  <c r="FC128" i="18" s="1"/>
  <c r="FE128" i="18" s="1"/>
  <c r="FG118" i="18"/>
  <c r="FD129" i="18" l="1"/>
  <c r="FC129" i="18" s="1"/>
  <c r="FE129" i="18" s="1"/>
  <c r="FI117" i="18"/>
  <c r="FH117" i="18" s="1"/>
  <c r="FJ117" i="18" s="1"/>
  <c r="FG119" i="18"/>
  <c r="FQ141" i="18" l="1"/>
  <c r="FL131" i="18"/>
  <c r="FL133" i="18"/>
  <c r="FL136" i="18"/>
  <c r="FL138" i="18"/>
  <c r="FL135" i="18"/>
  <c r="FL137" i="18"/>
  <c r="FL140" i="18"/>
  <c r="FL132" i="18"/>
  <c r="FL134" i="18"/>
  <c r="FL139" i="18"/>
  <c r="FD130" i="18"/>
  <c r="FC130" i="18" s="1"/>
  <c r="FE130" i="18" s="1"/>
  <c r="FL130" i="18"/>
  <c r="FL129" i="18"/>
  <c r="FI118" i="18"/>
  <c r="FH118" i="18" s="1"/>
  <c r="FJ118" i="18" s="1"/>
  <c r="FG120" i="18"/>
  <c r="FL117" i="18"/>
  <c r="FL121" i="18"/>
  <c r="FL119" i="18"/>
  <c r="FL120" i="18"/>
  <c r="FL123" i="18"/>
  <c r="FL122" i="18"/>
  <c r="FL127" i="18"/>
  <c r="FL128" i="18"/>
  <c r="FL124" i="18"/>
  <c r="FL125" i="18"/>
  <c r="FL126" i="18"/>
  <c r="FL118" i="18"/>
  <c r="FQ132" i="18" l="1"/>
  <c r="FQ140" i="18"/>
  <c r="FQ139" i="18"/>
  <c r="FQ137" i="18"/>
  <c r="FQ133" i="18"/>
  <c r="FQ138" i="18"/>
  <c r="FD131" i="18"/>
  <c r="FC131" i="18" s="1"/>
  <c r="FE131" i="18" s="1"/>
  <c r="FQ136" i="18"/>
  <c r="FQ134" i="18"/>
  <c r="FQ135" i="18"/>
  <c r="FQ131" i="18"/>
  <c r="FQ129" i="18"/>
  <c r="FQ130" i="18"/>
  <c r="FI119" i="18"/>
  <c r="FH119" i="18" s="1"/>
  <c r="FJ119" i="18" s="1"/>
  <c r="FG121" i="18"/>
  <c r="FD132" i="18" l="1"/>
  <c r="FC132" i="18" s="1"/>
  <c r="FE132" i="18" s="1"/>
  <c r="FI120" i="18"/>
  <c r="FH120" i="18" s="1"/>
  <c r="FJ120" i="18" s="1"/>
  <c r="FG122" i="18"/>
  <c r="FD133" i="18" l="1"/>
  <c r="FC133" i="18" s="1"/>
  <c r="FE133" i="18" s="1"/>
  <c r="FI121" i="18"/>
  <c r="FH121" i="18" s="1"/>
  <c r="FJ121" i="18" s="1"/>
  <c r="FN117" i="18"/>
  <c r="FM117" i="18" s="1"/>
  <c r="FO117" i="18" s="1"/>
  <c r="FG123" i="18"/>
  <c r="FD134" i="18" l="1"/>
  <c r="FC134" i="18" s="1"/>
  <c r="FE134" i="18" s="1"/>
  <c r="FN118" i="18"/>
  <c r="FM118" i="18" s="1"/>
  <c r="FO118" i="18" s="1"/>
  <c r="FI122" i="18"/>
  <c r="FH122" i="18" s="1"/>
  <c r="FJ122" i="18" s="1"/>
  <c r="FG124" i="18"/>
  <c r="FD135" i="18" l="1"/>
  <c r="FC135" i="18" s="1"/>
  <c r="FE135" i="18" s="1"/>
  <c r="FN119" i="18"/>
  <c r="FM119" i="18" s="1"/>
  <c r="FO119" i="18" s="1"/>
  <c r="FG125" i="18"/>
  <c r="FI123" i="18"/>
  <c r="FH123" i="18" s="1"/>
  <c r="FJ123" i="18" s="1"/>
  <c r="FD136" i="18" l="1"/>
  <c r="FC136" i="18" s="1"/>
  <c r="FE136" i="18" s="1"/>
  <c r="FI124" i="18"/>
  <c r="FH124" i="18" s="1"/>
  <c r="FJ124" i="18" s="1"/>
  <c r="FN120" i="18"/>
  <c r="FM120" i="18" s="1"/>
  <c r="FO120" i="18" s="1"/>
  <c r="FG126" i="18"/>
  <c r="FD137" i="18" l="1"/>
  <c r="FC137" i="18" s="1"/>
  <c r="FE137" i="18" s="1"/>
  <c r="FN121" i="18"/>
  <c r="FM121" i="18" s="1"/>
  <c r="FO121" i="18" s="1"/>
  <c r="FI125" i="18"/>
  <c r="FH125" i="18" s="1"/>
  <c r="FJ125" i="18" s="1"/>
  <c r="FG127" i="18"/>
  <c r="FD138" i="18" l="1"/>
  <c r="FC138" i="18" s="1"/>
  <c r="FE138" i="18" s="1"/>
  <c r="FN122" i="18"/>
  <c r="FM122" i="18" s="1"/>
  <c r="FO122" i="18" s="1"/>
  <c r="FI126" i="18"/>
  <c r="FH126" i="18" s="1"/>
  <c r="FJ126" i="18" s="1"/>
  <c r="FG128" i="18"/>
  <c r="FD139" i="18" l="1"/>
  <c r="FC139" i="18" s="1"/>
  <c r="FE139" i="18" s="1"/>
  <c r="FI127" i="18"/>
  <c r="FH127" i="18" s="1"/>
  <c r="FJ127" i="18" s="1"/>
  <c r="FN123" i="18"/>
  <c r="FM123" i="18" s="1"/>
  <c r="FO123" i="18" s="1"/>
  <c r="FD140" i="18" l="1"/>
  <c r="FC140" i="18" s="1"/>
  <c r="FE140" i="18" s="1"/>
  <c r="FN124" i="18"/>
  <c r="FM124" i="18" s="1"/>
  <c r="FO124" i="18" s="1"/>
  <c r="FI128" i="18"/>
  <c r="FH128" i="18" s="1"/>
  <c r="FJ128" i="18" s="1"/>
  <c r="FJ129" i="18" s="1"/>
  <c r="FJ130" i="18" s="1"/>
  <c r="FJ131" i="18" s="1"/>
  <c r="FJ132" i="18" s="1"/>
  <c r="FJ133" i="18" s="1"/>
  <c r="FJ134" i="18" s="1"/>
  <c r="FJ135" i="18" s="1"/>
  <c r="FJ136" i="18" s="1"/>
  <c r="FJ137" i="18" s="1"/>
  <c r="FJ138" i="18" s="1"/>
  <c r="FJ139" i="18" s="1"/>
  <c r="FJ140" i="18" s="1"/>
  <c r="FJ141" i="18" s="1"/>
  <c r="FD141" i="18" l="1"/>
  <c r="FC141" i="18" s="1"/>
  <c r="FE141" i="18" s="1"/>
  <c r="FN125" i="18"/>
  <c r="FM125" i="18" s="1"/>
  <c r="FO125" i="18" s="1"/>
  <c r="FN126" i="18" l="1"/>
  <c r="FM126" i="18" s="1"/>
  <c r="FO126" i="18" s="1"/>
  <c r="FN127" i="18" l="1"/>
  <c r="FM127" i="18" s="1"/>
  <c r="FO127" i="18" s="1"/>
  <c r="FN128" i="18" l="1"/>
  <c r="FM128" i="18" s="1"/>
  <c r="FO128" i="18" s="1"/>
  <c r="FQ117" i="18"/>
  <c r="FN129" i="18" l="1"/>
  <c r="FM129" i="18" s="1"/>
  <c r="FO129" i="18" s="1"/>
  <c r="FS117" i="18"/>
  <c r="FR117" i="18"/>
  <c r="FT117" i="18" s="1"/>
  <c r="FQ118" i="18"/>
  <c r="GA141" i="18" l="1"/>
  <c r="FV131" i="18"/>
  <c r="FV132" i="18"/>
  <c r="FV133" i="18"/>
  <c r="FV135" i="18"/>
  <c r="FV136" i="18"/>
  <c r="FV137" i="18"/>
  <c r="FV139" i="18"/>
  <c r="FV134" i="18"/>
  <c r="FV138" i="18"/>
  <c r="FV140" i="18"/>
  <c r="FN130" i="18"/>
  <c r="FM130" i="18" s="1"/>
  <c r="FO130" i="18" s="1"/>
  <c r="FV129" i="18"/>
  <c r="FV130" i="18"/>
  <c r="FS118" i="18"/>
  <c r="FR118" i="18"/>
  <c r="FT118" i="18" s="1"/>
  <c r="FQ119" i="18"/>
  <c r="FV118" i="18"/>
  <c r="FV120" i="18"/>
  <c r="FV122" i="18"/>
  <c r="FV124" i="18"/>
  <c r="FV127" i="18"/>
  <c r="FV128" i="18"/>
  <c r="FV126" i="18"/>
  <c r="FV121" i="18"/>
  <c r="FV123" i="18"/>
  <c r="FV117" i="18"/>
  <c r="FV119" i="18"/>
  <c r="FV125" i="18"/>
  <c r="GA134" i="18" l="1"/>
  <c r="GA135" i="18"/>
  <c r="FN131" i="18"/>
  <c r="FM131" i="18" s="1"/>
  <c r="FO131" i="18" s="1"/>
  <c r="GA139" i="18"/>
  <c r="GA133" i="18"/>
  <c r="GA140" i="18"/>
  <c r="GA137" i="18"/>
  <c r="GA132" i="18"/>
  <c r="GA138" i="18"/>
  <c r="GA136" i="18"/>
  <c r="GA131" i="18"/>
  <c r="GA130" i="18"/>
  <c r="GA129" i="18"/>
  <c r="FS119" i="18"/>
  <c r="FR119" i="18" s="1"/>
  <c r="FT119" i="18" s="1"/>
  <c r="FQ120" i="18"/>
  <c r="FN132" i="18" l="1"/>
  <c r="FM132" i="18" s="1"/>
  <c r="FO132" i="18" s="1"/>
  <c r="FS120" i="18"/>
  <c r="FR120" i="18" s="1"/>
  <c r="FT120" i="18" s="1"/>
  <c r="FQ121" i="18"/>
  <c r="FN133" i="18" l="1"/>
  <c r="FM133" i="18" s="1"/>
  <c r="FO133" i="18" s="1"/>
  <c r="FS121" i="18"/>
  <c r="FX117" i="18"/>
  <c r="FW117" i="18" s="1"/>
  <c r="FY117" i="18" s="1"/>
  <c r="FR121" i="18"/>
  <c r="FT121" i="18" s="1"/>
  <c r="FQ122" i="18"/>
  <c r="FN134" i="18" l="1"/>
  <c r="FM134" i="18" s="1"/>
  <c r="FO134" i="18" s="1"/>
  <c r="FX118" i="18"/>
  <c r="FW118" i="18" s="1"/>
  <c r="FY118" i="18" s="1"/>
  <c r="FS122" i="18"/>
  <c r="FR122" i="18" s="1"/>
  <c r="FT122" i="18" s="1"/>
  <c r="FQ123" i="18"/>
  <c r="FN135" i="18" l="1"/>
  <c r="FM135" i="18" s="1"/>
  <c r="FO135" i="18" s="1"/>
  <c r="FX119" i="18"/>
  <c r="FW119" i="18" s="1"/>
  <c r="FY119" i="18" s="1"/>
  <c r="FS123" i="18"/>
  <c r="FR123" i="18" s="1"/>
  <c r="FT123" i="18" s="1"/>
  <c r="FQ124" i="18"/>
  <c r="FN136" i="18" l="1"/>
  <c r="FM136" i="18" s="1"/>
  <c r="FO136" i="18" s="1"/>
  <c r="FS124" i="18"/>
  <c r="FX120" i="18"/>
  <c r="FW120" i="18" s="1"/>
  <c r="FY120" i="18" s="1"/>
  <c r="FR124" i="18"/>
  <c r="FT124" i="18" s="1"/>
  <c r="FQ125" i="18"/>
  <c r="FN137" i="18" l="1"/>
  <c r="FM137" i="18" s="1"/>
  <c r="FO137" i="18" s="1"/>
  <c r="FX121" i="18"/>
  <c r="FW121" i="18" s="1"/>
  <c r="FY121" i="18" s="1"/>
  <c r="FS125" i="18"/>
  <c r="FR125" i="18" s="1"/>
  <c r="FT125" i="18" s="1"/>
  <c r="FQ126" i="18"/>
  <c r="FN138" i="18" l="1"/>
  <c r="FM138" i="18" s="1"/>
  <c r="FO138" i="18" s="1"/>
  <c r="FX122" i="18"/>
  <c r="FW122" i="18" s="1"/>
  <c r="FY122" i="18" s="1"/>
  <c r="FS126" i="18"/>
  <c r="FR126" i="18" s="1"/>
  <c r="FT126" i="18" s="1"/>
  <c r="FQ127" i="18"/>
  <c r="FN139" i="18" l="1"/>
  <c r="FM139" i="18" s="1"/>
  <c r="FO139" i="18" s="1"/>
  <c r="FS127" i="18"/>
  <c r="FX123" i="18"/>
  <c r="FW123" i="18" s="1"/>
  <c r="FY123" i="18" s="1"/>
  <c r="FR127" i="18"/>
  <c r="FT127" i="18" s="1"/>
  <c r="FQ128" i="18"/>
  <c r="FN140" i="18" l="1"/>
  <c r="FM140" i="18" s="1"/>
  <c r="FO140" i="18" s="1"/>
  <c r="FX124" i="18"/>
  <c r="FW124" i="18" s="1"/>
  <c r="FY124" i="18" s="1"/>
  <c r="FS128" i="18"/>
  <c r="FR128" i="18" s="1"/>
  <c r="FT128" i="18" s="1"/>
  <c r="FT129" i="18" s="1"/>
  <c r="FT130" i="18" s="1"/>
  <c r="FT131" i="18" s="1"/>
  <c r="FT132" i="18" s="1"/>
  <c r="FT133" i="18" s="1"/>
  <c r="FT134" i="18" s="1"/>
  <c r="FT135" i="18" s="1"/>
  <c r="FT136" i="18" s="1"/>
  <c r="FT137" i="18" s="1"/>
  <c r="FT138" i="18" s="1"/>
  <c r="FT139" i="18" s="1"/>
  <c r="FT140" i="18" s="1"/>
  <c r="FT141" i="18" s="1"/>
  <c r="FN141" i="18" l="1"/>
  <c r="FM141" i="18" s="1"/>
  <c r="FO141" i="18" s="1"/>
  <c r="FX125" i="18"/>
  <c r="FW125" i="18" s="1"/>
  <c r="FY125" i="18" s="1"/>
  <c r="FX126" i="18" l="1"/>
  <c r="FW126" i="18" s="1"/>
  <c r="FY126" i="18" s="1"/>
  <c r="FX127" i="18" l="1"/>
  <c r="FW127" i="18" s="1"/>
  <c r="FY127" i="18" s="1"/>
  <c r="FX128" i="18" l="1"/>
  <c r="FW128" i="18" s="1"/>
  <c r="FY128" i="18" s="1"/>
  <c r="FX129" i="18" l="1"/>
  <c r="FW129" i="18" s="1"/>
  <c r="FY129" i="18" s="1"/>
  <c r="GA117" i="18"/>
  <c r="FX130" i="18" l="1"/>
  <c r="FW130" i="18" s="1"/>
  <c r="FY130" i="18" s="1"/>
  <c r="GC117" i="18"/>
  <c r="GB117" i="18"/>
  <c r="GD117" i="18" s="1"/>
  <c r="GA118" i="18"/>
  <c r="GF135" i="18" l="1"/>
  <c r="GF139" i="18"/>
  <c r="GF132" i="18"/>
  <c r="GF131" i="18"/>
  <c r="GF134" i="18"/>
  <c r="GF137" i="18"/>
  <c r="GF140" i="18"/>
  <c r="GF138" i="18"/>
  <c r="GF133" i="18"/>
  <c r="GF136" i="18"/>
  <c r="FX131" i="18"/>
  <c r="FW131" i="18" s="1"/>
  <c r="FY131" i="18" s="1"/>
  <c r="GF130" i="18"/>
  <c r="GF129" i="18"/>
  <c r="GC118" i="18"/>
  <c r="GB118" i="18"/>
  <c r="GD118" i="18" s="1"/>
  <c r="GA119" i="18"/>
  <c r="GF119" i="18"/>
  <c r="GF122" i="18"/>
  <c r="GF123" i="18"/>
  <c r="GF117" i="18"/>
  <c r="GF121" i="18"/>
  <c r="GF124" i="18"/>
  <c r="GF126" i="18"/>
  <c r="GF120" i="18"/>
  <c r="GF125" i="18"/>
  <c r="GF118" i="18"/>
  <c r="GF127" i="18"/>
  <c r="GF128" i="18"/>
  <c r="FX132" i="18" l="1"/>
  <c r="FW132" i="18" s="1"/>
  <c r="FY132" i="18" s="1"/>
  <c r="GK138" i="18"/>
  <c r="GK132" i="18"/>
  <c r="GK136" i="18"/>
  <c r="GK137" i="18"/>
  <c r="GK139" i="18"/>
  <c r="GK131" i="18"/>
  <c r="GK133" i="18"/>
  <c r="GK134" i="18"/>
  <c r="GK135" i="18"/>
  <c r="GK129" i="18"/>
  <c r="GC119" i="18"/>
  <c r="GB119" i="18" s="1"/>
  <c r="GD119" i="18" s="1"/>
  <c r="GA120" i="18"/>
  <c r="FX133" i="18" l="1"/>
  <c r="FW133" i="18" s="1"/>
  <c r="FY133" i="18" s="1"/>
  <c r="GC120" i="18"/>
  <c r="GB120" i="18"/>
  <c r="GD120" i="18" s="1"/>
  <c r="GA121" i="18"/>
  <c r="FX134" i="18" l="1"/>
  <c r="FW134" i="18" s="1"/>
  <c r="FY134" i="18" s="1"/>
  <c r="GC121" i="18"/>
  <c r="GB121" i="18"/>
  <c r="GD121" i="18" s="1"/>
  <c r="GA122" i="18"/>
  <c r="GH117" i="18"/>
  <c r="GG117" i="18" s="1"/>
  <c r="GI117" i="18" s="1"/>
  <c r="FX135" i="18" l="1"/>
  <c r="FW135" i="18" s="1"/>
  <c r="FY135" i="18" s="1"/>
  <c r="GH118" i="18"/>
  <c r="GG118" i="18" s="1"/>
  <c r="GI118" i="18" s="1"/>
  <c r="GC122" i="18"/>
  <c r="GB122" i="18"/>
  <c r="GD122" i="18" s="1"/>
  <c r="GA123" i="18"/>
  <c r="FX136" i="18" l="1"/>
  <c r="FW136" i="18" s="1"/>
  <c r="FY136" i="18" s="1"/>
  <c r="GC123" i="18"/>
  <c r="GB123" i="18" s="1"/>
  <c r="GD123" i="18" s="1"/>
  <c r="GH119" i="18"/>
  <c r="GG119" i="18" s="1"/>
  <c r="GI119" i="18" s="1"/>
  <c r="GA124" i="18"/>
  <c r="FX137" i="18" l="1"/>
  <c r="FW137" i="18" s="1"/>
  <c r="FY137" i="18" s="1"/>
  <c r="GH120" i="18"/>
  <c r="GG120" i="18" s="1"/>
  <c r="GI120" i="18" s="1"/>
  <c r="GC124" i="18"/>
  <c r="GB124" i="18" s="1"/>
  <c r="GD124" i="18" s="1"/>
  <c r="GA125" i="18"/>
  <c r="FX138" i="18" l="1"/>
  <c r="FW138" i="18" s="1"/>
  <c r="FY138" i="18" s="1"/>
  <c r="GC125" i="18"/>
  <c r="GB125" i="18"/>
  <c r="GD125" i="18" s="1"/>
  <c r="GA126" i="18"/>
  <c r="GH121" i="18"/>
  <c r="GG121" i="18" s="1"/>
  <c r="GI121" i="18" s="1"/>
  <c r="FX139" i="18" l="1"/>
  <c r="FW139" i="18" s="1"/>
  <c r="FY139" i="18" s="1"/>
  <c r="GH122" i="18"/>
  <c r="GG122" i="18" s="1"/>
  <c r="GI122" i="18" s="1"/>
  <c r="GC126" i="18"/>
  <c r="GB126" i="18" s="1"/>
  <c r="GD126" i="18" s="1"/>
  <c r="GA127" i="18"/>
  <c r="FX140" i="18" l="1"/>
  <c r="FW140" i="18" s="1"/>
  <c r="FY140" i="18" s="1"/>
  <c r="GC127" i="18"/>
  <c r="GB127" i="18"/>
  <c r="GD127" i="18" s="1"/>
  <c r="GA128" i="18"/>
  <c r="GH123" i="18"/>
  <c r="GG123" i="18" s="1"/>
  <c r="GI123" i="18" s="1"/>
  <c r="FX141" i="18" l="1"/>
  <c r="FW141" i="18" s="1"/>
  <c r="FY141" i="18" s="1"/>
  <c r="GH124" i="18"/>
  <c r="GG124" i="18" s="1"/>
  <c r="GI124" i="18" s="1"/>
  <c r="GC128" i="18"/>
  <c r="GB128" i="18" s="1"/>
  <c r="GD128" i="18" s="1"/>
  <c r="GD129" i="18" s="1"/>
  <c r="GD130" i="18" s="1"/>
  <c r="GD131" i="18" s="1"/>
  <c r="GD132" i="18" s="1"/>
  <c r="GD133" i="18" s="1"/>
  <c r="GD134" i="18" s="1"/>
  <c r="GD135" i="18" s="1"/>
  <c r="GD136" i="18" s="1"/>
  <c r="GD137" i="18" s="1"/>
  <c r="GD138" i="18" s="1"/>
  <c r="GD139" i="18" s="1"/>
  <c r="GD140" i="18" s="1"/>
  <c r="GD141" i="18" s="1"/>
  <c r="GH125" i="18" l="1"/>
  <c r="GG125" i="18" s="1"/>
  <c r="GI125" i="18" s="1"/>
  <c r="GH126" i="18" l="1"/>
  <c r="GG126" i="18" s="1"/>
  <c r="GI126" i="18" s="1"/>
  <c r="GH127" i="18" l="1"/>
  <c r="GG127" i="18" s="1"/>
  <c r="GI127" i="18" s="1"/>
  <c r="GH128" i="18" l="1"/>
  <c r="GG128" i="18" s="1"/>
  <c r="GI128" i="18" s="1"/>
  <c r="GH129" i="18" l="1"/>
  <c r="GG129" i="18" s="1"/>
  <c r="GI129" i="18" s="1"/>
  <c r="GH130" i="18" l="1"/>
  <c r="GG130" i="18" s="1"/>
  <c r="GI130" i="18" s="1"/>
  <c r="GH131" i="18" l="1"/>
  <c r="GG131" i="18" s="1"/>
  <c r="GI131" i="18" s="1"/>
  <c r="GH132" i="18" l="1"/>
  <c r="GG132" i="18" s="1"/>
  <c r="GI132" i="18" s="1"/>
  <c r="GH133" i="18" l="1"/>
  <c r="GG133" i="18" s="1"/>
  <c r="GI133" i="18" s="1"/>
  <c r="GH134" i="18" l="1"/>
  <c r="GG134" i="18" s="1"/>
  <c r="GI134" i="18" s="1"/>
  <c r="GH135" i="18" l="1"/>
  <c r="GG135" i="18" s="1"/>
  <c r="GI135" i="18" s="1"/>
  <c r="GH136" i="18" l="1"/>
  <c r="GG136" i="18" s="1"/>
  <c r="GI136" i="18" s="1"/>
  <c r="GH137" i="18" l="1"/>
  <c r="GG137" i="18" s="1"/>
  <c r="GI137" i="18" s="1"/>
  <c r="GH138" i="18" l="1"/>
  <c r="GG138" i="18" s="1"/>
  <c r="GI138" i="18" s="1"/>
  <c r="GH139" i="18" l="1"/>
  <c r="GG139" i="18" s="1"/>
  <c r="GI139" i="18" s="1"/>
  <c r="GH140" i="18" l="1"/>
  <c r="GG140" i="18" s="1"/>
  <c r="GI140" i="18" s="1"/>
  <c r="GH141" i="18" l="1"/>
  <c r="GG141" i="18" s="1"/>
  <c r="GI141" i="18" s="1"/>
  <c r="GK118" i="18" l="1"/>
  <c r="GM117" i="18"/>
  <c r="G117" i="18" s="1"/>
  <c r="GK119" i="18" l="1"/>
  <c r="GK120" i="18" l="1"/>
  <c r="GM118" i="18"/>
  <c r="G118" i="18" l="1"/>
  <c r="GL118" i="18"/>
  <c r="GK121" i="18"/>
  <c r="F118" i="18" l="1"/>
  <c r="GK122" i="18"/>
  <c r="GK123" i="18" l="1"/>
  <c r="GM119" i="18"/>
  <c r="GK124" i="18" l="1"/>
  <c r="G119" i="18"/>
  <c r="GL119" i="18"/>
  <c r="F119" i="18" l="1"/>
  <c r="GK125" i="18"/>
  <c r="GK126" i="18" l="1"/>
  <c r="GM120" i="18"/>
  <c r="GK127" i="18" l="1"/>
  <c r="G120" i="18"/>
  <c r="GL120" i="18"/>
  <c r="F120" i="18" l="1"/>
  <c r="GM121" i="18" l="1"/>
  <c r="G121" i="18" l="1"/>
  <c r="GL121" i="18"/>
  <c r="F121" i="18" l="1"/>
  <c r="GM122" i="18" l="1"/>
  <c r="G122" i="18" l="1"/>
  <c r="GL122" i="18"/>
  <c r="F122" i="18" l="1"/>
  <c r="GM123" i="18" l="1"/>
  <c r="G123" i="18" l="1"/>
  <c r="GL123" i="18"/>
  <c r="F123" i="18" l="1"/>
  <c r="GM124" i="18" l="1"/>
  <c r="G124" i="18" l="1"/>
  <c r="GL124" i="18"/>
  <c r="F124" i="18" l="1"/>
  <c r="GM125" i="18" l="1"/>
  <c r="G125" i="18" l="1"/>
  <c r="GL125" i="18"/>
  <c r="F125" i="18" l="1"/>
  <c r="GM126" i="18" l="1"/>
  <c r="G126" i="18" l="1"/>
  <c r="GL126" i="18"/>
  <c r="F126" i="18" l="1"/>
  <c r="GM127" i="18" l="1"/>
  <c r="G127" i="18" l="1"/>
  <c r="GL127" i="18"/>
  <c r="F127" i="18" l="1"/>
  <c r="GM128" i="18" l="1"/>
  <c r="G128" i="18" s="1"/>
  <c r="GL128" i="18"/>
  <c r="GK128" i="18" l="1"/>
  <c r="F128" i="18"/>
  <c r="GL117" i="18" l="1"/>
  <c r="GN117" i="18" s="1"/>
  <c r="H117" i="18" l="1"/>
  <c r="E118" i="18" s="1"/>
  <c r="D118" i="18" s="1"/>
  <c r="GN118" i="18"/>
  <c r="F117" i="18"/>
  <c r="GK117" i="18"/>
  <c r="D117" i="18" s="1"/>
  <c r="AH118" i="18" l="1"/>
  <c r="AX118" i="18" s="1"/>
  <c r="H118" i="18"/>
  <c r="E119" i="18" s="1"/>
  <c r="GN119" i="18"/>
  <c r="AR118" i="18"/>
  <c r="AS118" i="18"/>
  <c r="AC118" i="18"/>
  <c r="AB118" i="18"/>
  <c r="AR117" i="18"/>
  <c r="AC117" i="18"/>
  <c r="AS117" i="18"/>
  <c r="AB117" i="18"/>
  <c r="AH119" i="18" l="1"/>
  <c r="AX119" i="18" s="1"/>
  <c r="D119" i="18"/>
  <c r="H119" i="18"/>
  <c r="E120" i="18" s="1"/>
  <c r="GN120" i="18"/>
  <c r="D120" i="18" l="1"/>
  <c r="AH120" i="18"/>
  <c r="AX120" i="18" s="1"/>
  <c r="AR119" i="18"/>
  <c r="AC119" i="18"/>
  <c r="AB119" i="18"/>
  <c r="AS119" i="18"/>
  <c r="H120" i="18"/>
  <c r="E121" i="18" s="1"/>
  <c r="GN121" i="18"/>
  <c r="H121" i="18" l="1"/>
  <c r="E122" i="18" s="1"/>
  <c r="GN122" i="18"/>
  <c r="AH121" i="18"/>
  <c r="AX121" i="18" s="1"/>
  <c r="D121" i="18"/>
  <c r="AS120" i="18"/>
  <c r="AR120" i="18"/>
  <c r="AC120" i="18"/>
  <c r="AB120" i="18"/>
  <c r="H122" i="18" l="1"/>
  <c r="E123" i="18" s="1"/>
  <c r="GN123" i="18"/>
  <c r="AH122" i="18"/>
  <c r="AX122" i="18" s="1"/>
  <c r="D122" i="18"/>
  <c r="AB121" i="18"/>
  <c r="AS121" i="18"/>
  <c r="AR121" i="18"/>
  <c r="AC121" i="18"/>
  <c r="AR122" i="18" l="1"/>
  <c r="AC122" i="18"/>
  <c r="AS122" i="18"/>
  <c r="AB122" i="18"/>
  <c r="H123" i="18"/>
  <c r="E124" i="18" s="1"/>
  <c r="GN124" i="18"/>
  <c r="AH123" i="18"/>
  <c r="AX123" i="18" s="1"/>
  <c r="D123" i="18"/>
  <c r="H124" i="18" l="1"/>
  <c r="E125" i="18" s="1"/>
  <c r="GN125" i="18"/>
  <c r="AC123" i="18"/>
  <c r="AS123" i="18"/>
  <c r="AR123" i="18"/>
  <c r="AB123" i="18"/>
  <c r="AH124" i="18"/>
  <c r="AX124" i="18" s="1"/>
  <c r="D124" i="18"/>
  <c r="H125" i="18" l="1"/>
  <c r="E126" i="18" s="1"/>
  <c r="GN126" i="18"/>
  <c r="AC124" i="18"/>
  <c r="AR124" i="18"/>
  <c r="AS124" i="18"/>
  <c r="AB124" i="18"/>
  <c r="AH125" i="18"/>
  <c r="AX125" i="18" s="1"/>
  <c r="D125" i="18"/>
  <c r="AH126" i="18" l="1"/>
  <c r="AX126" i="18" s="1"/>
  <c r="D126" i="18"/>
  <c r="H126" i="18"/>
  <c r="E127" i="18" s="1"/>
  <c r="GN127" i="18"/>
  <c r="AR125" i="18"/>
  <c r="AS125" i="18"/>
  <c r="AC125" i="18"/>
  <c r="AB125" i="18"/>
  <c r="H127" i="18" l="1"/>
  <c r="E128" i="18" s="1"/>
  <c r="GN128" i="18"/>
  <c r="AH127" i="18"/>
  <c r="AX127" i="18" s="1"/>
  <c r="D127" i="18"/>
  <c r="AR126" i="18"/>
  <c r="AS126" i="18"/>
  <c r="AC126" i="18"/>
  <c r="AB126" i="18"/>
  <c r="H128" i="18" l="1"/>
  <c r="E129" i="18" s="1"/>
  <c r="GN129" i="18"/>
  <c r="AC127" i="18"/>
  <c r="AR127" i="18"/>
  <c r="AB127" i="18"/>
  <c r="AS127" i="18"/>
  <c r="AH128" i="18"/>
  <c r="AX128" i="18" s="1"/>
  <c r="D128" i="18"/>
  <c r="AC128" i="18" l="1"/>
  <c r="AB128" i="18"/>
  <c r="AS128" i="18"/>
  <c r="AR128" i="18"/>
  <c r="H129" i="18"/>
  <c r="GL130" i="18"/>
  <c r="GK130" i="18" s="1"/>
  <c r="AH129" i="18"/>
  <c r="AX129" i="18" s="1"/>
  <c r="D129" i="18"/>
  <c r="GN130" i="18" l="1"/>
  <c r="AB129" i="18"/>
  <c r="AR129" i="18"/>
  <c r="AS129" i="18"/>
  <c r="AC129" i="18"/>
  <c r="F130" i="18"/>
  <c r="E130" i="18"/>
  <c r="D130" i="18" s="1"/>
  <c r="H130" i="18" l="1"/>
  <c r="E131" i="18" s="1"/>
  <c r="GN131" i="18"/>
  <c r="AH130" i="18"/>
  <c r="AX130" i="18" s="1"/>
  <c r="AR130" i="18"/>
  <c r="AC130" i="18"/>
  <c r="AB130" i="18"/>
  <c r="AS130" i="18"/>
  <c r="H131" i="18" l="1"/>
  <c r="E132" i="18" s="1"/>
  <c r="GN132" i="18"/>
  <c r="AH131" i="18"/>
  <c r="AX131" i="18" s="1"/>
  <c r="D131" i="18"/>
  <c r="H132" i="18" l="1"/>
  <c r="E133" i="18" s="1"/>
  <c r="GN133" i="18"/>
  <c r="AH132" i="18"/>
  <c r="AX132" i="18" s="1"/>
  <c r="D132" i="18"/>
  <c r="AR131" i="18"/>
  <c r="AB131" i="18"/>
  <c r="AS131" i="18"/>
  <c r="AC131" i="18"/>
  <c r="H133" i="18" l="1"/>
  <c r="E134" i="18" s="1"/>
  <c r="GN134" i="18"/>
  <c r="AH133" i="18"/>
  <c r="AX133" i="18" s="1"/>
  <c r="D133" i="18"/>
  <c r="AS132" i="18"/>
  <c r="AB132" i="18"/>
  <c r="AR132" i="18"/>
  <c r="AC132" i="18"/>
  <c r="H134" i="18" l="1"/>
  <c r="E135" i="18" s="1"/>
  <c r="GN135" i="18"/>
  <c r="AH134" i="18"/>
  <c r="AX134" i="18" s="1"/>
  <c r="D134" i="18"/>
  <c r="AR133" i="18"/>
  <c r="AS133" i="18"/>
  <c r="AC133" i="18"/>
  <c r="AB133" i="18"/>
  <c r="H135" i="18" l="1"/>
  <c r="E136" i="18" s="1"/>
  <c r="GN136" i="18"/>
  <c r="AH135" i="18"/>
  <c r="AX135" i="18" s="1"/>
  <c r="D135" i="18"/>
  <c r="AC134" i="18"/>
  <c r="AB134" i="18"/>
  <c r="AR134" i="18"/>
  <c r="AS134" i="18"/>
  <c r="H136" i="18" l="1"/>
  <c r="E137" i="18" s="1"/>
  <c r="GN137" i="18"/>
  <c r="AH136" i="18"/>
  <c r="AX136" i="18" s="1"/>
  <c r="D136" i="18"/>
  <c r="AC135" i="18"/>
  <c r="AS135" i="18"/>
  <c r="AR135" i="18"/>
  <c r="AB135" i="18"/>
  <c r="H137" i="18" l="1"/>
  <c r="E138" i="18" s="1"/>
  <c r="GN138" i="18"/>
  <c r="AH137" i="18"/>
  <c r="AX137" i="18" s="1"/>
  <c r="D137" i="18"/>
  <c r="AB136" i="18"/>
  <c r="AR136" i="18"/>
  <c r="AS136" i="18"/>
  <c r="AC136" i="18"/>
  <c r="H138" i="18" l="1"/>
  <c r="E139" i="18" s="1"/>
  <c r="GN139" i="18"/>
  <c r="AH138" i="18"/>
  <c r="AX138" i="18" s="1"/>
  <c r="D138" i="18"/>
  <c r="AB137" i="18"/>
  <c r="AR137" i="18"/>
  <c r="AS137" i="18"/>
  <c r="AC137" i="18"/>
  <c r="H139" i="18" l="1"/>
  <c r="GL140" i="18"/>
  <c r="GK140" i="18" s="1"/>
  <c r="AH139" i="18"/>
  <c r="AX139" i="18" s="1"/>
  <c r="D139" i="18"/>
  <c r="AS138" i="18"/>
  <c r="AR138" i="18"/>
  <c r="AC138" i="18"/>
  <c r="AB138" i="18"/>
  <c r="AC139" i="18" l="1"/>
  <c r="AS139" i="18"/>
  <c r="AR139" i="18"/>
  <c r="AB139" i="18"/>
  <c r="F140" i="18"/>
  <c r="E140" i="18"/>
  <c r="D140" i="18" s="1"/>
  <c r="GN140" i="18"/>
  <c r="H140" i="18" l="1"/>
  <c r="GL141" i="18"/>
  <c r="GK141" i="18" s="1"/>
  <c r="AB140" i="18"/>
  <c r="AR140" i="18"/>
  <c r="AC140" i="18"/>
  <c r="AS140" i="18"/>
  <c r="AH140" i="18"/>
  <c r="AX140" i="18" s="1"/>
  <c r="GN141" i="18" l="1"/>
  <c r="H141" i="18" s="1"/>
  <c r="F141" i="18"/>
  <c r="E141" i="18"/>
  <c r="AH141" i="18" l="1"/>
  <c r="AX141" i="18" s="1"/>
  <c r="D141" i="18"/>
  <c r="AC141" i="18" l="1"/>
  <c r="AB141" i="18"/>
  <c r="AS141" i="18"/>
  <c r="AR141" i="18"/>
  <c r="GF141" i="18"/>
  <c r="FV141" i="18"/>
  <c r="FL141" i="18"/>
  <c r="FB141" i="18"/>
  <c r="ET117" i="18"/>
  <c r="ES117" i="18"/>
  <c r="EU117" i="18"/>
  <c r="ER141" i="18"/>
  <c r="EH141" i="18"/>
  <c r="DZ117" i="18"/>
  <c r="DY117" i="18"/>
  <c r="EA117" i="18"/>
  <c r="DX141" i="18"/>
  <c r="DP117" i="18"/>
  <c r="DO117" i="18"/>
  <c r="DQ117" i="18"/>
  <c r="DN141" i="18"/>
  <c r="DD141" i="18"/>
  <c r="CY81" i="18" l="1"/>
  <c r="CZ81" i="18" s="1"/>
  <c r="DB81" i="18" l="1"/>
  <c r="DA82" i="18" s="1"/>
  <c r="CY82" i="18" s="1"/>
  <c r="CZ82" i="18" s="1"/>
  <c r="DB82" i="18" s="1"/>
  <c r="DA83" i="18" l="1"/>
  <c r="CY83" i="18" s="1"/>
  <c r="CZ83" i="18" s="1"/>
  <c r="DB83" i="18" s="1"/>
  <c r="DA84" i="18" l="1"/>
  <c r="CY84" i="18" l="1"/>
  <c r="CZ84" i="18" s="1"/>
  <c r="DB84" i="18" s="1"/>
  <c r="DA85" i="18" s="1"/>
  <c r="CY85" i="18" l="1"/>
  <c r="CZ85" i="18" s="1"/>
  <c r="DB85" i="18" s="1"/>
  <c r="DA86" i="18" s="1"/>
  <c r="CY86" i="18" l="1"/>
  <c r="CZ86" i="18" s="1"/>
  <c r="DB86" i="18" s="1"/>
  <c r="DA87" i="18" s="1"/>
  <c r="CY87" i="18" l="1"/>
  <c r="CZ87" i="18" s="1"/>
  <c r="DB87" i="18" s="1"/>
  <c r="DA88" i="18" s="1"/>
  <c r="CY88" i="18" s="1"/>
  <c r="CZ88" i="18" s="1"/>
  <c r="DB88" i="18" s="1"/>
  <c r="DA89" i="18" s="1"/>
  <c r="CY89" i="18" s="1"/>
  <c r="CZ89" i="18" s="1"/>
  <c r="DB89" i="18" s="1"/>
  <c r="DA90" i="18" s="1"/>
  <c r="CY90" i="18" l="1"/>
  <c r="CZ90" i="18" s="1"/>
  <c r="DB90" i="18" s="1"/>
  <c r="DA91" i="18" s="1"/>
  <c r="CY91" i="18" l="1"/>
  <c r="CZ91" i="18" s="1"/>
  <c r="DB91" i="18" s="1"/>
  <c r="DA92" i="18" l="1"/>
  <c r="CY92" i="18" l="1"/>
  <c r="CZ92" i="18" s="1"/>
  <c r="DB92" i="18" s="1"/>
  <c r="DA93" i="18" l="1"/>
  <c r="CY93" i="18" s="1"/>
  <c r="CZ93" i="18" s="1"/>
  <c r="DB93" i="18" s="1"/>
  <c r="DA94" i="18" s="1"/>
  <c r="CY94" i="18" l="1"/>
  <c r="CZ94" i="18" s="1"/>
  <c r="DB94" i="18" s="1"/>
  <c r="DA95" i="18" s="1"/>
  <c r="CY95" i="18" s="1"/>
  <c r="CZ95" i="18" s="1"/>
  <c r="DB95" i="18" s="1"/>
  <c r="DA96" i="18" s="1"/>
  <c r="CY96" i="18" l="1"/>
  <c r="CZ96" i="18" s="1"/>
  <c r="DB96" i="18" s="1"/>
  <c r="DA97" i="18" l="1"/>
  <c r="CY97" i="18" s="1"/>
  <c r="CZ97" i="18" s="1"/>
  <c r="DB97" i="18" s="1"/>
  <c r="DA98" i="18" s="1"/>
  <c r="CY98" i="18" s="1"/>
  <c r="CZ98" i="18" s="1"/>
  <c r="DB98" i="18" s="1"/>
  <c r="DA99" i="18" s="1"/>
  <c r="CY99" i="18" s="1"/>
  <c r="CZ99" i="18" l="1"/>
  <c r="DB99" i="18" s="1"/>
  <c r="DA100" i="18" s="1"/>
  <c r="CY100" i="18" s="1"/>
  <c r="CZ100" i="18" l="1"/>
  <c r="DB100" i="18" s="1"/>
  <c r="DA101" i="18" l="1"/>
  <c r="CY101" i="18" s="1"/>
  <c r="CZ101" i="18" s="1"/>
  <c r="DB101" i="18" s="1"/>
  <c r="DA102" i="18" s="1"/>
  <c r="CY102" i="18" s="1"/>
  <c r="CZ102" i="18" s="1"/>
  <c r="DB102" i="18" s="1"/>
  <c r="DA103" i="18" s="1"/>
  <c r="CY103" i="18" l="1"/>
  <c r="CZ103" i="18" s="1"/>
  <c r="DB103" i="18" s="1"/>
  <c r="DA104" i="18" s="1"/>
  <c r="CY104" i="18" s="1"/>
  <c r="CZ104" i="18" s="1"/>
  <c r="DB104" i="18" s="1"/>
  <c r="DA105" i="18" s="1"/>
  <c r="CY105" i="18" s="1"/>
  <c r="CZ105" i="18" s="1"/>
  <c r="DB105" i="18" s="1"/>
  <c r="DA106" i="18" s="1"/>
  <c r="CY106" i="18" s="1"/>
  <c r="CZ106" i="18" s="1"/>
  <c r="DB106" i="18" s="1"/>
  <c r="DA107" i="18" s="1"/>
  <c r="CY107" i="18" l="1"/>
  <c r="CZ107" i="18" s="1"/>
  <c r="DB107" i="18" s="1"/>
  <c r="DA108" i="18" l="1"/>
  <c r="CY108" i="18" s="1"/>
  <c r="CZ108" i="18" s="1"/>
  <c r="DB108" i="18" s="1"/>
  <c r="DA109" i="18" s="1"/>
  <c r="CY109" i="18" l="1"/>
  <c r="CZ109" i="18" s="1"/>
  <c r="DB109" i="18" s="1"/>
  <c r="DA110" i="18" l="1"/>
  <c r="CY110" i="18" s="1"/>
  <c r="CZ110" i="18" s="1"/>
  <c r="DB110" i="18" s="1"/>
  <c r="DA111" i="18" l="1"/>
  <c r="CY111" i="18" s="1"/>
  <c r="CZ111" i="18" s="1"/>
  <c r="DB111" i="18" s="1"/>
  <c r="DA112" i="18" s="1"/>
  <c r="CY112" i="18" l="1"/>
  <c r="CZ112" i="18" s="1"/>
  <c r="DB112" i="18" s="1"/>
  <c r="DA113" i="18" s="1"/>
  <c r="CY113" i="18" l="1"/>
  <c r="CZ113" i="18" s="1"/>
  <c r="DB113" i="18" s="1"/>
  <c r="DA114" i="18" s="1"/>
  <c r="CY114" i="18" l="1"/>
  <c r="CZ114" i="18" s="1"/>
  <c r="DB114" i="18" s="1"/>
  <c r="DA115" i="18" s="1"/>
  <c r="CY115" i="18" l="1"/>
  <c r="CZ115" i="18" l="1"/>
  <c r="DB115" i="18" s="1"/>
  <c r="DA116" i="18" s="1"/>
  <c r="CY116" i="18" l="1"/>
  <c r="CZ116" i="18" s="1"/>
  <c r="DB116" i="18" s="1"/>
  <c r="DD80" i="18" s="1"/>
  <c r="DD107" i="18" l="1"/>
  <c r="DD87" i="18"/>
  <c r="DD101" i="18"/>
  <c r="DD111" i="18"/>
  <c r="DD86" i="18"/>
  <c r="DD109" i="18"/>
  <c r="DD97" i="18"/>
  <c r="DD85" i="18"/>
  <c r="DD94" i="18"/>
  <c r="DD110" i="18"/>
  <c r="DD90" i="18"/>
  <c r="DD100" i="18"/>
  <c r="DD104" i="18"/>
  <c r="DD105" i="18"/>
  <c r="DD89" i="18"/>
  <c r="DD112" i="18"/>
  <c r="DD99" i="18"/>
  <c r="DD114" i="18"/>
  <c r="DD91" i="18"/>
  <c r="DD88" i="18"/>
  <c r="DD115" i="18"/>
  <c r="DD96" i="18"/>
  <c r="DD113" i="18"/>
  <c r="DD81" i="18"/>
  <c r="DD83" i="18"/>
  <c r="DD103" i="18"/>
  <c r="DD116" i="18"/>
  <c r="DD95" i="18"/>
  <c r="DD84" i="18"/>
  <c r="DD108" i="18"/>
  <c r="DD98" i="18"/>
  <c r="DD102" i="18"/>
  <c r="DD106" i="18"/>
  <c r="DD82" i="18"/>
  <c r="DG80" i="18"/>
  <c r="DF81" i="18" s="1"/>
  <c r="DD92" i="18"/>
  <c r="DD93" i="18"/>
  <c r="DE81" i="18" l="1"/>
  <c r="DG81" i="18" l="1"/>
  <c r="DF82" i="18" s="1"/>
  <c r="DE82" i="18" s="1"/>
  <c r="DG82" i="18" s="1"/>
  <c r="DF83" i="18" s="1"/>
  <c r="DE83" i="18" s="1"/>
  <c r="DG83" i="18" s="1"/>
  <c r="DF84" i="18" s="1"/>
  <c r="DE84" i="18" s="1"/>
  <c r="DG84" i="18" s="1"/>
  <c r="DF85" i="18" s="1"/>
  <c r="DE85" i="18" s="1"/>
  <c r="DG85" i="18" s="1"/>
  <c r="DF86" i="18" s="1"/>
  <c r="DE86" i="18" s="1"/>
  <c r="DG86" i="18" s="1"/>
  <c r="DF87" i="18" s="1"/>
  <c r="DE87" i="18" s="1"/>
  <c r="DG87" i="18" s="1"/>
  <c r="DF88" i="18" s="1"/>
  <c r="DE88" i="18" s="1"/>
  <c r="DG88" i="18" s="1"/>
  <c r="DF89" i="18" s="1"/>
  <c r="DE89" i="18" s="1"/>
  <c r="DG89" i="18" s="1"/>
  <c r="DF90" i="18" s="1"/>
  <c r="DE90" i="18" s="1"/>
  <c r="DG90" i="18" s="1"/>
  <c r="DF91" i="18" s="1"/>
  <c r="DE91" i="18" s="1"/>
  <c r="DG91" i="18" s="1"/>
  <c r="DF92" i="18" s="1"/>
  <c r="DE92" i="18" s="1"/>
  <c r="DG92" i="18" s="1"/>
  <c r="DF93" i="18" s="1"/>
  <c r="DE93" i="18" s="1"/>
  <c r="DG93" i="18" s="1"/>
  <c r="DF94" i="18" s="1"/>
  <c r="DE94" i="18" s="1"/>
  <c r="DG94" i="18" s="1"/>
  <c r="DF95" i="18" s="1"/>
  <c r="DE95" i="18" s="1"/>
  <c r="DG95" i="18" s="1"/>
  <c r="DF96" i="18" s="1"/>
  <c r="DE96" i="18" s="1"/>
  <c r="DG96" i="18" s="1"/>
  <c r="DF97" i="18" s="1"/>
  <c r="DE97" i="18" s="1"/>
  <c r="DG97" i="18" s="1"/>
  <c r="DF98" i="18" s="1"/>
  <c r="DE98" i="18" s="1"/>
  <c r="DG98" i="18" s="1"/>
  <c r="DF99" i="18" s="1"/>
  <c r="DE99" i="18" s="1"/>
  <c r="DG99" i="18" s="1"/>
  <c r="DF100" i="18" s="1"/>
  <c r="DE100" i="18" s="1"/>
  <c r="DG100" i="18" s="1"/>
  <c r="DF101" i="18" s="1"/>
  <c r="DE101" i="18" s="1"/>
  <c r="DG101" i="18" s="1"/>
  <c r="DF102" i="18" s="1"/>
  <c r="DE102" i="18" s="1"/>
  <c r="DG102" i="18" s="1"/>
  <c r="DF103" i="18" s="1"/>
  <c r="DE103" i="18" s="1"/>
  <c r="DG103" i="18" s="1"/>
  <c r="DF104" i="18" s="1"/>
  <c r="DE104" i="18" s="1"/>
  <c r="DG104" i="18" s="1"/>
  <c r="DF105" i="18" s="1"/>
  <c r="DE105" i="18" s="1"/>
  <c r="DG105" i="18" s="1"/>
  <c r="DJ81" i="18" l="1"/>
  <c r="DF106" i="18"/>
  <c r="DE106" i="18" s="1"/>
  <c r="DG106" i="18" s="1"/>
  <c r="DL81" i="18" l="1"/>
  <c r="DK82" i="18" s="1"/>
  <c r="DI81" i="18"/>
  <c r="DI82" i="18" s="1"/>
  <c r="DI83" i="18" s="1"/>
  <c r="DI84" i="18" s="1"/>
  <c r="DI85" i="18" s="1"/>
  <c r="DI86" i="18" s="1"/>
  <c r="DI87" i="18" s="1"/>
  <c r="DI88" i="18" s="1"/>
  <c r="DI89" i="18" s="1"/>
  <c r="DI90" i="18" s="1"/>
  <c r="DI91" i="18" s="1"/>
  <c r="DI92" i="18" s="1"/>
  <c r="DI93" i="18" s="1"/>
  <c r="DI94" i="18" s="1"/>
  <c r="DI95" i="18" s="1"/>
  <c r="DI96" i="18" s="1"/>
  <c r="DI97" i="18" s="1"/>
  <c r="DI98" i="18" s="1"/>
  <c r="DI99" i="18" s="1"/>
  <c r="DI100" i="18" s="1"/>
  <c r="DI101" i="18" s="1"/>
  <c r="DI102" i="18" s="1"/>
  <c r="DI103" i="18" s="1"/>
  <c r="DI104" i="18" s="1"/>
  <c r="DI105" i="18" s="1"/>
  <c r="DI106" i="18" s="1"/>
  <c r="DI107" i="18" s="1"/>
  <c r="DI108" i="18" s="1"/>
  <c r="DI109" i="18" s="1"/>
  <c r="DI110" i="18" s="1"/>
  <c r="DI111" i="18" s="1"/>
  <c r="DI112" i="18" s="1"/>
  <c r="DI113" i="18" s="1"/>
  <c r="DI114" i="18" s="1"/>
  <c r="DI115" i="18" s="1"/>
  <c r="DI116" i="18" s="1"/>
  <c r="DF107" i="18"/>
  <c r="DE107" i="18" s="1"/>
  <c r="DG107" i="18" s="1"/>
  <c r="DJ82" i="18" l="1"/>
  <c r="DL82" i="18" s="1"/>
  <c r="DK83" i="18" s="1"/>
  <c r="DJ83" i="18" s="1"/>
  <c r="DL83" i="18" s="1"/>
  <c r="DK84" i="18" s="1"/>
  <c r="DJ84" i="18" s="1"/>
  <c r="DL84" i="18" s="1"/>
  <c r="DK85" i="18" s="1"/>
  <c r="DJ85" i="18" s="1"/>
  <c r="DL85" i="18" s="1"/>
  <c r="DK86" i="18" s="1"/>
  <c r="DJ86" i="18" s="1"/>
  <c r="DL86" i="18" s="1"/>
  <c r="DK87" i="18" s="1"/>
  <c r="DJ87" i="18" s="1"/>
  <c r="DL87" i="18" s="1"/>
  <c r="DK88" i="18" s="1"/>
  <c r="DJ88" i="18" s="1"/>
  <c r="DL88" i="18" s="1"/>
  <c r="DK89" i="18" s="1"/>
  <c r="DJ89" i="18" s="1"/>
  <c r="DL89" i="18" s="1"/>
  <c r="DK90" i="18" s="1"/>
  <c r="DJ90" i="18" s="1"/>
  <c r="DL90" i="18" s="1"/>
  <c r="DK91" i="18" s="1"/>
  <c r="DJ91" i="18" s="1"/>
  <c r="DL91" i="18" s="1"/>
  <c r="DK92" i="18" s="1"/>
  <c r="DJ92" i="18" s="1"/>
  <c r="DL92" i="18" s="1"/>
  <c r="DK93" i="18" s="1"/>
  <c r="DJ93" i="18" s="1"/>
  <c r="DL93" i="18" s="1"/>
  <c r="DK94" i="18" s="1"/>
  <c r="DJ94" i="18" s="1"/>
  <c r="DL94" i="18" s="1"/>
  <c r="DK95" i="18" s="1"/>
  <c r="DJ95" i="18" s="1"/>
  <c r="DL95" i="18" s="1"/>
  <c r="DK96" i="18" s="1"/>
  <c r="DJ96" i="18" s="1"/>
  <c r="DL96" i="18" s="1"/>
  <c r="DK97" i="18" s="1"/>
  <c r="DJ97" i="18" s="1"/>
  <c r="DL97" i="18" s="1"/>
  <c r="DK98" i="18" s="1"/>
  <c r="DJ98" i="18" s="1"/>
  <c r="DL98" i="18" s="1"/>
  <c r="DK99" i="18" s="1"/>
  <c r="DJ99" i="18" s="1"/>
  <c r="DL99" i="18" s="1"/>
  <c r="DK100" i="18" s="1"/>
  <c r="DJ100" i="18" s="1"/>
  <c r="DL100" i="18" s="1"/>
  <c r="DK101" i="18" s="1"/>
  <c r="DJ101" i="18" s="1"/>
  <c r="DL101" i="18" s="1"/>
  <c r="DK102" i="18" s="1"/>
  <c r="DJ102" i="18" s="1"/>
  <c r="DL102" i="18" s="1"/>
  <c r="DK103" i="18" s="1"/>
  <c r="DJ103" i="18" s="1"/>
  <c r="DL103" i="18" s="1"/>
  <c r="DK104" i="18" s="1"/>
  <c r="DJ104" i="18" s="1"/>
  <c r="DL104" i="18" s="1"/>
  <c r="DK105" i="18" s="1"/>
  <c r="DJ105" i="18" s="1"/>
  <c r="DL105" i="18" s="1"/>
  <c r="DK106" i="18" s="1"/>
  <c r="DJ106" i="18" s="1"/>
  <c r="DL106" i="18" s="1"/>
  <c r="DK107" i="18" s="1"/>
  <c r="DJ107" i="18" s="1"/>
  <c r="DL107" i="18" s="1"/>
  <c r="DK108" i="18" s="1"/>
  <c r="DJ108" i="18" s="1"/>
  <c r="DL108" i="18" s="1"/>
  <c r="DK109" i="18" s="1"/>
  <c r="DJ109" i="18" s="1"/>
  <c r="DL109" i="18" s="1"/>
  <c r="DK110" i="18"/>
  <c r="DJ110" i="18" s="1"/>
  <c r="DL110" i="18" s="1"/>
  <c r="DF108" i="18"/>
  <c r="DE108" i="18" s="1"/>
  <c r="DG108" i="18" s="1"/>
  <c r="DK111" i="18" l="1"/>
  <c r="DJ111" i="18" s="1"/>
  <c r="DL111" i="18" s="1"/>
  <c r="DF109" i="18"/>
  <c r="DE109" i="18" s="1"/>
  <c r="DG109" i="18" s="1"/>
  <c r="DK112" i="18" l="1"/>
  <c r="DJ112" i="18" s="1"/>
  <c r="DL112" i="18" s="1"/>
  <c r="DF110" i="18"/>
  <c r="DE110" i="18" s="1"/>
  <c r="DG110" i="18" s="1"/>
  <c r="DK113" i="18" l="1"/>
  <c r="DJ113" i="18" s="1"/>
  <c r="DL113" i="18" s="1"/>
  <c r="DF111" i="18"/>
  <c r="DE111" i="18" s="1"/>
  <c r="DG111" i="18" s="1"/>
  <c r="DF112" i="18" s="1"/>
  <c r="DE112" i="18" s="1"/>
  <c r="DG112" i="18" s="1"/>
  <c r="DF113" i="18" s="1"/>
  <c r="DE113" i="18" s="1"/>
  <c r="DG113" i="18" s="1"/>
  <c r="DF114" i="18" s="1"/>
  <c r="DE114" i="18" s="1"/>
  <c r="DG114" i="18" s="1"/>
  <c r="DF115" i="18" s="1"/>
  <c r="DE115" i="18" s="1"/>
  <c r="DG115" i="18" s="1"/>
  <c r="DF116" i="18" s="1"/>
  <c r="DE116" i="18" s="1"/>
  <c r="DG116" i="18" s="1"/>
  <c r="DK114" i="18" l="1"/>
  <c r="DJ114" i="18" s="1"/>
  <c r="DL114" i="18" s="1"/>
  <c r="DK115" i="18" l="1"/>
  <c r="DJ115" i="18" s="1"/>
  <c r="DL115" i="18" s="1"/>
  <c r="DK116" i="18" l="1"/>
  <c r="DJ116" i="18" s="1"/>
  <c r="DL116" i="18" s="1"/>
  <c r="DN80" i="18" l="1"/>
  <c r="DN82" i="18" l="1"/>
  <c r="DN83" i="18"/>
  <c r="DN90" i="18"/>
  <c r="DN86" i="18"/>
  <c r="DN92" i="18"/>
  <c r="DN81" i="18"/>
  <c r="DN106" i="18"/>
  <c r="DN104" i="18"/>
  <c r="DN93" i="18"/>
  <c r="DN102" i="18"/>
  <c r="DN91" i="18"/>
  <c r="DN111" i="18"/>
  <c r="DN109" i="18"/>
  <c r="DN88" i="18"/>
  <c r="DN113" i="18"/>
  <c r="DN115" i="18"/>
  <c r="DN116" i="18"/>
  <c r="DN103" i="18"/>
  <c r="DN84" i="18"/>
  <c r="DN89" i="18"/>
  <c r="DN96" i="18"/>
  <c r="DN114" i="18"/>
  <c r="DN97" i="18"/>
  <c r="DN98" i="18"/>
  <c r="DN108" i="18"/>
  <c r="DQ80" i="18"/>
  <c r="DP81" i="18" s="1"/>
  <c r="DN94" i="18"/>
  <c r="DN99" i="18"/>
  <c r="DN100" i="18"/>
  <c r="DN107" i="18"/>
  <c r="DN105" i="18"/>
  <c r="DN85" i="18"/>
  <c r="DN95" i="18"/>
  <c r="DN101" i="18"/>
  <c r="DN112" i="18"/>
  <c r="DN110" i="18"/>
  <c r="DN87" i="18"/>
  <c r="DO81" i="18" l="1"/>
  <c r="DQ81" i="18" s="1"/>
  <c r="DP82" i="18" s="1"/>
  <c r="DO82" i="18" s="1"/>
  <c r="DQ82" i="18" s="1"/>
  <c r="DP83" i="18" s="1"/>
  <c r="DO83" i="18" s="1"/>
  <c r="DQ83" i="18" s="1"/>
  <c r="DP84" i="18" s="1"/>
  <c r="DO84" i="18" s="1"/>
  <c r="DQ84" i="18" s="1"/>
  <c r="DP85" i="18" s="1"/>
  <c r="DO85" i="18" s="1"/>
  <c r="DQ85" i="18" s="1"/>
  <c r="DP86" i="18" s="1"/>
  <c r="DO86" i="18" s="1"/>
  <c r="DQ86" i="18" s="1"/>
  <c r="DP87" i="18" s="1"/>
  <c r="DO87" i="18" s="1"/>
  <c r="DQ87" i="18" s="1"/>
  <c r="DP88" i="18" s="1"/>
  <c r="DO88" i="18" s="1"/>
  <c r="DQ88" i="18" s="1"/>
  <c r="DP89" i="18" s="1"/>
  <c r="DO89" i="18" s="1"/>
  <c r="DQ89" i="18" s="1"/>
  <c r="DP90" i="18" s="1"/>
  <c r="DO90" i="18" s="1"/>
  <c r="DQ90" i="18" s="1"/>
  <c r="DP91" i="18" s="1"/>
  <c r="DO91" i="18" s="1"/>
  <c r="DQ91" i="18" s="1"/>
  <c r="DP92" i="18" s="1"/>
  <c r="DO92" i="18" s="1"/>
  <c r="DQ92" i="18" s="1"/>
  <c r="DP93" i="18" s="1"/>
  <c r="DO93" i="18" s="1"/>
  <c r="DQ93" i="18" s="1"/>
  <c r="DP94" i="18" s="1"/>
  <c r="DO94" i="18" s="1"/>
  <c r="DQ94" i="18" s="1"/>
  <c r="DP95" i="18" s="1"/>
  <c r="DO95" i="18" s="1"/>
  <c r="DQ95" i="18" s="1"/>
  <c r="DP96" i="18" s="1"/>
  <c r="DO96" i="18" s="1"/>
  <c r="DQ96" i="18" s="1"/>
  <c r="DP97" i="18" s="1"/>
  <c r="DO97" i="18" s="1"/>
  <c r="DQ97" i="18" s="1"/>
  <c r="DP98" i="18" s="1"/>
  <c r="DO98" i="18" s="1"/>
  <c r="DQ98" i="18" s="1"/>
  <c r="DP99" i="18" s="1"/>
  <c r="DO99" i="18" s="1"/>
  <c r="DQ99" i="18" s="1"/>
  <c r="DP100" i="18" s="1"/>
  <c r="DO100" i="18" s="1"/>
  <c r="DQ100" i="18" s="1"/>
  <c r="DP101" i="18" s="1"/>
  <c r="DO101" i="18" s="1"/>
  <c r="DQ101" i="18" s="1"/>
  <c r="DP102" i="18" s="1"/>
  <c r="DO102" i="18" s="1"/>
  <c r="DQ102" i="18" s="1"/>
  <c r="DP103" i="18" s="1"/>
  <c r="DO103" i="18" s="1"/>
  <c r="DQ103" i="18" s="1"/>
  <c r="DP104" i="18" s="1"/>
  <c r="DO104" i="18" s="1"/>
  <c r="DQ104" i="18" s="1"/>
  <c r="DP105" i="18" s="1"/>
  <c r="DO105" i="18" s="1"/>
  <c r="DQ105" i="18" s="1"/>
  <c r="DP106" i="18" s="1"/>
  <c r="DO106" i="18" s="1"/>
  <c r="DQ106" i="18" s="1"/>
  <c r="DP107" i="18" s="1"/>
  <c r="DO107" i="18" s="1"/>
  <c r="DQ107" i="18" s="1"/>
  <c r="DP108" i="18" s="1"/>
  <c r="DO108" i="18" s="1"/>
  <c r="DQ108" i="18" s="1"/>
  <c r="DP109" i="18" l="1"/>
  <c r="DO109" i="18" s="1"/>
  <c r="DQ109" i="18" s="1"/>
  <c r="DP110" i="18" l="1"/>
  <c r="DO110" i="18" s="1"/>
  <c r="DQ110" i="18" s="1"/>
  <c r="DP111" i="18" l="1"/>
  <c r="DO111" i="18" s="1"/>
  <c r="DQ111" i="18" s="1"/>
  <c r="DP112" i="18" l="1"/>
  <c r="DO112" i="18" s="1"/>
  <c r="DQ112" i="18" s="1"/>
  <c r="DP113" i="18" l="1"/>
  <c r="DO113" i="18" s="1"/>
  <c r="DQ113" i="18" s="1"/>
  <c r="DT81" i="18" l="1"/>
  <c r="DP114" i="18"/>
  <c r="DO114" i="18" s="1"/>
  <c r="DQ114" i="18" s="1"/>
  <c r="DV81" i="18" l="1"/>
  <c r="DU82" i="18" s="1"/>
  <c r="DS81" i="18"/>
  <c r="DS82" i="18" s="1"/>
  <c r="DP115" i="18"/>
  <c r="DO115" i="18" s="1"/>
  <c r="DQ115" i="18" s="1"/>
  <c r="DT82" i="18" l="1"/>
  <c r="DV82" i="18" s="1"/>
  <c r="DU83" i="18" s="1"/>
  <c r="DS83" i="18" s="1"/>
  <c r="DT83" i="18" s="1"/>
  <c r="DV83" i="18" s="1"/>
  <c r="DU84" i="18" s="1"/>
  <c r="DP116" i="18"/>
  <c r="DO116" i="18" s="1"/>
  <c r="DQ116" i="18" s="1"/>
  <c r="DS84" i="18" l="1"/>
  <c r="DT84" i="18" l="1"/>
  <c r="DV84" i="18" s="1"/>
  <c r="DU85" i="18" s="1"/>
  <c r="DS85" i="18"/>
  <c r="DS86" i="18" l="1"/>
  <c r="DS87" i="18" s="1"/>
  <c r="DS88" i="18" s="1"/>
  <c r="DS89" i="18" s="1"/>
  <c r="DS90" i="18" s="1"/>
  <c r="DS91" i="18" s="1"/>
  <c r="DS92" i="18" s="1"/>
  <c r="DS93" i="18" s="1"/>
  <c r="DS94" i="18" s="1"/>
  <c r="DS95" i="18" s="1"/>
  <c r="DS96" i="18" s="1"/>
  <c r="DS97" i="18" s="1"/>
  <c r="DS98" i="18" s="1"/>
  <c r="DS99" i="18" s="1"/>
  <c r="DT85" i="18"/>
  <c r="DV85" i="18" s="1"/>
  <c r="DU86" i="18" s="1"/>
  <c r="DT86" i="18" l="1"/>
  <c r="DV86" i="18" s="1"/>
  <c r="DU87" i="18" s="1"/>
  <c r="DT87" i="18" s="1"/>
  <c r="DV87" i="18" s="1"/>
  <c r="DU88" i="18" s="1"/>
  <c r="DT88" i="18" s="1"/>
  <c r="DV88" i="18" s="1"/>
  <c r="DU89" i="18" s="1"/>
  <c r="DT89" i="18" s="1"/>
  <c r="DV89" i="18" s="1"/>
  <c r="DU90" i="18" s="1"/>
  <c r="DT90" i="18" s="1"/>
  <c r="DV90" i="18" s="1"/>
  <c r="DU91" i="18" s="1"/>
  <c r="DT91" i="18" s="1"/>
  <c r="DV91" i="18" s="1"/>
  <c r="DU92" i="18" s="1"/>
  <c r="DT92" i="18" s="1"/>
  <c r="DV92" i="18" s="1"/>
  <c r="DU93" i="18" s="1"/>
  <c r="DT93" i="18" s="1"/>
  <c r="DV93" i="18" s="1"/>
  <c r="DU94" i="18" s="1"/>
  <c r="DT94" i="18" s="1"/>
  <c r="DV94" i="18" s="1"/>
  <c r="DU95" i="18" s="1"/>
  <c r="DT95" i="18" s="1"/>
  <c r="DV95" i="18" s="1"/>
  <c r="DU96" i="18" s="1"/>
  <c r="DT96" i="18" s="1"/>
  <c r="DV96" i="18" s="1"/>
  <c r="DU97" i="18" s="1"/>
  <c r="DT97" i="18" s="1"/>
  <c r="DV97" i="18" s="1"/>
  <c r="DS100" i="18"/>
  <c r="DU98" i="18" l="1"/>
  <c r="DT98" i="18" s="1"/>
  <c r="DV98" i="18" s="1"/>
  <c r="DS101" i="18"/>
  <c r="DU99" i="18" l="1"/>
  <c r="DT99" i="18" s="1"/>
  <c r="DV99" i="18" s="1"/>
  <c r="DS102" i="18"/>
  <c r="DU100" i="18" l="1"/>
  <c r="DT100" i="18" s="1"/>
  <c r="DV100" i="18" s="1"/>
  <c r="DS103" i="18"/>
  <c r="DU101" i="18" l="1"/>
  <c r="DT101" i="18" s="1"/>
  <c r="DV101" i="18" s="1"/>
  <c r="DS104" i="18"/>
  <c r="DU102" i="18" l="1"/>
  <c r="DT102" i="18" s="1"/>
  <c r="DV102" i="18" s="1"/>
  <c r="DS105" i="18"/>
  <c r="DU103" i="18" l="1"/>
  <c r="DT103" i="18" s="1"/>
  <c r="DV103" i="18" s="1"/>
  <c r="DS106" i="18"/>
  <c r="DS107" i="18" s="1"/>
  <c r="DS108" i="18" s="1"/>
  <c r="DS109" i="18" s="1"/>
  <c r="DS110" i="18" s="1"/>
  <c r="DS111" i="18" s="1"/>
  <c r="DS112" i="18" s="1"/>
  <c r="DS113" i="18" s="1"/>
  <c r="DS114" i="18" s="1"/>
  <c r="DS115" i="18" s="1"/>
  <c r="DS116" i="18" s="1"/>
  <c r="DU104" i="18" l="1"/>
  <c r="DT104" i="18" s="1"/>
  <c r="DV104" i="18" s="1"/>
  <c r="DU105" i="18" l="1"/>
  <c r="DT105" i="18" s="1"/>
  <c r="DV105" i="18" s="1"/>
  <c r="DU106" i="18" l="1"/>
  <c r="DT106" i="18" s="1"/>
  <c r="DV106" i="18" s="1"/>
  <c r="DU107" i="18" l="1"/>
  <c r="DT107" i="18" s="1"/>
  <c r="DV107" i="18" s="1"/>
  <c r="DU108" i="18" l="1"/>
  <c r="DT108" i="18" s="1"/>
  <c r="DV108" i="18" s="1"/>
  <c r="DU109" i="18" l="1"/>
  <c r="DT109" i="18" s="1"/>
  <c r="DV109" i="18" s="1"/>
  <c r="DU110" i="18" l="1"/>
  <c r="DT110" i="18" s="1"/>
  <c r="DV110" i="18" s="1"/>
  <c r="DU111" i="18" l="1"/>
  <c r="DT111" i="18" s="1"/>
  <c r="DV111" i="18" s="1"/>
  <c r="DU112" i="18" l="1"/>
  <c r="DT112" i="18" s="1"/>
  <c r="DV112" i="18" s="1"/>
  <c r="DU113" i="18" l="1"/>
  <c r="DT113" i="18" s="1"/>
  <c r="DV113" i="18" s="1"/>
  <c r="DU114" i="18" l="1"/>
  <c r="DT114" i="18" s="1"/>
  <c r="DV114" i="18" s="1"/>
  <c r="DU115" i="18" l="1"/>
  <c r="DT115" i="18" s="1"/>
  <c r="DV115" i="18" s="1"/>
  <c r="DU116" i="18" l="1"/>
  <c r="DT116" i="18" s="1"/>
  <c r="DV116" i="18" s="1"/>
  <c r="DX80" i="18" l="1"/>
  <c r="DX85" i="18" l="1"/>
  <c r="DX84" i="18"/>
  <c r="DX83" i="18"/>
  <c r="DX81" i="18"/>
  <c r="EA80" i="18"/>
  <c r="DX100" i="18"/>
  <c r="DX103" i="18"/>
  <c r="DX109" i="18"/>
  <c r="DX101" i="18"/>
  <c r="DX115" i="18"/>
  <c r="DX92" i="18"/>
  <c r="DX95" i="18"/>
  <c r="DX86" i="18"/>
  <c r="DX108" i="18"/>
  <c r="DX98" i="18"/>
  <c r="DX113" i="18"/>
  <c r="DX111" i="18"/>
  <c r="DX104" i="18"/>
  <c r="DX90" i="18"/>
  <c r="DX93" i="18"/>
  <c r="DX96" i="18"/>
  <c r="DX106" i="18"/>
  <c r="DX88" i="18"/>
  <c r="DX114" i="18"/>
  <c r="DX82" i="18"/>
  <c r="DX112" i="18"/>
  <c r="DX99" i="18"/>
  <c r="DX107" i="18"/>
  <c r="DX91" i="18"/>
  <c r="DX94" i="18"/>
  <c r="DX116" i="18"/>
  <c r="DX110" i="18"/>
  <c r="DX97" i="18"/>
  <c r="DX105" i="18"/>
  <c r="DX102" i="18"/>
  <c r="DX89" i="18"/>
  <c r="DX87" i="18"/>
  <c r="DZ81" i="18" l="1"/>
  <c r="DY81" i="18" s="1"/>
  <c r="EA81" i="18" l="1"/>
  <c r="DZ82" i="18" s="1"/>
  <c r="DY82" i="18" s="1"/>
  <c r="EA82" i="18" s="1"/>
  <c r="DZ83" i="18" s="1"/>
  <c r="DY83" i="18" s="1"/>
  <c r="EA83" i="18" s="1"/>
  <c r="DZ84" i="18" s="1"/>
  <c r="DY84" i="18" s="1"/>
  <c r="EA84" i="18" s="1"/>
  <c r="DZ85" i="18" s="1"/>
  <c r="DY85" i="18" s="1"/>
  <c r="EA85" i="18" s="1"/>
  <c r="DZ86" i="18" s="1"/>
  <c r="DY86" i="18" s="1"/>
  <c r="EA86" i="18" s="1"/>
  <c r="DZ87" i="18" s="1"/>
  <c r="DY87" i="18" s="1"/>
  <c r="EA87" i="18" s="1"/>
  <c r="DZ88" i="18" s="1"/>
  <c r="DY88" i="18" s="1"/>
  <c r="EA88" i="18" s="1"/>
  <c r="DZ89" i="18" s="1"/>
  <c r="DY89" i="18" s="1"/>
  <c r="EA89" i="18" s="1"/>
  <c r="DZ90" i="18" s="1"/>
  <c r="DY90" i="18" s="1"/>
  <c r="EA90" i="18" s="1"/>
  <c r="DZ91" i="18" s="1"/>
  <c r="DY91" i="18" s="1"/>
  <c r="EA91" i="18" s="1"/>
  <c r="DZ92" i="18" s="1"/>
  <c r="DY92" i="18" s="1"/>
  <c r="EA92" i="18" s="1"/>
  <c r="DZ93" i="18" s="1"/>
  <c r="DY93" i="18" s="1"/>
  <c r="EA93" i="18" s="1"/>
  <c r="DZ94" i="18" s="1"/>
  <c r="DY94" i="18" s="1"/>
  <c r="EA94" i="18" s="1"/>
  <c r="DZ95" i="18" s="1"/>
  <c r="DY95" i="18" s="1"/>
  <c r="EA95" i="18" s="1"/>
  <c r="DZ96" i="18" s="1"/>
  <c r="DY96" i="18" s="1"/>
  <c r="EA96" i="18" s="1"/>
  <c r="DZ97" i="18" s="1"/>
  <c r="DY97" i="18" s="1"/>
  <c r="EA97" i="18" s="1"/>
  <c r="DZ98" i="18" s="1"/>
  <c r="DY98" i="18" s="1"/>
  <c r="EA98" i="18" s="1"/>
  <c r="DZ99" i="18" s="1"/>
  <c r="DY99" i="18" s="1"/>
  <c r="EA99" i="18" s="1"/>
  <c r="DZ100" i="18" s="1"/>
  <c r="DY100" i="18" s="1"/>
  <c r="EA100" i="18" s="1"/>
  <c r="DZ101" i="18" s="1"/>
  <c r="DY101" i="18" s="1"/>
  <c r="EA101" i="18" s="1"/>
  <c r="DZ102" i="18" s="1"/>
  <c r="DY102" i="18" s="1"/>
  <c r="EA102" i="18" s="1"/>
  <c r="DZ103" i="18" s="1"/>
  <c r="DY103" i="18" s="1"/>
  <c r="EA103" i="18" s="1"/>
  <c r="DZ104" i="18" s="1"/>
  <c r="DY104" i="18" s="1"/>
  <c r="EA104" i="18" s="1"/>
  <c r="DZ105" i="18" s="1"/>
  <c r="DY105" i="18" s="1"/>
  <c r="EA105" i="18" s="1"/>
  <c r="DZ106" i="18" s="1"/>
  <c r="DY106" i="18" s="1"/>
  <c r="EA106" i="18" s="1"/>
  <c r="DZ107" i="18" s="1"/>
  <c r="DY107" i="18" s="1"/>
  <c r="EA107" i="18" s="1"/>
  <c r="DZ108" i="18" s="1"/>
  <c r="DY108" i="18" s="1"/>
  <c r="EA108" i="18" s="1"/>
  <c r="DZ109" i="18" s="1"/>
  <c r="DY109" i="18" s="1"/>
  <c r="EA109" i="18" s="1"/>
  <c r="DZ110" i="18" s="1"/>
  <c r="DY110" i="18" s="1"/>
  <c r="EA110" i="18" s="1"/>
  <c r="DZ111" i="18" s="1"/>
  <c r="DY111" i="18" s="1"/>
  <c r="EA111" i="18" s="1"/>
  <c r="DZ112" i="18" s="1"/>
  <c r="DY112" i="18" s="1"/>
  <c r="EA112" i="18" s="1"/>
  <c r="DZ113" i="18" s="1"/>
  <c r="DY113" i="18" s="1"/>
  <c r="EA113" i="18" s="1"/>
  <c r="DZ114" i="18" s="1"/>
  <c r="DY114" i="18" s="1"/>
  <c r="EA114" i="18" s="1"/>
  <c r="DZ115" i="18" s="1"/>
  <c r="DY115" i="18" s="1"/>
  <c r="EA115" i="18" s="1"/>
  <c r="DZ116" i="18" s="1"/>
  <c r="DY116" i="18" s="1"/>
  <c r="EA116" i="18" s="1"/>
  <c r="ED81" i="18" l="1"/>
  <c r="EF81" i="18" l="1"/>
  <c r="EE82" i="18" s="1"/>
  <c r="EC81" i="18"/>
  <c r="EC82" i="18" s="1"/>
  <c r="EC83" i="18" s="1"/>
  <c r="EC84" i="18" s="1"/>
  <c r="EC85" i="18" s="1"/>
  <c r="EC86" i="18" s="1"/>
  <c r="EC87" i="18" s="1"/>
  <c r="EC88" i="18" s="1"/>
  <c r="EC89" i="18" s="1"/>
  <c r="EC90" i="18" s="1"/>
  <c r="ED82" i="18" l="1"/>
  <c r="EF82" i="18" s="1"/>
  <c r="EE83" i="18" s="1"/>
  <c r="ED83" i="18" s="1"/>
  <c r="EF83" i="18" s="1"/>
  <c r="EE84" i="18" s="1"/>
  <c r="ED84" i="18" s="1"/>
  <c r="EF84" i="18" s="1"/>
  <c r="EE85" i="18" s="1"/>
  <c r="ED85" i="18" s="1"/>
  <c r="EF85" i="18" s="1"/>
  <c r="EE86" i="18" s="1"/>
  <c r="ED86" i="18" s="1"/>
  <c r="EF86" i="18" s="1"/>
  <c r="EE87" i="18" s="1"/>
  <c r="ED87" i="18" s="1"/>
  <c r="EF87" i="18" s="1"/>
  <c r="EE88" i="18" s="1"/>
  <c r="ED88" i="18" s="1"/>
  <c r="EF88" i="18" s="1"/>
  <c r="EE89" i="18" s="1"/>
  <c r="ED89" i="18" s="1"/>
  <c r="EF89" i="18" s="1"/>
  <c r="EE90" i="18" s="1"/>
  <c r="ED90" i="18" s="1"/>
  <c r="EF90" i="18" s="1"/>
  <c r="EE91" i="18" s="1"/>
  <c r="EC91" i="18"/>
  <c r="EC92" i="18" s="1"/>
  <c r="ED91" i="18" l="1"/>
  <c r="EF91" i="18" s="1"/>
  <c r="EE92" i="18" s="1"/>
  <c r="ED92" i="18" s="1"/>
  <c r="EF92" i="18" s="1"/>
  <c r="EC93" i="18"/>
  <c r="EE93" i="18" l="1"/>
  <c r="ED93" i="18" s="1"/>
  <c r="EF93" i="18" s="1"/>
  <c r="EC94" i="18"/>
  <c r="EE94" i="18" l="1"/>
  <c r="ED94" i="18" s="1"/>
  <c r="EF94" i="18" s="1"/>
  <c r="EC95" i="18"/>
  <c r="EE95" i="18" l="1"/>
  <c r="ED95" i="18" s="1"/>
  <c r="EF95" i="18" s="1"/>
  <c r="EC96" i="18"/>
  <c r="EE96" i="18" l="1"/>
  <c r="ED96" i="18" s="1"/>
  <c r="EF96" i="18" s="1"/>
  <c r="EC97" i="18"/>
  <c r="EE97" i="18" l="1"/>
  <c r="ED97" i="18" s="1"/>
  <c r="EF97" i="18" s="1"/>
  <c r="EC98" i="18"/>
  <c r="EE98" i="18" l="1"/>
  <c r="ED98" i="18" s="1"/>
  <c r="EF98" i="18" s="1"/>
  <c r="EC99" i="18"/>
  <c r="EE99" i="18" l="1"/>
  <c r="ED99" i="18" s="1"/>
  <c r="EF99" i="18" s="1"/>
  <c r="EC100" i="18"/>
  <c r="EE100" i="18" l="1"/>
  <c r="ED100" i="18" s="1"/>
  <c r="EF100" i="18" s="1"/>
  <c r="EC101" i="18"/>
  <c r="EE101" i="18" l="1"/>
  <c r="ED101" i="18" s="1"/>
  <c r="EF101" i="18" s="1"/>
  <c r="EC102" i="18"/>
  <c r="EE102" i="18" l="1"/>
  <c r="ED102" i="18" s="1"/>
  <c r="EF102" i="18" s="1"/>
  <c r="EC103" i="18"/>
  <c r="EE103" i="18" l="1"/>
  <c r="ED103" i="18" s="1"/>
  <c r="EF103" i="18" s="1"/>
  <c r="EC104" i="18"/>
  <c r="EE104" i="18" l="1"/>
  <c r="ED104" i="18" s="1"/>
  <c r="EF104" i="18" s="1"/>
  <c r="EC105" i="18"/>
  <c r="EE105" i="18" l="1"/>
  <c r="ED105" i="18" s="1"/>
  <c r="EF105" i="18" s="1"/>
  <c r="EC106" i="18"/>
  <c r="EC107" i="18" s="1"/>
  <c r="EE106" i="18" l="1"/>
  <c r="ED106" i="18" s="1"/>
  <c r="EF106" i="18" s="1"/>
  <c r="EC108" i="18"/>
  <c r="EC109" i="18" s="1"/>
  <c r="EC110" i="18" s="1"/>
  <c r="EC111" i="18" s="1"/>
  <c r="EC112" i="18" s="1"/>
  <c r="EC113" i="18" s="1"/>
  <c r="EC114" i="18" s="1"/>
  <c r="EC115" i="18" s="1"/>
  <c r="EC116" i="18" s="1"/>
  <c r="EE107" i="18" l="1"/>
  <c r="ED107" i="18" s="1"/>
  <c r="EF107" i="18" s="1"/>
  <c r="EE108" i="18" l="1"/>
  <c r="ED108" i="18" s="1"/>
  <c r="EF108" i="18" s="1"/>
  <c r="EE109" i="18" l="1"/>
  <c r="ED109" i="18" s="1"/>
  <c r="EF109" i="18" s="1"/>
  <c r="EE110" i="18" l="1"/>
  <c r="ED110" i="18" s="1"/>
  <c r="EF110" i="18" s="1"/>
  <c r="EE111" i="18" l="1"/>
  <c r="ED111" i="18" s="1"/>
  <c r="EF111" i="18" s="1"/>
  <c r="EE112" i="18" l="1"/>
  <c r="ED112" i="18" s="1"/>
  <c r="EF112" i="18" s="1"/>
  <c r="EE113" i="18" l="1"/>
  <c r="ED113" i="18" s="1"/>
  <c r="EF113" i="18" s="1"/>
  <c r="EE114" i="18" l="1"/>
  <c r="ED114" i="18" s="1"/>
  <c r="EF114" i="18" s="1"/>
  <c r="EE115" i="18" l="1"/>
  <c r="ED115" i="18" s="1"/>
  <c r="EF115" i="18" s="1"/>
  <c r="EE116" i="18" l="1"/>
  <c r="ED116" i="18" s="1"/>
  <c r="EF116" i="18" s="1"/>
  <c r="EH80" i="18" l="1"/>
  <c r="EH99" i="18" l="1"/>
  <c r="EH108" i="18"/>
  <c r="EH113" i="18"/>
  <c r="EH106" i="18"/>
  <c r="EH114" i="18"/>
  <c r="EH97" i="18"/>
  <c r="EH102" i="18"/>
  <c r="EK80" i="18"/>
  <c r="EH87" i="18"/>
  <c r="EH112" i="18"/>
  <c r="EH81" i="18"/>
  <c r="EH91" i="18"/>
  <c r="EH96" i="18"/>
  <c r="EH104" i="18"/>
  <c r="EH110" i="18"/>
  <c r="EH111" i="18"/>
  <c r="EH109" i="18"/>
  <c r="EH93" i="18"/>
  <c r="EH92" i="18"/>
  <c r="EH89" i="18"/>
  <c r="EH82" i="18"/>
  <c r="EH94" i="18"/>
  <c r="EH84" i="18"/>
  <c r="EH83" i="18"/>
  <c r="EH86" i="18"/>
  <c r="EH115" i="18"/>
  <c r="EH105" i="18"/>
  <c r="EH101" i="18"/>
  <c r="EH100" i="18"/>
  <c r="EH88" i="18"/>
  <c r="EH90" i="18"/>
  <c r="EH116" i="18"/>
  <c r="EH107" i="18"/>
  <c r="EH98" i="18"/>
  <c r="EH103" i="18"/>
  <c r="EH95" i="18"/>
  <c r="EH85" i="18"/>
  <c r="EJ81" i="18" l="1"/>
  <c r="EI81" i="18" s="1"/>
  <c r="EK81" i="18" l="1"/>
  <c r="EJ82" i="18" s="1"/>
  <c r="EI82" i="18" s="1"/>
  <c r="EK82" i="18" s="1"/>
  <c r="EJ83" i="18" l="1"/>
  <c r="EI83" i="18" s="1"/>
  <c r="EK83" i="18" s="1"/>
  <c r="EJ84" i="18" s="1"/>
  <c r="EI84" i="18" s="1"/>
  <c r="EK84" i="18" s="1"/>
  <c r="EJ85" i="18" s="1"/>
  <c r="EI85" i="18" s="1"/>
  <c r="EK85" i="18" s="1"/>
  <c r="EJ86" i="18" s="1"/>
  <c r="EI86" i="18" s="1"/>
  <c r="EK86" i="18" s="1"/>
  <c r="EJ87" i="18" s="1"/>
  <c r="EI87" i="18" s="1"/>
  <c r="EK87" i="18" s="1"/>
  <c r="EJ88" i="18" s="1"/>
  <c r="EI88" i="18" s="1"/>
  <c r="EK88" i="18" s="1"/>
  <c r="EJ89" i="18" s="1"/>
  <c r="EI89" i="18" s="1"/>
  <c r="EK89" i="18" s="1"/>
  <c r="EJ90" i="18" s="1"/>
  <c r="EI90" i="18" s="1"/>
  <c r="EK90" i="18" s="1"/>
  <c r="EJ91" i="18" s="1"/>
  <c r="EI91" i="18" s="1"/>
  <c r="EK91" i="18" s="1"/>
  <c r="EJ92" i="18" s="1"/>
  <c r="EI92" i="18" s="1"/>
  <c r="EK92" i="18" s="1"/>
  <c r="EJ93" i="18" l="1"/>
  <c r="EI93" i="18" s="1"/>
  <c r="EK93" i="18" s="1"/>
  <c r="EJ94" i="18" s="1"/>
  <c r="EI94" i="18" s="1"/>
  <c r="EK94" i="18" s="1"/>
  <c r="EJ95" i="18" s="1"/>
  <c r="EI95" i="18" s="1"/>
  <c r="EK95" i="18" s="1"/>
  <c r="EJ96" i="18" s="1"/>
  <c r="EI96" i="18" s="1"/>
  <c r="EK96" i="18" s="1"/>
  <c r="EJ97" i="18" l="1"/>
  <c r="EI97" i="18" s="1"/>
  <c r="EK97" i="18" s="1"/>
  <c r="EJ98" i="18" s="1"/>
  <c r="EI98" i="18" s="1"/>
  <c r="EK98" i="18" s="1"/>
  <c r="EJ99" i="18" s="1"/>
  <c r="EI99" i="18" s="1"/>
  <c r="EK99" i="18" s="1"/>
  <c r="EJ100" i="18" s="1"/>
  <c r="EI100" i="18" s="1"/>
  <c r="EK100" i="18" s="1"/>
  <c r="EJ101" i="18" s="1"/>
  <c r="EI101" i="18" s="1"/>
  <c r="EK101" i="18" s="1"/>
  <c r="EJ102" i="18" s="1"/>
  <c r="EI102" i="18" s="1"/>
  <c r="EK102" i="18" s="1"/>
  <c r="EJ103" i="18" s="1"/>
  <c r="EI103" i="18" s="1"/>
  <c r="EK103" i="18" s="1"/>
  <c r="EJ104" i="18" s="1"/>
  <c r="EI104" i="18" s="1"/>
  <c r="EK104" i="18" s="1"/>
  <c r="EJ105" i="18" s="1"/>
  <c r="EI105" i="18" s="1"/>
  <c r="EK105" i="18" s="1"/>
  <c r="EJ106" i="18" s="1"/>
  <c r="EI106" i="18" s="1"/>
  <c r="EK106" i="18" s="1"/>
  <c r="EJ107" i="18" s="1"/>
  <c r="EI107" i="18" s="1"/>
  <c r="EK107" i="18" s="1"/>
  <c r="EJ108" i="18" s="1"/>
  <c r="EI108" i="18" s="1"/>
  <c r="EK108" i="18" s="1"/>
  <c r="EJ109" i="18" s="1"/>
  <c r="EI109" i="18" s="1"/>
  <c r="EK109" i="18" s="1"/>
  <c r="EJ110" i="18" s="1"/>
  <c r="EI110" i="18" s="1"/>
  <c r="EK110" i="18" s="1"/>
  <c r="EJ111" i="18" s="1"/>
  <c r="EI111" i="18" s="1"/>
  <c r="EK111" i="18" s="1"/>
  <c r="EJ112" i="18" s="1"/>
  <c r="EI112" i="18" s="1"/>
  <c r="EK112" i="18" s="1"/>
  <c r="EJ113" i="18" s="1"/>
  <c r="EI113" i="18" s="1"/>
  <c r="EK113" i="18" s="1"/>
  <c r="EJ114" i="18" s="1"/>
  <c r="EI114" i="18" s="1"/>
  <c r="EK114" i="18" s="1"/>
  <c r="EJ115" i="18" s="1"/>
  <c r="EI115" i="18" s="1"/>
  <c r="EK115" i="18" s="1"/>
  <c r="EJ116" i="18" s="1"/>
  <c r="EI116" i="18" s="1"/>
  <c r="EK116" i="18" s="1"/>
  <c r="EN81" i="18" l="1"/>
  <c r="EP81" i="18" l="1"/>
  <c r="EO82" i="18" s="1"/>
  <c r="EM81" i="18"/>
  <c r="EM82" i="18" s="1"/>
  <c r="EM83" i="18" s="1"/>
  <c r="EM84" i="18" s="1"/>
  <c r="EM85" i="18" s="1"/>
  <c r="EM86" i="18" s="1"/>
  <c r="EM87" i="18" s="1"/>
  <c r="EM88" i="18" s="1"/>
  <c r="EN82" i="18" l="1"/>
  <c r="EP82" i="18" s="1"/>
  <c r="EO83" i="18" s="1"/>
  <c r="EN83" i="18" s="1"/>
  <c r="EP83" i="18" s="1"/>
  <c r="EO84" i="18" s="1"/>
  <c r="EN84" i="18" s="1"/>
  <c r="EP84" i="18" s="1"/>
  <c r="EO85" i="18" s="1"/>
  <c r="EN85" i="18" s="1"/>
  <c r="EP85" i="18" s="1"/>
  <c r="EO86" i="18" s="1"/>
  <c r="EN86" i="18" s="1"/>
  <c r="EP86" i="18" s="1"/>
  <c r="EO87" i="18" s="1"/>
  <c r="EN87" i="18" s="1"/>
  <c r="EP87" i="18" s="1"/>
  <c r="EO88" i="18" s="1"/>
  <c r="EN88" i="18" s="1"/>
  <c r="EP88" i="18" s="1"/>
  <c r="EO89" i="18" s="1"/>
  <c r="EM89" i="18"/>
  <c r="EN89" i="18" l="1"/>
  <c r="EP89" i="18" s="1"/>
  <c r="EO90" i="18" s="1"/>
  <c r="EM90" i="18"/>
  <c r="EM91" i="18" s="1"/>
  <c r="EN90" i="18" l="1"/>
  <c r="EP90" i="18" s="1"/>
  <c r="EO91" i="18" s="1"/>
  <c r="EN91" i="18" s="1"/>
  <c r="EP91" i="18" s="1"/>
  <c r="EO92" i="18" s="1"/>
  <c r="EM92" i="18"/>
  <c r="EM93" i="18" l="1"/>
  <c r="EN92" i="18"/>
  <c r="EP92" i="18" s="1"/>
  <c r="EM94" i="18" l="1"/>
  <c r="EO93" i="18"/>
  <c r="EN93" i="18" s="1"/>
  <c r="EP93" i="18" s="1"/>
  <c r="EO94" i="18" l="1"/>
  <c r="EN94" i="18" s="1"/>
  <c r="EP94" i="18" s="1"/>
  <c r="EM95" i="18"/>
  <c r="EO95" i="18" l="1"/>
  <c r="EN95" i="18" s="1"/>
  <c r="EP95" i="18" s="1"/>
  <c r="EM96" i="18"/>
  <c r="EO96" i="18" l="1"/>
  <c r="EN96" i="18" s="1"/>
  <c r="EP96" i="18" s="1"/>
  <c r="EM97" i="18"/>
  <c r="EO97" i="18" l="1"/>
  <c r="EN97" i="18" s="1"/>
  <c r="EP97" i="18" s="1"/>
  <c r="EM98" i="18"/>
  <c r="EO98" i="18" l="1"/>
  <c r="EN98" i="18" s="1"/>
  <c r="EP98" i="18" s="1"/>
  <c r="EM99" i="18"/>
  <c r="EO99" i="18" l="1"/>
  <c r="EN99" i="18" s="1"/>
  <c r="EP99" i="18" s="1"/>
  <c r="EM100" i="18"/>
  <c r="EO100" i="18" l="1"/>
  <c r="EN100" i="18" s="1"/>
  <c r="EP100" i="18" s="1"/>
  <c r="EM101" i="18"/>
  <c r="EO101" i="18" l="1"/>
  <c r="EN101" i="18" s="1"/>
  <c r="EP101" i="18" s="1"/>
  <c r="EM102" i="18"/>
  <c r="EO102" i="18" l="1"/>
  <c r="EN102" i="18" s="1"/>
  <c r="EP102" i="18" s="1"/>
  <c r="EM103" i="18"/>
  <c r="EO103" i="18" l="1"/>
  <c r="EN103" i="18" s="1"/>
  <c r="EP103" i="18" s="1"/>
  <c r="EM104" i="18"/>
  <c r="EO104" i="18" l="1"/>
  <c r="EN104" i="18" s="1"/>
  <c r="EP104" i="18" s="1"/>
  <c r="EM105" i="18"/>
  <c r="EO105" i="18" l="1"/>
  <c r="EN105" i="18" s="1"/>
  <c r="EP105" i="18" s="1"/>
  <c r="EM106" i="18"/>
  <c r="EO106" i="18" l="1"/>
  <c r="EN106" i="18" s="1"/>
  <c r="EP106" i="18" s="1"/>
  <c r="EM107" i="18"/>
  <c r="EO107" i="18" l="1"/>
  <c r="EN107" i="18" s="1"/>
  <c r="EP107" i="18" s="1"/>
  <c r="EM108" i="18"/>
  <c r="EM109" i="18" s="1"/>
  <c r="EO108" i="18" l="1"/>
  <c r="EN108" i="18" s="1"/>
  <c r="EP108" i="18" s="1"/>
  <c r="EM110" i="18"/>
  <c r="EO109" i="18" l="1"/>
  <c r="EN109" i="18" s="1"/>
  <c r="EP109" i="18" s="1"/>
  <c r="EM111" i="18"/>
  <c r="EM112" i="18" s="1"/>
  <c r="EM113" i="18" s="1"/>
  <c r="EM114" i="18" s="1"/>
  <c r="EM115" i="18" s="1"/>
  <c r="EO110" i="18" l="1"/>
  <c r="EN110" i="18" s="1"/>
  <c r="EP110" i="18" s="1"/>
  <c r="EM116" i="18"/>
  <c r="EO111" i="18" l="1"/>
  <c r="EN111" i="18" s="1"/>
  <c r="EP111" i="18" s="1"/>
  <c r="EO112" i="18" l="1"/>
  <c r="EN112" i="18" s="1"/>
  <c r="EP112" i="18" s="1"/>
  <c r="EO113" i="18" l="1"/>
  <c r="EN113" i="18" s="1"/>
  <c r="EP113" i="18" s="1"/>
  <c r="EO114" i="18" l="1"/>
  <c r="EN114" i="18" s="1"/>
  <c r="EP114" i="18" s="1"/>
  <c r="EO115" i="18" l="1"/>
  <c r="EN115" i="18" s="1"/>
  <c r="EP115" i="18" s="1"/>
  <c r="EO116" i="18" l="1"/>
  <c r="EN116" i="18" s="1"/>
  <c r="EP116" i="18" s="1"/>
  <c r="ER80" i="18" l="1"/>
  <c r="ER112" i="18" l="1"/>
  <c r="ER96" i="18"/>
  <c r="ER101" i="18"/>
  <c r="ER107" i="18"/>
  <c r="ER116" i="18"/>
  <c r="ER97" i="18"/>
  <c r="ER94" i="18"/>
  <c r="EU80" i="18"/>
  <c r="ER90" i="18"/>
  <c r="ER83" i="18"/>
  <c r="ER85" i="18"/>
  <c r="ER84" i="18"/>
  <c r="ER109" i="18"/>
  <c r="ER105" i="18"/>
  <c r="ER88" i="18"/>
  <c r="ER108" i="18"/>
  <c r="ER99" i="18"/>
  <c r="ER93" i="18"/>
  <c r="ER86" i="18"/>
  <c r="ER92" i="18"/>
  <c r="ER110" i="18"/>
  <c r="ER114" i="18"/>
  <c r="ER98" i="18"/>
  <c r="ER100" i="18"/>
  <c r="ER113" i="18"/>
  <c r="ER87" i="18"/>
  <c r="ER115" i="18"/>
  <c r="ER103" i="18"/>
  <c r="ER104" i="18"/>
  <c r="ER95" i="18"/>
  <c r="ER89" i="18"/>
  <c r="ER91" i="18"/>
  <c r="ER102" i="18"/>
  <c r="ER111" i="18"/>
  <c r="ER106" i="18"/>
  <c r="ER81" i="18"/>
  <c r="ER82" i="18"/>
  <c r="ET81" i="18" l="1"/>
  <c r="ES81" i="18" s="1"/>
  <c r="EU81" i="18" l="1"/>
  <c r="ET82" i="18" s="1"/>
  <c r="ES82" i="18" s="1"/>
  <c r="EU82" i="18" s="1"/>
  <c r="ET83" i="18" s="1"/>
  <c r="ES83" i="18" s="1"/>
  <c r="EU83" i="18" s="1"/>
  <c r="ET84" i="18" s="1"/>
  <c r="ES84" i="18" s="1"/>
  <c r="EU84" i="18" s="1"/>
  <c r="ET85" i="18" s="1"/>
  <c r="ES85" i="18" s="1"/>
  <c r="EU85" i="18" s="1"/>
  <c r="ET86" i="18" s="1"/>
  <c r="ES86" i="18" s="1"/>
  <c r="EU86" i="18" s="1"/>
  <c r="ET87" i="18" s="1"/>
  <c r="ES87" i="18" s="1"/>
  <c r="EU87" i="18" s="1"/>
  <c r="ET88" i="18" s="1"/>
  <c r="ES88" i="18" s="1"/>
  <c r="EU88" i="18" s="1"/>
  <c r="ET89" i="18" s="1"/>
  <c r="ES89" i="18" s="1"/>
  <c r="EU89" i="18" s="1"/>
  <c r="ET90" i="18" s="1"/>
  <c r="ES90" i="18" s="1"/>
  <c r="EU90" i="18" s="1"/>
  <c r="ET91" i="18" s="1"/>
  <c r="ES91" i="18" s="1"/>
  <c r="EU91" i="18" s="1"/>
  <c r="ET92" i="18" s="1"/>
  <c r="ES92" i="18" s="1"/>
  <c r="EU92" i="18" s="1"/>
  <c r="ET93" i="18" s="1"/>
  <c r="ES93" i="18" s="1"/>
  <c r="EU93" i="18" s="1"/>
  <c r="ET94" i="18" s="1"/>
  <c r="ES94" i="18" s="1"/>
  <c r="EU94" i="18" s="1"/>
  <c r="ET95" i="18" s="1"/>
  <c r="ES95" i="18" s="1"/>
  <c r="EU95" i="18" s="1"/>
  <c r="ET96" i="18" s="1"/>
  <c r="ES96" i="18" s="1"/>
  <c r="EU96" i="18" s="1"/>
  <c r="ET97" i="18" s="1"/>
  <c r="ES97" i="18" s="1"/>
  <c r="EU97" i="18" s="1"/>
  <c r="ET98" i="18" s="1"/>
  <c r="ES98" i="18" s="1"/>
  <c r="EU98" i="18" s="1"/>
  <c r="ET99" i="18" s="1"/>
  <c r="ES99" i="18" s="1"/>
  <c r="EU99" i="18" s="1"/>
  <c r="ET100" i="18" s="1"/>
  <c r="ES100" i="18" s="1"/>
  <c r="EU100" i="18" s="1"/>
  <c r="ET101" i="18" s="1"/>
  <c r="ES101" i="18" s="1"/>
  <c r="EU101" i="18" s="1"/>
  <c r="ET102" i="18" s="1"/>
  <c r="ES102" i="18" s="1"/>
  <c r="EU102" i="18" s="1"/>
  <c r="ET103" i="18" s="1"/>
  <c r="ES103" i="18" s="1"/>
  <c r="EU103" i="18" s="1"/>
  <c r="ET104" i="18" s="1"/>
  <c r="ES104" i="18" s="1"/>
  <c r="EU104" i="18" s="1"/>
  <c r="ET105" i="18" s="1"/>
  <c r="ES105" i="18" s="1"/>
  <c r="EU105" i="18" s="1"/>
  <c r="ET106" i="18" s="1"/>
  <c r="ES106" i="18" s="1"/>
  <c r="EU106" i="18" s="1"/>
  <c r="ET107" i="18" s="1"/>
  <c r="ES107" i="18" s="1"/>
  <c r="EU107" i="18" s="1"/>
  <c r="ET108" i="18" s="1"/>
  <c r="ES108" i="18" s="1"/>
  <c r="EU108" i="18" s="1"/>
  <c r="ET109" i="18" s="1"/>
  <c r="ES109" i="18" s="1"/>
  <c r="EU109" i="18" s="1"/>
  <c r="ET110" i="18" s="1"/>
  <c r="ES110" i="18" s="1"/>
  <c r="EU110" i="18" s="1"/>
  <c r="ET111" i="18" s="1"/>
  <c r="ES111" i="18" s="1"/>
  <c r="EU111" i="18" s="1"/>
  <c r="ET112" i="18" s="1"/>
  <c r="ES112" i="18" s="1"/>
  <c r="EU112" i="18" s="1"/>
  <c r="ET113" i="18" s="1"/>
  <c r="ES113" i="18" s="1"/>
  <c r="EU113" i="18" s="1"/>
  <c r="ET114" i="18" s="1"/>
  <c r="ES114" i="18" s="1"/>
  <c r="EU114" i="18" s="1"/>
  <c r="ET115" i="18" s="1"/>
  <c r="ES115" i="18" s="1"/>
  <c r="EU115" i="18" s="1"/>
  <c r="ET116" i="18" s="1"/>
  <c r="ES116" i="18" s="1"/>
  <c r="EU116" i="18" s="1"/>
  <c r="EX81" i="18" l="1"/>
  <c r="EZ81" i="18" l="1"/>
  <c r="EY82" i="18" s="1"/>
  <c r="EW81" i="18"/>
  <c r="EW82" i="18" s="1"/>
  <c r="EW83" i="18" s="1"/>
  <c r="EW84" i="18" s="1"/>
  <c r="EW85" i="18" s="1"/>
  <c r="EW86" i="18" s="1"/>
  <c r="EW87" i="18" s="1"/>
  <c r="EW88" i="18" s="1"/>
  <c r="EW89" i="18" s="1"/>
  <c r="EW90" i="18" l="1"/>
  <c r="EW91" i="18" s="1"/>
  <c r="EW92" i="18" s="1"/>
  <c r="EW93" i="18" s="1"/>
  <c r="EX82" i="18"/>
  <c r="EZ82" i="18" s="1"/>
  <c r="EY83" i="18" s="1"/>
  <c r="EX83" i="18" s="1"/>
  <c r="EZ83" i="18" s="1"/>
  <c r="EY84" i="18" s="1"/>
  <c r="EX84" i="18" s="1"/>
  <c r="EZ84" i="18" s="1"/>
  <c r="EY85" i="18" s="1"/>
  <c r="EX85" i="18" s="1"/>
  <c r="EZ85" i="18" s="1"/>
  <c r="EY86" i="18" s="1"/>
  <c r="EX86" i="18" s="1"/>
  <c r="EZ86" i="18" s="1"/>
  <c r="EY87" i="18" s="1"/>
  <c r="EX87" i="18" s="1"/>
  <c r="EZ87" i="18" s="1"/>
  <c r="EY88" i="18" s="1"/>
  <c r="EX88" i="18" s="1"/>
  <c r="EZ88" i="18" s="1"/>
  <c r="EY89" i="18" s="1"/>
  <c r="EX89" i="18" s="1"/>
  <c r="EZ89" i="18" s="1"/>
  <c r="EY90" i="18" s="1"/>
  <c r="EX90" i="18" l="1"/>
  <c r="EZ90" i="18" s="1"/>
  <c r="EY91" i="18" s="1"/>
  <c r="EX91" i="18" s="1"/>
  <c r="EZ91" i="18" s="1"/>
  <c r="EY92" i="18" s="1"/>
  <c r="EX92" i="18" s="1"/>
  <c r="EZ92" i="18" s="1"/>
  <c r="EY93" i="18" s="1"/>
  <c r="EX93" i="18" s="1"/>
  <c r="EZ93" i="18" s="1"/>
  <c r="EW94" i="18"/>
  <c r="EY94" i="18" l="1"/>
  <c r="EX94" i="18" s="1"/>
  <c r="EZ94" i="18" s="1"/>
  <c r="EW95" i="18"/>
  <c r="EY95" i="18" l="1"/>
  <c r="EX95" i="18" s="1"/>
  <c r="EZ95" i="18" s="1"/>
  <c r="EW96" i="18"/>
  <c r="EY96" i="18" l="1"/>
  <c r="EX96" i="18" s="1"/>
  <c r="EZ96" i="18" s="1"/>
  <c r="EW97" i="18"/>
  <c r="EY97" i="18" l="1"/>
  <c r="EX97" i="18" s="1"/>
  <c r="EZ97" i="18" s="1"/>
  <c r="EW98" i="18"/>
  <c r="EY98" i="18" l="1"/>
  <c r="EX98" i="18" s="1"/>
  <c r="EZ98" i="18" s="1"/>
  <c r="EW99" i="18"/>
  <c r="EY99" i="18" l="1"/>
  <c r="EX99" i="18" s="1"/>
  <c r="EZ99" i="18" s="1"/>
  <c r="EW100" i="18"/>
  <c r="EY100" i="18" l="1"/>
  <c r="EX100" i="18" s="1"/>
  <c r="EZ100" i="18" s="1"/>
  <c r="EW101" i="18"/>
  <c r="EY101" i="18" l="1"/>
  <c r="EX101" i="18" s="1"/>
  <c r="EZ101" i="18" s="1"/>
  <c r="EW102" i="18"/>
  <c r="EY102" i="18" l="1"/>
  <c r="EX102" i="18" s="1"/>
  <c r="EZ102" i="18" s="1"/>
  <c r="EW103" i="18"/>
  <c r="EY103" i="18" l="1"/>
  <c r="EX103" i="18" s="1"/>
  <c r="EZ103" i="18" s="1"/>
  <c r="EW104" i="18"/>
  <c r="EY104" i="18" l="1"/>
  <c r="EX104" i="18" s="1"/>
  <c r="EZ104" i="18" s="1"/>
  <c r="EW105" i="18"/>
  <c r="EY105" i="18" l="1"/>
  <c r="EX105" i="18" s="1"/>
  <c r="EZ105" i="18" s="1"/>
  <c r="EW106" i="18"/>
  <c r="EW107" i="18" s="1"/>
  <c r="EW108" i="18" s="1"/>
  <c r="EW109" i="18" s="1"/>
  <c r="EW110" i="18" s="1"/>
  <c r="EW111" i="18" s="1"/>
  <c r="EW112" i="18" s="1"/>
  <c r="EW113" i="18" s="1"/>
  <c r="EW114" i="18" s="1"/>
  <c r="EW115" i="18" s="1"/>
  <c r="EW116" i="18" s="1"/>
  <c r="EY106" i="18" l="1"/>
  <c r="EX106" i="18" s="1"/>
  <c r="EZ106" i="18" s="1"/>
  <c r="EY107" i="18" l="1"/>
  <c r="EX107" i="18" s="1"/>
  <c r="EZ107" i="18" s="1"/>
  <c r="EY108" i="18" l="1"/>
  <c r="EX108" i="18" s="1"/>
  <c r="EZ108" i="18" s="1"/>
  <c r="EY109" i="18" l="1"/>
  <c r="EX109" i="18" s="1"/>
  <c r="EZ109" i="18" s="1"/>
  <c r="EY110" i="18" l="1"/>
  <c r="EX110" i="18" s="1"/>
  <c r="EZ110" i="18" s="1"/>
  <c r="EY111" i="18" l="1"/>
  <c r="EX111" i="18" s="1"/>
  <c r="EZ111" i="18" s="1"/>
  <c r="EY112" i="18" l="1"/>
  <c r="EX112" i="18" s="1"/>
  <c r="EZ112" i="18" s="1"/>
  <c r="EY113" i="18" l="1"/>
  <c r="EX113" i="18" s="1"/>
  <c r="EZ113" i="18" s="1"/>
  <c r="EY114" i="18" l="1"/>
  <c r="EX114" i="18" s="1"/>
  <c r="EZ114" i="18" s="1"/>
  <c r="EY115" i="18" l="1"/>
  <c r="EX115" i="18" s="1"/>
  <c r="EZ115" i="18" s="1"/>
  <c r="EY116" i="18" l="1"/>
  <c r="EX116" i="18" s="1"/>
  <c r="EZ116" i="18" s="1"/>
  <c r="FB80" i="18" l="1"/>
  <c r="FB108" i="18" l="1"/>
  <c r="FB116" i="18"/>
  <c r="FB96" i="18"/>
  <c r="FB105" i="18"/>
  <c r="FB106" i="18"/>
  <c r="FB94" i="18"/>
  <c r="FB88" i="18"/>
  <c r="FB103" i="18"/>
  <c r="FB114" i="18"/>
  <c r="FB115" i="18"/>
  <c r="FB99" i="18"/>
  <c r="FB101" i="18"/>
  <c r="FB95" i="18"/>
  <c r="FB81" i="18"/>
  <c r="FB85" i="18"/>
  <c r="FB111" i="18"/>
  <c r="FB82" i="18"/>
  <c r="FB112" i="18"/>
  <c r="FB97" i="18"/>
  <c r="FB109" i="18"/>
  <c r="FB113" i="18"/>
  <c r="FB100" i="18"/>
  <c r="FB83" i="18"/>
  <c r="FB87" i="18"/>
  <c r="FB91" i="18"/>
  <c r="FB84" i="18"/>
  <c r="FB92" i="18"/>
  <c r="FB89" i="18"/>
  <c r="FE80" i="18"/>
  <c r="FB110" i="18"/>
  <c r="FB102" i="18"/>
  <c r="FB98" i="18"/>
  <c r="FB107" i="18"/>
  <c r="FB104" i="18"/>
  <c r="FB93" i="18"/>
  <c r="FB86" i="18"/>
  <c r="FB90" i="18"/>
  <c r="FD81" i="18" l="1"/>
  <c r="FC81" i="18" s="1"/>
  <c r="FE81" i="18" l="1"/>
  <c r="FD82" i="18" s="1"/>
  <c r="FC82" i="18" s="1"/>
  <c r="FE82" i="18" s="1"/>
  <c r="FD83" i="18" s="1"/>
  <c r="FC83" i="18" s="1"/>
  <c r="FE83" i="18" s="1"/>
  <c r="FD84" i="18" s="1"/>
  <c r="FC84" i="18" s="1"/>
  <c r="FE84" i="18" s="1"/>
  <c r="FD85" i="18" s="1"/>
  <c r="FC85" i="18" s="1"/>
  <c r="FE85" i="18" s="1"/>
  <c r="FD86" i="18" s="1"/>
  <c r="FC86" i="18" s="1"/>
  <c r="FE86" i="18" s="1"/>
  <c r="FD87" i="18" s="1"/>
  <c r="FC87" i="18" s="1"/>
  <c r="FE87" i="18" s="1"/>
  <c r="FD88" i="18" s="1"/>
  <c r="FC88" i="18" s="1"/>
  <c r="FE88" i="18" s="1"/>
  <c r="FD89" i="18" s="1"/>
  <c r="FC89" i="18" s="1"/>
  <c r="FE89" i="18" s="1"/>
  <c r="FD90" i="18" s="1"/>
  <c r="FC90" i="18" s="1"/>
  <c r="FE90" i="18" s="1"/>
  <c r="FD91" i="18" s="1"/>
  <c r="FC91" i="18" s="1"/>
  <c r="FE91" i="18" s="1"/>
  <c r="FD92" i="18" s="1"/>
  <c r="FC92" i="18" s="1"/>
  <c r="FE92" i="18" s="1"/>
  <c r="FD93" i="18" l="1"/>
  <c r="FC93" i="18" s="1"/>
  <c r="FE93" i="18" s="1"/>
  <c r="FD94" i="18" s="1"/>
  <c r="FC94" i="18" s="1"/>
  <c r="FE94" i="18" s="1"/>
  <c r="FD95" i="18" s="1"/>
  <c r="FC95" i="18" s="1"/>
  <c r="FE95" i="18" s="1"/>
  <c r="FD96" i="18" s="1"/>
  <c r="FC96" i="18" s="1"/>
  <c r="FE96" i="18" s="1"/>
  <c r="FD97" i="18" s="1"/>
  <c r="FC97" i="18" s="1"/>
  <c r="FE97" i="18" s="1"/>
  <c r="FD98" i="18" s="1"/>
  <c r="FC98" i="18" s="1"/>
  <c r="FE98" i="18" s="1"/>
  <c r="FD99" i="18" s="1"/>
  <c r="FC99" i="18" s="1"/>
  <c r="FE99" i="18" s="1"/>
  <c r="FD100" i="18" s="1"/>
  <c r="FC100" i="18" s="1"/>
  <c r="FE100" i="18" s="1"/>
  <c r="FD101" i="18" s="1"/>
  <c r="FC101" i="18" s="1"/>
  <c r="FE101" i="18" s="1"/>
  <c r="FD102" i="18" s="1"/>
  <c r="FC102" i="18" s="1"/>
  <c r="FE102" i="18" s="1"/>
  <c r="FD103" i="18" s="1"/>
  <c r="FC103" i="18" s="1"/>
  <c r="FE103" i="18" s="1"/>
  <c r="FD104" i="18" s="1"/>
  <c r="FC104" i="18" s="1"/>
  <c r="FE104" i="18" s="1"/>
  <c r="FD105" i="18" s="1"/>
  <c r="FC105" i="18" s="1"/>
  <c r="FE105" i="18" s="1"/>
  <c r="FD106" i="18" s="1"/>
  <c r="FC106" i="18" s="1"/>
  <c r="FE106" i="18" s="1"/>
  <c r="FD107" i="18" s="1"/>
  <c r="FC107" i="18" s="1"/>
  <c r="FE107" i="18" s="1"/>
  <c r="FD108" i="18" s="1"/>
  <c r="FC108" i="18" s="1"/>
  <c r="FE108" i="18" s="1"/>
  <c r="FD109" i="18" s="1"/>
  <c r="FC109" i="18" s="1"/>
  <c r="FE109" i="18" s="1"/>
  <c r="FD110" i="18" s="1"/>
  <c r="FC110" i="18" s="1"/>
  <c r="FE110" i="18" s="1"/>
  <c r="FD111" i="18" s="1"/>
  <c r="FC111" i="18" s="1"/>
  <c r="FE111" i="18" s="1"/>
  <c r="FD112" i="18" s="1"/>
  <c r="FC112" i="18" s="1"/>
  <c r="FE112" i="18" s="1"/>
  <c r="FD113" i="18" s="1"/>
  <c r="FC113" i="18" s="1"/>
  <c r="FE113" i="18" s="1"/>
  <c r="FD114" i="18" s="1"/>
  <c r="FC114" i="18" s="1"/>
  <c r="FE114" i="18" s="1"/>
  <c r="FD115" i="18" s="1"/>
  <c r="FC115" i="18" s="1"/>
  <c r="FE115" i="18" s="1"/>
  <c r="FD116" i="18" s="1"/>
  <c r="FC116" i="18" s="1"/>
  <c r="FE116" i="18" s="1"/>
  <c r="FH81" i="18" l="1"/>
  <c r="FJ81" i="18" l="1"/>
  <c r="FI82" i="18" s="1"/>
  <c r="FG81" i="18"/>
  <c r="FG82" i="18" s="1"/>
  <c r="FG83" i="18" s="1"/>
  <c r="FG84" i="18" s="1"/>
  <c r="FG85" i="18" s="1"/>
  <c r="FG86" i="18" s="1"/>
  <c r="FG87" i="18" s="1"/>
  <c r="FG88" i="18" s="1"/>
  <c r="FG89" i="18" s="1"/>
  <c r="FH82" i="18" l="1"/>
  <c r="FJ82" i="18" s="1"/>
  <c r="FI83" i="18" s="1"/>
  <c r="FH83" i="18" s="1"/>
  <c r="FJ83" i="18" s="1"/>
  <c r="FI84" i="18" s="1"/>
  <c r="FH84" i="18" s="1"/>
  <c r="FJ84" i="18" s="1"/>
  <c r="FI85" i="18" s="1"/>
  <c r="FH85" i="18" s="1"/>
  <c r="FJ85" i="18" s="1"/>
  <c r="FI86" i="18" s="1"/>
  <c r="FH86" i="18" s="1"/>
  <c r="FJ86" i="18" s="1"/>
  <c r="FI87" i="18" s="1"/>
  <c r="FH87" i="18" s="1"/>
  <c r="FJ87" i="18" s="1"/>
  <c r="FI88" i="18" s="1"/>
  <c r="FH88" i="18" s="1"/>
  <c r="FJ88" i="18" s="1"/>
  <c r="FI89" i="18" s="1"/>
  <c r="FH89" i="18" s="1"/>
  <c r="FJ89" i="18" s="1"/>
  <c r="FI90" i="18" s="1"/>
  <c r="FG90" i="18"/>
  <c r="FG91" i="18" s="1"/>
  <c r="FH90" i="18" l="1"/>
  <c r="FJ90" i="18" s="1"/>
  <c r="FI91" i="18" s="1"/>
  <c r="FH91" i="18" s="1"/>
  <c r="FJ91" i="18" s="1"/>
  <c r="FI92" i="18" s="1"/>
  <c r="FG92" i="18"/>
  <c r="FG93" i="18" s="1"/>
  <c r="FH92" i="18" l="1"/>
  <c r="FJ92" i="18" s="1"/>
  <c r="FI93" i="18" s="1"/>
  <c r="FH93" i="18" s="1"/>
  <c r="FJ93" i="18" s="1"/>
  <c r="FG94" i="18"/>
  <c r="FI94" i="18" l="1"/>
  <c r="FH94" i="18" s="1"/>
  <c r="FJ94" i="18" s="1"/>
  <c r="FG95" i="18"/>
  <c r="FI95" i="18" l="1"/>
  <c r="FH95" i="18" s="1"/>
  <c r="FJ95" i="18" s="1"/>
  <c r="FG96" i="18"/>
  <c r="FI96" i="18" l="1"/>
  <c r="FH96" i="18" s="1"/>
  <c r="FJ96" i="18" s="1"/>
  <c r="FG97" i="18"/>
  <c r="FI97" i="18" l="1"/>
  <c r="FH97" i="18" s="1"/>
  <c r="FJ97" i="18" s="1"/>
  <c r="FG98" i="18"/>
  <c r="FI98" i="18" l="1"/>
  <c r="FH98" i="18" s="1"/>
  <c r="FJ98" i="18" s="1"/>
  <c r="FG99" i="18"/>
  <c r="FI99" i="18" l="1"/>
  <c r="FH99" i="18" s="1"/>
  <c r="FJ99" i="18" s="1"/>
  <c r="FG100" i="18"/>
  <c r="FI100" i="18" l="1"/>
  <c r="FH100" i="18" s="1"/>
  <c r="FJ100" i="18" s="1"/>
  <c r="FG101" i="18"/>
  <c r="FI101" i="18" l="1"/>
  <c r="FH101" i="18" s="1"/>
  <c r="FJ101" i="18" s="1"/>
  <c r="FG102" i="18"/>
  <c r="FI102" i="18" l="1"/>
  <c r="FH102" i="18" s="1"/>
  <c r="FJ102" i="18" s="1"/>
  <c r="FG103" i="18"/>
  <c r="FI103" i="18" l="1"/>
  <c r="FH103" i="18" s="1"/>
  <c r="FJ103" i="18" s="1"/>
  <c r="FG104" i="18"/>
  <c r="FI104" i="18" l="1"/>
  <c r="FH104" i="18" s="1"/>
  <c r="FJ104" i="18" s="1"/>
  <c r="FG105" i="18"/>
  <c r="FI105" i="18" l="1"/>
  <c r="FH105" i="18" s="1"/>
  <c r="FJ105" i="18" s="1"/>
  <c r="FG106" i="18"/>
  <c r="FG107" i="18" s="1"/>
  <c r="FG108" i="18" s="1"/>
  <c r="FG109" i="18" s="1"/>
  <c r="FG110" i="18" s="1"/>
  <c r="FG111" i="18" s="1"/>
  <c r="FG112" i="18" s="1"/>
  <c r="FG113" i="18" s="1"/>
  <c r="FG114" i="18" s="1"/>
  <c r="FG115" i="18" s="1"/>
  <c r="FG116" i="18" s="1"/>
  <c r="FI106" i="18" l="1"/>
  <c r="FH106" i="18" s="1"/>
  <c r="FJ106" i="18" s="1"/>
  <c r="FI107" i="18" l="1"/>
  <c r="FH107" i="18" s="1"/>
  <c r="FJ107" i="18" s="1"/>
  <c r="FI108" i="18" l="1"/>
  <c r="FH108" i="18" s="1"/>
  <c r="FJ108" i="18" s="1"/>
  <c r="FI109" i="18" l="1"/>
  <c r="FH109" i="18" s="1"/>
  <c r="FJ109" i="18" s="1"/>
  <c r="FI110" i="18" l="1"/>
  <c r="FH110" i="18" s="1"/>
  <c r="FJ110" i="18" s="1"/>
  <c r="FI111" i="18" l="1"/>
  <c r="FH111" i="18" s="1"/>
  <c r="FJ111" i="18" s="1"/>
  <c r="FI112" i="18" l="1"/>
  <c r="FH112" i="18" s="1"/>
  <c r="FJ112" i="18" s="1"/>
  <c r="FI113" i="18" l="1"/>
  <c r="FH113" i="18" s="1"/>
  <c r="FJ113" i="18" s="1"/>
  <c r="FI114" i="18" l="1"/>
  <c r="FH114" i="18" s="1"/>
  <c r="FJ114" i="18" s="1"/>
  <c r="FI115" i="18" l="1"/>
  <c r="FH115" i="18" s="1"/>
  <c r="FJ115" i="18" s="1"/>
  <c r="FI116" i="18" l="1"/>
  <c r="FH116" i="18" s="1"/>
  <c r="FJ116" i="18" s="1"/>
  <c r="FL80" i="18" l="1"/>
  <c r="FL111" i="18" l="1"/>
  <c r="FL99" i="18"/>
  <c r="FL115" i="18"/>
  <c r="FL114" i="18"/>
  <c r="FL103" i="18"/>
  <c r="FL81" i="18"/>
  <c r="FL84" i="18"/>
  <c r="FL88" i="18"/>
  <c r="FL92" i="18"/>
  <c r="FL110" i="18"/>
  <c r="FL109" i="18"/>
  <c r="FL100" i="18"/>
  <c r="FL98" i="18"/>
  <c r="FL97" i="18"/>
  <c r="FL94" i="18"/>
  <c r="FO80" i="18"/>
  <c r="FL85" i="18"/>
  <c r="FL116" i="18"/>
  <c r="FL101" i="18"/>
  <c r="FL96" i="18"/>
  <c r="FL86" i="18"/>
  <c r="FL102" i="18"/>
  <c r="FL112" i="18"/>
  <c r="FL82" i="18"/>
  <c r="FL108" i="18"/>
  <c r="FL105" i="18"/>
  <c r="FL107" i="18"/>
  <c r="FL106" i="18"/>
  <c r="FL113" i="18"/>
  <c r="FL104" i="18"/>
  <c r="FL93" i="18"/>
  <c r="FL83" i="18"/>
  <c r="FL87" i="18"/>
  <c r="FL91" i="18"/>
  <c r="FL89" i="18"/>
  <c r="FL95" i="18"/>
  <c r="FL90" i="18"/>
  <c r="FN81" i="18" l="1"/>
  <c r="FM81" i="18" s="1"/>
  <c r="FO81" i="18" l="1"/>
  <c r="FN82" i="18" s="1"/>
  <c r="FM82" i="18" s="1"/>
  <c r="FO82" i="18" s="1"/>
  <c r="FN83" i="18" s="1"/>
  <c r="FM83" i="18" s="1"/>
  <c r="FO83" i="18" s="1"/>
  <c r="FN84" i="18" s="1"/>
  <c r="FM84" i="18" s="1"/>
  <c r="FO84" i="18" s="1"/>
  <c r="FN85" i="18" s="1"/>
  <c r="FM85" i="18" s="1"/>
  <c r="FO85" i="18" s="1"/>
  <c r="FN86" i="18" s="1"/>
  <c r="FM86" i="18" s="1"/>
  <c r="FO86" i="18" s="1"/>
  <c r="FN87" i="18" s="1"/>
  <c r="FM87" i="18" s="1"/>
  <c r="FO87" i="18" s="1"/>
  <c r="FN88" i="18" s="1"/>
  <c r="FM88" i="18" s="1"/>
  <c r="FO88" i="18" s="1"/>
  <c r="FN89" i="18" s="1"/>
  <c r="FM89" i="18" s="1"/>
  <c r="FO89" i="18" s="1"/>
  <c r="FN90" i="18" s="1"/>
  <c r="FM90" i="18" s="1"/>
  <c r="FO90" i="18" s="1"/>
  <c r="FN91" i="18" s="1"/>
  <c r="FM91" i="18" s="1"/>
  <c r="FO91" i="18" s="1"/>
  <c r="FN92" i="18" s="1"/>
  <c r="FM92" i="18" s="1"/>
  <c r="FO92" i="18" s="1"/>
  <c r="FN93" i="18" s="1"/>
  <c r="FM93" i="18" s="1"/>
  <c r="FO93" i="18" s="1"/>
  <c r="FN94" i="18" s="1"/>
  <c r="FM94" i="18" s="1"/>
  <c r="FO94" i="18" s="1"/>
  <c r="FN95" i="18" s="1"/>
  <c r="FM95" i="18" s="1"/>
  <c r="FO95" i="18" s="1"/>
  <c r="FN96" i="18" s="1"/>
  <c r="FM96" i="18" s="1"/>
  <c r="FO96" i="18" s="1"/>
  <c r="FN97" i="18" s="1"/>
  <c r="FM97" i="18" s="1"/>
  <c r="FO97" i="18" s="1"/>
  <c r="FN98" i="18" s="1"/>
  <c r="FM98" i="18" s="1"/>
  <c r="FO98" i="18" s="1"/>
  <c r="FN99" i="18" s="1"/>
  <c r="FM99" i="18" s="1"/>
  <c r="FO99" i="18" s="1"/>
  <c r="FN100" i="18" s="1"/>
  <c r="FM100" i="18" s="1"/>
  <c r="FO100" i="18" s="1"/>
  <c r="FN101" i="18" s="1"/>
  <c r="FM101" i="18" s="1"/>
  <c r="FO101" i="18" s="1"/>
  <c r="FN102" i="18" s="1"/>
  <c r="FM102" i="18" s="1"/>
  <c r="FO102" i="18" s="1"/>
  <c r="FN103" i="18" s="1"/>
  <c r="FM103" i="18" s="1"/>
  <c r="FO103" i="18" s="1"/>
  <c r="FN104" i="18" s="1"/>
  <c r="FM104" i="18" s="1"/>
  <c r="FO104" i="18" s="1"/>
  <c r="FN105" i="18" s="1"/>
  <c r="FM105" i="18" s="1"/>
  <c r="FO105" i="18" s="1"/>
  <c r="FN106" i="18" s="1"/>
  <c r="FM106" i="18" s="1"/>
  <c r="FO106" i="18" s="1"/>
  <c r="FN107" i="18" s="1"/>
  <c r="FM107" i="18" s="1"/>
  <c r="FO107" i="18" s="1"/>
  <c r="FN108" i="18" s="1"/>
  <c r="FM108" i="18" s="1"/>
  <c r="FO108" i="18" s="1"/>
  <c r="FN109" i="18" s="1"/>
  <c r="FM109" i="18" s="1"/>
  <c r="FO109" i="18" s="1"/>
  <c r="FN110" i="18" s="1"/>
  <c r="FM110" i="18" s="1"/>
  <c r="FO110" i="18" s="1"/>
  <c r="FN111" i="18" s="1"/>
  <c r="FM111" i="18" s="1"/>
  <c r="FO111" i="18" s="1"/>
  <c r="FN112" i="18" s="1"/>
  <c r="FM112" i="18" s="1"/>
  <c r="FO112" i="18" s="1"/>
  <c r="FN113" i="18" s="1"/>
  <c r="FM113" i="18" s="1"/>
  <c r="FO113" i="18" s="1"/>
  <c r="FN114" i="18" s="1"/>
  <c r="FM114" i="18" s="1"/>
  <c r="FO114" i="18" s="1"/>
  <c r="FN115" i="18" s="1"/>
  <c r="FM115" i="18" s="1"/>
  <c r="FO115" i="18" s="1"/>
  <c r="FN116" i="18" s="1"/>
  <c r="FM116" i="18" s="1"/>
  <c r="FO116" i="18" s="1"/>
  <c r="FR81" i="18" l="1"/>
  <c r="FT81" i="18" l="1"/>
  <c r="FS82" i="18" s="1"/>
  <c r="FQ81" i="18"/>
  <c r="FQ82" i="18" s="1"/>
  <c r="FQ83" i="18" s="1"/>
  <c r="FQ84" i="18" s="1"/>
  <c r="FQ85" i="18" s="1"/>
  <c r="FQ86" i="18" s="1"/>
  <c r="FQ87" i="18" s="1"/>
  <c r="FQ88" i="18" s="1"/>
  <c r="FQ89" i="18" s="1"/>
  <c r="FR82" i="18" l="1"/>
  <c r="FT82" i="18" s="1"/>
  <c r="FS83" i="18" s="1"/>
  <c r="FR83" i="18" s="1"/>
  <c r="FT83" i="18" s="1"/>
  <c r="FS84" i="18" s="1"/>
  <c r="FR84" i="18" s="1"/>
  <c r="FT84" i="18" s="1"/>
  <c r="FS85" i="18" s="1"/>
  <c r="FR85" i="18" s="1"/>
  <c r="FT85" i="18" s="1"/>
  <c r="FS86" i="18" s="1"/>
  <c r="FR86" i="18" s="1"/>
  <c r="FT86" i="18" s="1"/>
  <c r="FS87" i="18" s="1"/>
  <c r="FR87" i="18" s="1"/>
  <c r="FT87" i="18" s="1"/>
  <c r="FS88" i="18" s="1"/>
  <c r="FR88" i="18" s="1"/>
  <c r="FT88" i="18" s="1"/>
  <c r="FS89" i="18" s="1"/>
  <c r="FR89" i="18" s="1"/>
  <c r="FT89" i="18" s="1"/>
  <c r="FS90" i="18" s="1"/>
  <c r="FQ90" i="18"/>
  <c r="FR90" i="18" l="1"/>
  <c r="FT90" i="18" s="1"/>
  <c r="FS91" i="18" s="1"/>
  <c r="FQ91" i="18"/>
  <c r="FQ92" i="18" l="1"/>
  <c r="FQ93" i="18" s="1"/>
  <c r="FR91" i="18"/>
  <c r="FT91" i="18" s="1"/>
  <c r="FS92" i="18" s="1"/>
  <c r="FR92" i="18" l="1"/>
  <c r="FT92" i="18" s="1"/>
  <c r="FS93" i="18" s="1"/>
  <c r="FR93" i="18" s="1"/>
  <c r="FT93" i="18" s="1"/>
  <c r="FQ94" i="18"/>
  <c r="FS94" i="18" l="1"/>
  <c r="FR94" i="18" s="1"/>
  <c r="FT94" i="18" s="1"/>
  <c r="FQ95" i="18"/>
  <c r="FS95" i="18" l="1"/>
  <c r="FR95" i="18" s="1"/>
  <c r="FT95" i="18" s="1"/>
  <c r="FQ96" i="18"/>
  <c r="FS96" i="18" l="1"/>
  <c r="FR96" i="18" s="1"/>
  <c r="FT96" i="18" s="1"/>
  <c r="FQ97" i="18"/>
  <c r="FS97" i="18" l="1"/>
  <c r="FR97" i="18" s="1"/>
  <c r="FT97" i="18" s="1"/>
  <c r="FQ98" i="18"/>
  <c r="FS98" i="18" l="1"/>
  <c r="FR98" i="18" s="1"/>
  <c r="FT98" i="18" s="1"/>
  <c r="FQ99" i="18"/>
  <c r="FS99" i="18" l="1"/>
  <c r="FR99" i="18" s="1"/>
  <c r="FT99" i="18" s="1"/>
  <c r="FQ100" i="18"/>
  <c r="FS100" i="18" l="1"/>
  <c r="FR100" i="18" s="1"/>
  <c r="FT100" i="18" s="1"/>
  <c r="FQ101" i="18"/>
  <c r="FS101" i="18" l="1"/>
  <c r="FR101" i="18" s="1"/>
  <c r="FT101" i="18" s="1"/>
  <c r="FQ102" i="18"/>
  <c r="FS102" i="18" l="1"/>
  <c r="FR102" i="18" s="1"/>
  <c r="FT102" i="18" s="1"/>
  <c r="FQ103" i="18"/>
  <c r="FS103" i="18" l="1"/>
  <c r="FR103" i="18" s="1"/>
  <c r="FT103" i="18" s="1"/>
  <c r="FQ104" i="18"/>
  <c r="FS104" i="18" l="1"/>
  <c r="FR104" i="18" s="1"/>
  <c r="FT104" i="18" s="1"/>
  <c r="FQ105" i="18"/>
  <c r="FS105" i="18" l="1"/>
  <c r="FR105" i="18" s="1"/>
  <c r="FT105" i="18" s="1"/>
  <c r="FQ106" i="18"/>
  <c r="FS106" i="18" l="1"/>
  <c r="FR106" i="18" s="1"/>
  <c r="FT106" i="18" s="1"/>
  <c r="FQ107" i="18"/>
  <c r="FQ108" i="18" s="1"/>
  <c r="FQ109" i="18" s="1"/>
  <c r="FQ110" i="18" s="1"/>
  <c r="FQ111" i="18" s="1"/>
  <c r="FQ112" i="18" s="1"/>
  <c r="FQ113" i="18" s="1"/>
  <c r="FQ114" i="18" s="1"/>
  <c r="FQ115" i="18" s="1"/>
  <c r="FQ116" i="18" s="1"/>
  <c r="FS107" i="18" l="1"/>
  <c r="FR107" i="18" s="1"/>
  <c r="FT107" i="18" s="1"/>
  <c r="FS108" i="18" l="1"/>
  <c r="FR108" i="18" s="1"/>
  <c r="FT108" i="18" s="1"/>
  <c r="FS109" i="18" l="1"/>
  <c r="FR109" i="18" s="1"/>
  <c r="FT109" i="18" s="1"/>
  <c r="FS110" i="18" l="1"/>
  <c r="FR110" i="18" s="1"/>
  <c r="FT110" i="18" s="1"/>
  <c r="FS111" i="18" l="1"/>
  <c r="FR111" i="18" s="1"/>
  <c r="FT111" i="18" s="1"/>
  <c r="FS112" i="18" l="1"/>
  <c r="FR112" i="18" s="1"/>
  <c r="FT112" i="18" s="1"/>
  <c r="FS113" i="18" l="1"/>
  <c r="FR113" i="18" s="1"/>
  <c r="FT113" i="18" s="1"/>
  <c r="FS114" i="18" l="1"/>
  <c r="FR114" i="18" s="1"/>
  <c r="FT114" i="18" s="1"/>
  <c r="FS115" i="18" l="1"/>
  <c r="FR115" i="18" s="1"/>
  <c r="FT115" i="18" s="1"/>
  <c r="FS116" i="18" l="1"/>
  <c r="FR116" i="18" s="1"/>
  <c r="FT116" i="18" s="1"/>
  <c r="FV80" i="18" l="1"/>
  <c r="FV109" i="18" l="1"/>
  <c r="FV103" i="18"/>
  <c r="FV114" i="18"/>
  <c r="FV116" i="18"/>
  <c r="FV115" i="18"/>
  <c r="FV93" i="18"/>
  <c r="FV83" i="18"/>
  <c r="FV87" i="18"/>
  <c r="FV91" i="18"/>
  <c r="FV94" i="18"/>
  <c r="FV89" i="18"/>
  <c r="FV104" i="18"/>
  <c r="FV106" i="18"/>
  <c r="FV110" i="18"/>
  <c r="FV102" i="18"/>
  <c r="FV101" i="18"/>
  <c r="FV92" i="18"/>
  <c r="FV112" i="18"/>
  <c r="FV96" i="18"/>
  <c r="FV111" i="18"/>
  <c r="FV99" i="18"/>
  <c r="FV113" i="18"/>
  <c r="FV108" i="18"/>
  <c r="FV95" i="18"/>
  <c r="FV82" i="18"/>
  <c r="FV86" i="18"/>
  <c r="FV90" i="18"/>
  <c r="FV84" i="18"/>
  <c r="FV88" i="18"/>
  <c r="FV98" i="18"/>
  <c r="FV105" i="18"/>
  <c r="FV97" i="18"/>
  <c r="FV107" i="18"/>
  <c r="FV100" i="18"/>
  <c r="FV81" i="18"/>
  <c r="FV85" i="18"/>
  <c r="FY80" i="18"/>
  <c r="FX81" i="18" l="1"/>
  <c r="FW81" i="18" s="1"/>
  <c r="FY81" i="18" l="1"/>
  <c r="FX82" i="18" s="1"/>
  <c r="FW82" i="18" s="1"/>
  <c r="FY82" i="18" s="1"/>
  <c r="FX83" i="18" s="1"/>
  <c r="FW83" i="18" s="1"/>
  <c r="FY83" i="18" s="1"/>
  <c r="FX84" i="18" s="1"/>
  <c r="FW84" i="18" s="1"/>
  <c r="FY84" i="18" s="1"/>
  <c r="FX85" i="18" s="1"/>
  <c r="FW85" i="18" s="1"/>
  <c r="FY85" i="18" s="1"/>
  <c r="FX86" i="18" s="1"/>
  <c r="FW86" i="18" s="1"/>
  <c r="FY86" i="18" s="1"/>
  <c r="FX87" i="18" s="1"/>
  <c r="FW87" i="18" s="1"/>
  <c r="FY87" i="18" s="1"/>
  <c r="FX88" i="18" s="1"/>
  <c r="FW88" i="18" s="1"/>
  <c r="FY88" i="18" s="1"/>
  <c r="FX89" i="18" s="1"/>
  <c r="FW89" i="18" s="1"/>
  <c r="FY89" i="18" s="1"/>
  <c r="FX90" i="18" s="1"/>
  <c r="FW90" i="18" s="1"/>
  <c r="FY90" i="18" s="1"/>
  <c r="FX91" i="18" s="1"/>
  <c r="FW91" i="18" s="1"/>
  <c r="FY91" i="18" s="1"/>
  <c r="FX92" i="18" s="1"/>
  <c r="FW92" i="18" s="1"/>
  <c r="FY92" i="18" s="1"/>
  <c r="FX93" i="18" s="1"/>
  <c r="FW93" i="18" s="1"/>
  <c r="FY93" i="18" s="1"/>
  <c r="FX94" i="18" s="1"/>
  <c r="FW94" i="18" s="1"/>
  <c r="FY94" i="18" s="1"/>
  <c r="FX95" i="18" s="1"/>
  <c r="FW95" i="18" s="1"/>
  <c r="FY95" i="18" s="1"/>
  <c r="FX96" i="18" s="1"/>
  <c r="FW96" i="18" s="1"/>
  <c r="FY96" i="18" s="1"/>
  <c r="FX97" i="18" s="1"/>
  <c r="FW97" i="18" s="1"/>
  <c r="FY97" i="18" s="1"/>
  <c r="FX98" i="18" s="1"/>
  <c r="FW98" i="18" s="1"/>
  <c r="FY98" i="18" s="1"/>
  <c r="FX99" i="18" s="1"/>
  <c r="FW99" i="18" s="1"/>
  <c r="FY99" i="18" s="1"/>
  <c r="FX100" i="18" s="1"/>
  <c r="FW100" i="18" s="1"/>
  <c r="FY100" i="18" s="1"/>
  <c r="FX101" i="18" s="1"/>
  <c r="FW101" i="18" s="1"/>
  <c r="FY101" i="18" s="1"/>
  <c r="FX102" i="18" s="1"/>
  <c r="FW102" i="18" s="1"/>
  <c r="FY102" i="18" s="1"/>
  <c r="FX103" i="18" s="1"/>
  <c r="FW103" i="18" s="1"/>
  <c r="FY103" i="18" s="1"/>
  <c r="FX104" i="18" s="1"/>
  <c r="FW104" i="18" s="1"/>
  <c r="FY104" i="18" s="1"/>
  <c r="FX105" i="18" s="1"/>
  <c r="FW105" i="18" s="1"/>
  <c r="FY105" i="18" s="1"/>
  <c r="FX106" i="18" s="1"/>
  <c r="FW106" i="18" s="1"/>
  <c r="FY106" i="18" s="1"/>
  <c r="FX107" i="18" s="1"/>
  <c r="FW107" i="18" s="1"/>
  <c r="FY107" i="18" s="1"/>
  <c r="FX108" i="18" s="1"/>
  <c r="FW108" i="18" s="1"/>
  <c r="FY108" i="18" s="1"/>
  <c r="FX109" i="18" s="1"/>
  <c r="FW109" i="18" s="1"/>
  <c r="FY109" i="18" s="1"/>
  <c r="FX110" i="18" s="1"/>
  <c r="FW110" i="18" s="1"/>
  <c r="FY110" i="18" s="1"/>
  <c r="FX111" i="18" s="1"/>
  <c r="FW111" i="18" s="1"/>
  <c r="FY111" i="18" s="1"/>
  <c r="FX112" i="18" s="1"/>
  <c r="FW112" i="18" s="1"/>
  <c r="FY112" i="18" s="1"/>
  <c r="FX113" i="18" s="1"/>
  <c r="FW113" i="18" s="1"/>
  <c r="FY113" i="18" s="1"/>
  <c r="FX114" i="18" s="1"/>
  <c r="FW114" i="18" s="1"/>
  <c r="FY114" i="18" s="1"/>
  <c r="FX115" i="18" s="1"/>
  <c r="FW115" i="18" s="1"/>
  <c r="FY115" i="18" s="1"/>
  <c r="FX116" i="18" s="1"/>
  <c r="FW116" i="18" s="1"/>
  <c r="FY116" i="18" s="1"/>
  <c r="GB81" i="18" l="1"/>
  <c r="GD81" i="18" l="1"/>
  <c r="GC82" i="18" s="1"/>
  <c r="GA81" i="18"/>
  <c r="GA82" i="18" s="1"/>
  <c r="GA83" i="18" s="1"/>
  <c r="GA84" i="18" s="1"/>
  <c r="GA85" i="18" s="1"/>
  <c r="GA86" i="18" s="1"/>
  <c r="GA87" i="18" s="1"/>
  <c r="GA88" i="18" s="1"/>
  <c r="GA89" i="18" s="1"/>
  <c r="GA90" i="18" s="1"/>
  <c r="GA91" i="18" s="1"/>
  <c r="GA92" i="18" s="1"/>
  <c r="GA93" i="18" s="1"/>
  <c r="GB82" i="18" l="1"/>
  <c r="GD82" i="18" s="1"/>
  <c r="GC83" i="18" s="1"/>
  <c r="GB83" i="18" s="1"/>
  <c r="GD83" i="18" s="1"/>
  <c r="GC84" i="18" s="1"/>
  <c r="GB84" i="18" s="1"/>
  <c r="GD84" i="18" s="1"/>
  <c r="GC85" i="18" s="1"/>
  <c r="GB85" i="18" s="1"/>
  <c r="GD85" i="18" s="1"/>
  <c r="GC86" i="18" s="1"/>
  <c r="GB86" i="18" s="1"/>
  <c r="GD86" i="18" s="1"/>
  <c r="GC87" i="18" s="1"/>
  <c r="GB87" i="18" s="1"/>
  <c r="GD87" i="18" s="1"/>
  <c r="GC88" i="18" s="1"/>
  <c r="GB88" i="18" s="1"/>
  <c r="GD88" i="18" s="1"/>
  <c r="GC89" i="18" s="1"/>
  <c r="GB89" i="18" s="1"/>
  <c r="GD89" i="18" s="1"/>
  <c r="GC90" i="18" s="1"/>
  <c r="GB90" i="18" s="1"/>
  <c r="GD90" i="18" s="1"/>
  <c r="GC91" i="18" s="1"/>
  <c r="GB91" i="18" s="1"/>
  <c r="GD91" i="18" s="1"/>
  <c r="GC92" i="18" s="1"/>
  <c r="GB92" i="18" s="1"/>
  <c r="GD92" i="18" s="1"/>
  <c r="GC93" i="18" s="1"/>
  <c r="GB93" i="18" s="1"/>
  <c r="GD93" i="18" s="1"/>
  <c r="GA94" i="18"/>
  <c r="GC94" i="18" l="1"/>
  <c r="GB94" i="18" s="1"/>
  <c r="GD94" i="18" s="1"/>
  <c r="GA95" i="18"/>
  <c r="GC95" i="18" l="1"/>
  <c r="GB95" i="18" s="1"/>
  <c r="GD95" i="18" s="1"/>
  <c r="GA96" i="18"/>
  <c r="GC96" i="18" l="1"/>
  <c r="GB96" i="18" s="1"/>
  <c r="GD96" i="18" s="1"/>
  <c r="GA97" i="18"/>
  <c r="GC97" i="18" l="1"/>
  <c r="GB97" i="18" s="1"/>
  <c r="GD97" i="18" s="1"/>
  <c r="GA98" i="18"/>
  <c r="GC98" i="18" l="1"/>
  <c r="GB98" i="18" s="1"/>
  <c r="GD98" i="18" s="1"/>
  <c r="GA99" i="18"/>
  <c r="GC99" i="18" l="1"/>
  <c r="GB99" i="18" s="1"/>
  <c r="GD99" i="18" s="1"/>
  <c r="GA100" i="18"/>
  <c r="GC100" i="18" l="1"/>
  <c r="GB100" i="18" s="1"/>
  <c r="GD100" i="18" s="1"/>
  <c r="GA101" i="18"/>
  <c r="GC101" i="18" l="1"/>
  <c r="GB101" i="18" s="1"/>
  <c r="GD101" i="18" s="1"/>
  <c r="GA102" i="18"/>
  <c r="GC102" i="18" l="1"/>
  <c r="GB102" i="18" s="1"/>
  <c r="GD102" i="18" s="1"/>
  <c r="GA103" i="18"/>
  <c r="GC103" i="18" l="1"/>
  <c r="GB103" i="18" s="1"/>
  <c r="GD103" i="18" s="1"/>
  <c r="GA104" i="18"/>
  <c r="GC104" i="18" l="1"/>
  <c r="GB104" i="18" s="1"/>
  <c r="GD104" i="18" s="1"/>
  <c r="GA105" i="18"/>
  <c r="GC105" i="18" l="1"/>
  <c r="GB105" i="18" s="1"/>
  <c r="GD105" i="18" s="1"/>
  <c r="GA106" i="18"/>
  <c r="GA107" i="18" s="1"/>
  <c r="GA108" i="18" s="1"/>
  <c r="GA109" i="18" s="1"/>
  <c r="GA110" i="18" s="1"/>
  <c r="GA111" i="18" s="1"/>
  <c r="GA112" i="18" s="1"/>
  <c r="GA113" i="18" s="1"/>
  <c r="GA114" i="18" s="1"/>
  <c r="GA115" i="18" s="1"/>
  <c r="GA116" i="18" s="1"/>
  <c r="GC106" i="18" l="1"/>
  <c r="GB106" i="18" s="1"/>
  <c r="GD106" i="18" s="1"/>
  <c r="GC107" i="18" l="1"/>
  <c r="GB107" i="18" s="1"/>
  <c r="GD107" i="18" s="1"/>
  <c r="GC108" i="18" l="1"/>
  <c r="GB108" i="18" s="1"/>
  <c r="GD108" i="18" s="1"/>
  <c r="GC109" i="18" l="1"/>
  <c r="GB109" i="18" s="1"/>
  <c r="GD109" i="18" s="1"/>
  <c r="GC110" i="18" l="1"/>
  <c r="GB110" i="18" s="1"/>
  <c r="GD110" i="18" s="1"/>
  <c r="GC111" i="18" l="1"/>
  <c r="GB111" i="18" s="1"/>
  <c r="GD111" i="18" s="1"/>
  <c r="GC112" i="18" l="1"/>
  <c r="GB112" i="18" s="1"/>
  <c r="GD112" i="18" s="1"/>
  <c r="GC113" i="18" l="1"/>
  <c r="GB113" i="18" s="1"/>
  <c r="GD113" i="18" s="1"/>
  <c r="GC114" i="18" l="1"/>
  <c r="GB114" i="18" s="1"/>
  <c r="GD114" i="18" s="1"/>
  <c r="GC115" i="18" l="1"/>
  <c r="GB115" i="18" s="1"/>
  <c r="GD115" i="18" s="1"/>
  <c r="GC116" i="18" l="1"/>
  <c r="GB116" i="18" s="1"/>
  <c r="GD116" i="18" s="1"/>
  <c r="GF80" i="18" s="1"/>
  <c r="GF84" i="18" l="1"/>
  <c r="GF91" i="18"/>
  <c r="GF107" i="18"/>
  <c r="GF100" i="18"/>
  <c r="GF114" i="18"/>
  <c r="GF102" i="18"/>
  <c r="GF110" i="18"/>
  <c r="GF87" i="18"/>
  <c r="GI80" i="18"/>
  <c r="GF82" i="18"/>
  <c r="GF98" i="18"/>
  <c r="GF105" i="18"/>
  <c r="GF86" i="18"/>
  <c r="GF93" i="18"/>
  <c r="GF83" i="18"/>
  <c r="GF81" i="18"/>
  <c r="GF101" i="18"/>
  <c r="GF103" i="18"/>
  <c r="GF106" i="18"/>
  <c r="GF104" i="18"/>
  <c r="GF92" i="18"/>
  <c r="GF85" i="18"/>
  <c r="GF113" i="18"/>
  <c r="GF112" i="18"/>
  <c r="GF97" i="18"/>
  <c r="GF89" i="18"/>
  <c r="GF115" i="18"/>
  <c r="GF95" i="18"/>
  <c r="GF109" i="18"/>
  <c r="GF96" i="18"/>
  <c r="GF116" i="18"/>
  <c r="GF108" i="18"/>
  <c r="GF111" i="18"/>
  <c r="GF99" i="18"/>
  <c r="GF90" i="18"/>
  <c r="GF88" i="18"/>
  <c r="GF94" i="18"/>
  <c r="GH81" i="18" l="1"/>
  <c r="GG81" i="18" s="1"/>
  <c r="GI81" i="18" l="1"/>
  <c r="GH82" i="18" s="1"/>
  <c r="GG82" i="18" s="1"/>
  <c r="GI82" i="18" s="1"/>
  <c r="GH83" i="18" s="1"/>
  <c r="GG83" i="18" s="1"/>
  <c r="GI83" i="18" s="1"/>
  <c r="GH84" i="18" s="1"/>
  <c r="GG84" i="18" s="1"/>
  <c r="GI84" i="18" s="1"/>
  <c r="GH85" i="18" s="1"/>
  <c r="GG85" i="18" s="1"/>
  <c r="GI85" i="18" s="1"/>
  <c r="GH86" i="18" s="1"/>
  <c r="GG86" i="18" s="1"/>
  <c r="GI86" i="18" s="1"/>
  <c r="GH87" i="18" s="1"/>
  <c r="GG87" i="18" s="1"/>
  <c r="GI87" i="18" s="1"/>
  <c r="GH88" i="18" s="1"/>
  <c r="GG88" i="18" s="1"/>
  <c r="GI88" i="18" s="1"/>
  <c r="GH89" i="18" s="1"/>
  <c r="GG89" i="18" s="1"/>
  <c r="GI89" i="18" s="1"/>
  <c r="GH90" i="18" s="1"/>
  <c r="GG90" i="18" s="1"/>
  <c r="GI90" i="18" s="1"/>
  <c r="GH91" i="18" s="1"/>
  <c r="GG91" i="18" s="1"/>
  <c r="GI91" i="18" s="1"/>
  <c r="GH92" i="18" s="1"/>
  <c r="GG92" i="18" s="1"/>
  <c r="GI92" i="18" s="1"/>
  <c r="GH93" i="18" s="1"/>
  <c r="GG93" i="18" s="1"/>
  <c r="GI93" i="18" s="1"/>
  <c r="GH94" i="18" s="1"/>
  <c r="GG94" i="18" s="1"/>
  <c r="GI94" i="18" s="1"/>
  <c r="GH95" i="18" s="1"/>
  <c r="GG95" i="18" s="1"/>
  <c r="GI95" i="18" s="1"/>
  <c r="GH96" i="18" s="1"/>
  <c r="GG96" i="18" s="1"/>
  <c r="GI96" i="18" s="1"/>
  <c r="GH97" i="18" s="1"/>
  <c r="GG97" i="18" s="1"/>
  <c r="GI97" i="18" s="1"/>
  <c r="GH98" i="18" s="1"/>
  <c r="GG98" i="18" s="1"/>
  <c r="GI98" i="18" s="1"/>
  <c r="GH99" i="18" s="1"/>
  <c r="GG99" i="18" s="1"/>
  <c r="GI99" i="18" s="1"/>
  <c r="GH100" i="18" s="1"/>
  <c r="GG100" i="18" s="1"/>
  <c r="GI100" i="18" s="1"/>
  <c r="GH101" i="18" s="1"/>
  <c r="GG101" i="18" s="1"/>
  <c r="GI101" i="18" s="1"/>
  <c r="GH102" i="18" s="1"/>
  <c r="GG102" i="18" s="1"/>
  <c r="GI102" i="18" s="1"/>
  <c r="GH103" i="18" s="1"/>
  <c r="GG103" i="18" s="1"/>
  <c r="GI103" i="18" s="1"/>
  <c r="GH104" i="18" s="1"/>
  <c r="GG104" i="18" s="1"/>
  <c r="GI104" i="18" s="1"/>
  <c r="GH105" i="18" s="1"/>
  <c r="GG105" i="18" s="1"/>
  <c r="GI105" i="18" s="1"/>
  <c r="GH106" i="18" s="1"/>
  <c r="GG106" i="18" s="1"/>
  <c r="GI106" i="18" s="1"/>
  <c r="GH107" i="18" s="1"/>
  <c r="GG107" i="18" s="1"/>
  <c r="GI107" i="18" s="1"/>
  <c r="GH108" i="18" s="1"/>
  <c r="GG108" i="18" s="1"/>
  <c r="GI108" i="18" s="1"/>
  <c r="GH109" i="18" s="1"/>
  <c r="GG109" i="18" s="1"/>
  <c r="GI109" i="18" s="1"/>
  <c r="GH110" i="18" s="1"/>
  <c r="GG110" i="18" s="1"/>
  <c r="GI110" i="18" s="1"/>
  <c r="GH111" i="18" s="1"/>
  <c r="GG111" i="18" s="1"/>
  <c r="GI111" i="18" s="1"/>
  <c r="GH112" i="18" s="1"/>
  <c r="GG112" i="18" s="1"/>
  <c r="GI112" i="18" s="1"/>
  <c r="GH113" i="18" s="1"/>
  <c r="GG113" i="18" s="1"/>
  <c r="GI113" i="18" s="1"/>
  <c r="GH114" i="18" s="1"/>
  <c r="GG114" i="18" s="1"/>
  <c r="GI114" i="18" s="1"/>
  <c r="GH115" i="18" s="1"/>
  <c r="GG115" i="18" s="1"/>
  <c r="GI115" i="18" s="1"/>
  <c r="GH116" i="18" l="1"/>
  <c r="GG116" i="18" s="1"/>
  <c r="GI116" i="18" s="1"/>
  <c r="E117" i="18" l="1"/>
  <c r="AH117" i="18" s="1"/>
  <c r="AX117" i="18" s="1"/>
  <c r="GL81" i="18" l="1"/>
  <c r="GK81" i="18" s="1"/>
  <c r="GK82" i="18" s="1"/>
  <c r="D81" i="18" l="1"/>
  <c r="AS81" i="18" s="1"/>
  <c r="F81" i="18"/>
  <c r="GN81" i="18"/>
  <c r="AB81" i="18" l="1"/>
  <c r="AR81" i="18"/>
  <c r="AC81" i="18"/>
  <c r="H81" i="18"/>
  <c r="E82" i="18" s="1"/>
  <c r="AH82" i="18" s="1"/>
  <c r="AX82" i="18" s="1"/>
  <c r="GM82" i="18"/>
  <c r="GL82" i="18" l="1"/>
  <c r="G82" i="18"/>
  <c r="F82" i="18" l="1"/>
  <c r="D82" i="18" s="1"/>
  <c r="GN82" i="18"/>
  <c r="H82" i="18" l="1"/>
  <c r="E83" i="18" s="1"/>
  <c r="AH83" i="18" s="1"/>
  <c r="AX83" i="18" s="1"/>
  <c r="GM83" i="18"/>
  <c r="AB82" i="18"/>
  <c r="AC82" i="18"/>
  <c r="AR82" i="18"/>
  <c r="AS82" i="18"/>
  <c r="G83" i="18" l="1"/>
  <c r="GK105" i="18" l="1"/>
  <c r="GK106" i="18" l="1"/>
  <c r="GK107" i="18" l="1"/>
  <c r="GK108" i="18" l="1"/>
  <c r="GK109" i="18" l="1"/>
  <c r="GK110" i="18" l="1"/>
  <c r="GK111" i="18" l="1"/>
  <c r="GK112" i="18" l="1"/>
  <c r="GK113" i="18" l="1"/>
  <c r="GK114" i="18" l="1"/>
  <c r="GK115" i="18" l="1"/>
  <c r="GG105" i="16" l="1"/>
  <c r="D105" i="16" l="1"/>
  <c r="G105" i="16"/>
  <c r="GF105" i="16"/>
  <c r="GM105" i="18" l="1"/>
  <c r="F105" i="16"/>
  <c r="GH105" i="16"/>
  <c r="AB105" i="16"/>
  <c r="AC105" i="16"/>
  <c r="AS105" i="16"/>
  <c r="AR105" i="16"/>
  <c r="D105" i="18" l="1"/>
  <c r="GL105" i="18"/>
  <c r="G105" i="18"/>
  <c r="GG106" i="16"/>
  <c r="H105" i="16"/>
  <c r="E106" i="16" s="1"/>
  <c r="F105" i="18" l="1"/>
  <c r="GN105" i="18"/>
  <c r="AB105" i="18"/>
  <c r="AS105" i="18"/>
  <c r="AR105" i="18"/>
  <c r="AC105" i="18"/>
  <c r="AH106" i="16"/>
  <c r="AX106" i="16" s="1"/>
  <c r="D106" i="16"/>
  <c r="G106" i="16"/>
  <c r="GF106" i="16"/>
  <c r="GM106" i="18" l="1"/>
  <c r="H105" i="18"/>
  <c r="E106" i="18" s="1"/>
  <c r="F106" i="16"/>
  <c r="GH106" i="16"/>
  <c r="AC106" i="16"/>
  <c r="AB106" i="16"/>
  <c r="AR106" i="16"/>
  <c r="AS106" i="16"/>
  <c r="D106" i="18" l="1"/>
  <c r="AH106" i="18"/>
  <c r="AX106" i="18" s="1"/>
  <c r="G106" i="18"/>
  <c r="GL106" i="18"/>
  <c r="GG107" i="16"/>
  <c r="H106" i="16"/>
  <c r="E107" i="16" s="1"/>
  <c r="F106" i="18" l="1"/>
  <c r="GN106" i="18"/>
  <c r="AC106" i="18"/>
  <c r="AR106" i="18"/>
  <c r="AS106" i="18"/>
  <c r="AB106" i="18"/>
  <c r="G107" i="16"/>
  <c r="GF107" i="16"/>
  <c r="AH107" i="16"/>
  <c r="AX107" i="16" s="1"/>
  <c r="D107" i="16"/>
  <c r="H106" i="18" l="1"/>
  <c r="E107" i="18" s="1"/>
  <c r="GM107" i="18"/>
  <c r="F107" i="16"/>
  <c r="GH107" i="16"/>
  <c r="AB107" i="16"/>
  <c r="AR107" i="16"/>
  <c r="AC107" i="16"/>
  <c r="AS107" i="16"/>
  <c r="G107" i="18" l="1"/>
  <c r="GL107" i="18"/>
  <c r="AH107" i="18"/>
  <c r="AX107" i="18" s="1"/>
  <c r="D107" i="18"/>
  <c r="GG108" i="16"/>
  <c r="H107" i="16"/>
  <c r="E108" i="16" s="1"/>
  <c r="AS107" i="18" l="1"/>
  <c r="AC107" i="18"/>
  <c r="AB107" i="18"/>
  <c r="AR107" i="18"/>
  <c r="GN107" i="18"/>
  <c r="F107" i="18"/>
  <c r="AH108" i="16"/>
  <c r="AX108" i="16" s="1"/>
  <c r="D108" i="16"/>
  <c r="G108" i="16"/>
  <c r="GF108" i="16"/>
  <c r="H107" i="18" l="1"/>
  <c r="E108" i="18" s="1"/>
  <c r="GM108" i="18"/>
  <c r="F108" i="16"/>
  <c r="GH108" i="16"/>
  <c r="AB108" i="16"/>
  <c r="AS108" i="16"/>
  <c r="AR108" i="16"/>
  <c r="AC108" i="16"/>
  <c r="G108" i="18" l="1"/>
  <c r="GL108" i="18"/>
  <c r="AH108" i="18"/>
  <c r="AX108" i="18" s="1"/>
  <c r="D108" i="18"/>
  <c r="GG109" i="16"/>
  <c r="H108" i="16"/>
  <c r="E109" i="16" s="1"/>
  <c r="AC108" i="18" l="1"/>
  <c r="AS108" i="18"/>
  <c r="AR108" i="18"/>
  <c r="AB108" i="18"/>
  <c r="GN108" i="18"/>
  <c r="F108" i="18"/>
  <c r="AH109" i="16"/>
  <c r="AX109" i="16" s="1"/>
  <c r="D109" i="16"/>
  <c r="G109" i="16"/>
  <c r="GF109" i="16"/>
  <c r="H108" i="18" l="1"/>
  <c r="E109" i="18" s="1"/>
  <c r="GM109" i="18"/>
  <c r="F109" i="16"/>
  <c r="GH109" i="16"/>
  <c r="AB109" i="16"/>
  <c r="AC109" i="16"/>
  <c r="AR109" i="16"/>
  <c r="AS109" i="16"/>
  <c r="GL109" i="18" l="1"/>
  <c r="G109" i="18"/>
  <c r="AH109" i="18"/>
  <c r="AX109" i="18" s="1"/>
  <c r="D109" i="18"/>
  <c r="GG110" i="16"/>
  <c r="H109" i="16"/>
  <c r="E110" i="16" s="1"/>
  <c r="AR109" i="18" l="1"/>
  <c r="AB109" i="18"/>
  <c r="AC109" i="18"/>
  <c r="AS109" i="18"/>
  <c r="GN109" i="18"/>
  <c r="F109" i="18"/>
  <c r="AH110" i="16"/>
  <c r="AX110" i="16" s="1"/>
  <c r="D110" i="16"/>
  <c r="G110" i="16"/>
  <c r="GF110" i="16"/>
  <c r="H109" i="18" l="1"/>
  <c r="E110" i="18" s="1"/>
  <c r="GM110" i="18"/>
  <c r="F110" i="16"/>
  <c r="GH110" i="16"/>
  <c r="AC110" i="16"/>
  <c r="AS110" i="16"/>
  <c r="AB110" i="16"/>
  <c r="AR110" i="16"/>
  <c r="GL110" i="18" l="1"/>
  <c r="G110" i="18"/>
  <c r="AH110" i="18"/>
  <c r="AX110" i="18" s="1"/>
  <c r="D110" i="18"/>
  <c r="GG111" i="16"/>
  <c r="H110" i="16"/>
  <c r="E111" i="16" s="1"/>
  <c r="AC110" i="18" l="1"/>
  <c r="AR110" i="18"/>
  <c r="AS110" i="18"/>
  <c r="AB110" i="18"/>
  <c r="GN110" i="18"/>
  <c r="F110" i="18"/>
  <c r="AH111" i="16"/>
  <c r="AX111" i="16" s="1"/>
  <c r="D111" i="16"/>
  <c r="G111" i="16"/>
  <c r="GF111" i="16"/>
  <c r="GM111" i="18" l="1"/>
  <c r="H110" i="18"/>
  <c r="E111" i="18" s="1"/>
  <c r="AB111" i="16"/>
  <c r="AC111" i="16"/>
  <c r="AS111" i="16"/>
  <c r="AR111" i="16"/>
  <c r="F111" i="16"/>
  <c r="GH111" i="16"/>
  <c r="D111" i="18" l="1"/>
  <c r="AH111" i="18"/>
  <c r="AX111" i="18" s="1"/>
  <c r="G111" i="18"/>
  <c r="GL111" i="18"/>
  <c r="GG112" i="16"/>
  <c r="H111" i="16"/>
  <c r="E112" i="16" s="1"/>
  <c r="F111" i="18" l="1"/>
  <c r="GN111" i="18"/>
  <c r="AR111" i="18"/>
  <c r="AS111" i="18"/>
  <c r="AC111" i="18"/>
  <c r="AB111" i="18"/>
  <c r="G112" i="16"/>
  <c r="GF112" i="16"/>
  <c r="AH112" i="16"/>
  <c r="AX112" i="16" s="1"/>
  <c r="D112" i="16"/>
  <c r="H111" i="18" l="1"/>
  <c r="E112" i="18" s="1"/>
  <c r="GM112" i="18"/>
  <c r="AB112" i="16"/>
  <c r="AR112" i="16"/>
  <c r="AC112" i="16"/>
  <c r="AS112" i="16"/>
  <c r="F112" i="16"/>
  <c r="GH112" i="16"/>
  <c r="G112" i="18" l="1"/>
  <c r="GL112" i="18"/>
  <c r="AH112" i="18"/>
  <c r="AX112" i="18" s="1"/>
  <c r="D112" i="18"/>
  <c r="GG113" i="16"/>
  <c r="H112" i="16"/>
  <c r="E113" i="16" s="1"/>
  <c r="AS112" i="18" l="1"/>
  <c r="AR112" i="18"/>
  <c r="AB112" i="18"/>
  <c r="AC112" i="18"/>
  <c r="GN112" i="18"/>
  <c r="F112" i="18"/>
  <c r="AH113" i="16"/>
  <c r="AX113" i="16" s="1"/>
  <c r="D113" i="16"/>
  <c r="G113" i="16"/>
  <c r="GF113" i="16"/>
  <c r="H112" i="18" l="1"/>
  <c r="E113" i="18" s="1"/>
  <c r="GM113" i="18"/>
  <c r="F113" i="16"/>
  <c r="GH113" i="16"/>
  <c r="AB113" i="16"/>
  <c r="AC113" i="16"/>
  <c r="AR113" i="16"/>
  <c r="AS113" i="16"/>
  <c r="G113" i="18" l="1"/>
  <c r="GL113" i="18"/>
  <c r="AH113" i="18"/>
  <c r="AX113" i="18" s="1"/>
  <c r="D113" i="18"/>
  <c r="GG114" i="16"/>
  <c r="H113" i="16"/>
  <c r="E114" i="16" s="1"/>
  <c r="AR113" i="18" l="1"/>
  <c r="AC113" i="18"/>
  <c r="AB113" i="18"/>
  <c r="AS113" i="18"/>
  <c r="GN113" i="18"/>
  <c r="F113" i="18"/>
  <c r="G114" i="16"/>
  <c r="GF114" i="16"/>
  <c r="AH114" i="16"/>
  <c r="AX114" i="16" s="1"/>
  <c r="D114" i="16"/>
  <c r="H113" i="18" l="1"/>
  <c r="E114" i="18" s="1"/>
  <c r="GM114" i="18"/>
  <c r="AC114" i="16"/>
  <c r="AB114" i="16"/>
  <c r="AR114" i="16"/>
  <c r="AS114" i="16"/>
  <c r="F114" i="16"/>
  <c r="GH114" i="16"/>
  <c r="G114" i="18" l="1"/>
  <c r="GL114" i="18"/>
  <c r="D114" i="18"/>
  <c r="AH114" i="18"/>
  <c r="AX114" i="18" s="1"/>
  <c r="H114" i="16"/>
  <c r="E115" i="16" s="1"/>
  <c r="GG115" i="16"/>
  <c r="AS114" i="18" l="1"/>
  <c r="AR114" i="18"/>
  <c r="AC114" i="18"/>
  <c r="AB114" i="18"/>
  <c r="F114" i="18"/>
  <c r="GN114" i="18"/>
  <c r="G115" i="16"/>
  <c r="GF115" i="16"/>
  <c r="AH115" i="16"/>
  <c r="AX115" i="16" s="1"/>
  <c r="D115" i="16"/>
  <c r="GM115" i="18" l="1"/>
  <c r="H114" i="18"/>
  <c r="E115" i="18" s="1"/>
  <c r="F115" i="16"/>
  <c r="GH115" i="16"/>
  <c r="AB115" i="16"/>
  <c r="AS115" i="16"/>
  <c r="AC115" i="16"/>
  <c r="AR115" i="16"/>
  <c r="AH115" i="18" l="1"/>
  <c r="AX115" i="18" s="1"/>
  <c r="D115" i="18"/>
  <c r="GL115" i="18"/>
  <c r="G115" i="18"/>
  <c r="H115" i="16"/>
  <c r="E116" i="16" s="1"/>
  <c r="GG116" i="16"/>
  <c r="G116" i="16" s="1"/>
  <c r="GF116" i="16"/>
  <c r="F115" i="18" l="1"/>
  <c r="GN115" i="18"/>
  <c r="AS115" i="18"/>
  <c r="AR115" i="18"/>
  <c r="AB115" i="18"/>
  <c r="AC115" i="18"/>
  <c r="GE116" i="16"/>
  <c r="D116" i="16" s="1"/>
  <c r="F116" i="16"/>
  <c r="GH116" i="16"/>
  <c r="H116" i="16" s="1"/>
  <c r="AH116" i="16"/>
  <c r="AX116" i="16" s="1"/>
  <c r="H115" i="18" l="1"/>
  <c r="E116" i="18" s="1"/>
  <c r="GM116" i="18"/>
  <c r="G116" i="18" s="1"/>
  <c r="GL116" i="18"/>
  <c r="AB116" i="16"/>
  <c r="AR116" i="16"/>
  <c r="AC116" i="16"/>
  <c r="AS116" i="16"/>
  <c r="F116" i="18" l="1"/>
  <c r="GK116" i="18"/>
  <c r="D116" i="18" s="1"/>
  <c r="GN116" i="18"/>
  <c r="H116" i="18" s="1"/>
  <c r="AH116" i="18"/>
  <c r="AX116" i="18" s="1"/>
  <c r="AR116" i="18" l="1"/>
  <c r="AB116" i="18"/>
  <c r="AC116" i="18"/>
  <c r="AS116" i="18"/>
  <c r="GK83" i="18" l="1"/>
  <c r="GK84" i="18" s="1"/>
  <c r="GK85" i="18" s="1"/>
  <c r="D83" i="18" l="1"/>
  <c r="AC83" i="18" s="1"/>
  <c r="GL83" i="18"/>
  <c r="GN83" i="18" s="1"/>
  <c r="GM84" i="18" s="1"/>
  <c r="AB83" i="18" l="1"/>
  <c r="AS83" i="18"/>
  <c r="F83" i="18"/>
  <c r="H83" i="18"/>
  <c r="E84" i="18" s="1"/>
  <c r="AH84" i="18" s="1"/>
  <c r="AX84" i="18" s="1"/>
  <c r="AR83" i="18"/>
  <c r="GL84" i="18"/>
  <c r="G84" i="18"/>
  <c r="D84" i="18" l="1"/>
  <c r="AC84" i="18" s="1"/>
  <c r="F84" i="18"/>
  <c r="GN84" i="18"/>
  <c r="AS84" i="18" l="1"/>
  <c r="AR84" i="18"/>
  <c r="AB84" i="18"/>
  <c r="GM85" i="18"/>
  <c r="H84" i="18"/>
  <c r="E85" i="18" s="1"/>
  <c r="AH85" i="18" l="1"/>
  <c r="AX85" i="18" s="1"/>
  <c r="D85" i="18"/>
  <c r="G85" i="18"/>
  <c r="GL85" i="18"/>
  <c r="AB85" i="18" l="1"/>
  <c r="AR85" i="18"/>
  <c r="AS85" i="18"/>
  <c r="AC85" i="18"/>
  <c r="F85" i="18"/>
  <c r="GN85" i="18"/>
  <c r="H85" i="18" l="1"/>
  <c r="E86" i="18" s="1"/>
  <c r="GM86" i="18"/>
  <c r="G86" i="18" s="1"/>
  <c r="AH86" i="18" l="1"/>
  <c r="AX86" i="18" s="1"/>
  <c r="GF81" i="16" l="1"/>
  <c r="F81" i="16" s="1"/>
  <c r="GH81" i="16" l="1"/>
  <c r="GG82" i="16" s="1"/>
  <c r="G82" i="16" s="1"/>
  <c r="GE81" i="16"/>
  <c r="GE82" i="16" s="1"/>
  <c r="GF82" i="16" l="1"/>
  <c r="F82" i="16" s="1"/>
  <c r="D81" i="16"/>
  <c r="AB81" i="16" s="1"/>
  <c r="H81" i="16"/>
  <c r="E82" i="16" s="1"/>
  <c r="AH82" i="16" s="1"/>
  <c r="AX82" i="16" s="1"/>
  <c r="GE83" i="16"/>
  <c r="GE84" i="16" s="1"/>
  <c r="GH82" i="16" l="1"/>
  <c r="H82" i="16" s="1"/>
  <c r="E83" i="16" s="1"/>
  <c r="AR81" i="16"/>
  <c r="AS81" i="16"/>
  <c r="AC81" i="16"/>
  <c r="D82" i="16"/>
  <c r="AB82" i="16" s="1"/>
  <c r="GE85" i="16"/>
  <c r="GG83" i="16"/>
  <c r="AC82" i="16" l="1"/>
  <c r="AS82" i="16"/>
  <c r="AR82" i="16"/>
  <c r="AH83" i="16"/>
  <c r="AX83" i="16" s="1"/>
  <c r="D83" i="16"/>
  <c r="G83" i="16"/>
  <c r="GF83" i="16"/>
  <c r="F83" i="16" l="1"/>
  <c r="GH83" i="16"/>
  <c r="AC83" i="16"/>
  <c r="AB83" i="16"/>
  <c r="AS83" i="16"/>
  <c r="AR83" i="16"/>
  <c r="GG84" i="16" l="1"/>
  <c r="H83" i="16"/>
  <c r="E84" i="16" s="1"/>
  <c r="AH84" i="16" l="1"/>
  <c r="AX84" i="16" s="1"/>
  <c r="D84" i="16"/>
  <c r="G84" i="16"/>
  <c r="GF84" i="16"/>
  <c r="AR84" i="16" l="1"/>
  <c r="AC84" i="16"/>
  <c r="AB84" i="16"/>
  <c r="AS84" i="16"/>
  <c r="F84" i="16"/>
  <c r="GH84" i="16"/>
  <c r="H84" i="16" l="1"/>
  <c r="E85" i="16" s="1"/>
  <c r="GG85" i="16"/>
  <c r="G85" i="16" l="1"/>
  <c r="GF85" i="16"/>
  <c r="AH85" i="16"/>
  <c r="AX85" i="16" s="1"/>
  <c r="D85" i="16"/>
  <c r="AS85" i="16" l="1"/>
  <c r="AB85" i="16"/>
  <c r="AC85" i="16"/>
  <c r="AR85" i="16"/>
  <c r="F85" i="16"/>
  <c r="GH85" i="16"/>
  <c r="H85" i="16" l="1"/>
  <c r="E86" i="16" s="1"/>
  <c r="GG86" i="16"/>
  <c r="G86" i="16" s="1"/>
  <c r="AH86" i="16" l="1"/>
  <c r="AX86" i="16" s="1"/>
  <c r="GE86" i="16" l="1"/>
  <c r="GK86" i="18"/>
  <c r="E105" i="18"/>
  <c r="AH105" i="18" s="1"/>
  <c r="AX105" i="18" s="1"/>
  <c r="E105" i="16"/>
  <c r="AH105" i="16" s="1"/>
  <c r="AX105" i="16" s="1"/>
  <c r="GE105" i="16"/>
  <c r="GE106" i="16"/>
  <c r="GE107" i="16"/>
  <c r="GE108" i="16"/>
  <c r="GE109" i="16"/>
  <c r="GE110" i="16"/>
  <c r="GE111" i="16"/>
  <c r="GE112" i="16"/>
  <c r="GE113" i="16"/>
  <c r="GE114" i="16"/>
  <c r="GE115" i="16"/>
  <c r="GF86" i="16" l="1"/>
  <c r="F86" i="16" s="1"/>
  <c r="GE87" i="16"/>
  <c r="GE88" i="16" s="1"/>
  <c r="GE89" i="16" s="1"/>
  <c r="D86" i="16"/>
  <c r="GL86" i="18"/>
  <c r="GK87" i="18"/>
  <c r="D86" i="18"/>
  <c r="GH86" i="16" l="1"/>
  <c r="H86" i="16" s="1"/>
  <c r="E87" i="16" s="1"/>
  <c r="AS86" i="16"/>
  <c r="AB86" i="16"/>
  <c r="AR86" i="16"/>
  <c r="AC86" i="16"/>
  <c r="AR86" i="18"/>
  <c r="AS86" i="18"/>
  <c r="AB86" i="18"/>
  <c r="AC86" i="18"/>
  <c r="GE90" i="16"/>
  <c r="GK88" i="18"/>
  <c r="GN86" i="18"/>
  <c r="F86" i="18"/>
  <c r="GG87" i="16" l="1"/>
  <c r="G87" i="16" s="1"/>
  <c r="GK89" i="18"/>
  <c r="GM87" i="18"/>
  <c r="H86" i="18"/>
  <c r="E87" i="18" s="1"/>
  <c r="GE91" i="16"/>
  <c r="AH87" i="16"/>
  <c r="AX87" i="16" s="1"/>
  <c r="D87" i="16"/>
  <c r="GF87" i="16" l="1"/>
  <c r="F87" i="16" s="1"/>
  <c r="AH87" i="18"/>
  <c r="AX87" i="18" s="1"/>
  <c r="D87" i="18"/>
  <c r="AS87" i="16"/>
  <c r="AB87" i="16"/>
  <c r="AC87" i="16"/>
  <c r="AR87" i="16"/>
  <c r="GK90" i="18"/>
  <c r="G87" i="18"/>
  <c r="GL87" i="18"/>
  <c r="GH87" i="16" l="1"/>
  <c r="F87" i="18"/>
  <c r="GN87" i="18"/>
  <c r="AR87" i="18"/>
  <c r="AB87" i="18"/>
  <c r="AC87" i="18"/>
  <c r="AS87" i="18"/>
  <c r="GK91" i="18"/>
  <c r="GG88" i="16"/>
  <c r="H87" i="16"/>
  <c r="E88" i="16" s="1"/>
  <c r="AH88" i="16" l="1"/>
  <c r="AX88" i="16" s="1"/>
  <c r="D88" i="16"/>
  <c r="GM88" i="18"/>
  <c r="H87" i="18"/>
  <c r="E88" i="18" s="1"/>
  <c r="G88" i="16"/>
  <c r="GF88" i="16"/>
  <c r="AH88" i="18" l="1"/>
  <c r="AX88" i="18" s="1"/>
  <c r="D88" i="18"/>
  <c r="F88" i="16"/>
  <c r="GH88" i="16"/>
  <c r="G88" i="18"/>
  <c r="GL88" i="18"/>
  <c r="AR88" i="16"/>
  <c r="AC88" i="16"/>
  <c r="AB88" i="16"/>
  <c r="AS88" i="16"/>
  <c r="GG89" i="16" l="1"/>
  <c r="H88" i="16"/>
  <c r="E89" i="16" s="1"/>
  <c r="F88" i="18"/>
  <c r="GN88" i="18"/>
  <c r="AS88" i="18"/>
  <c r="AB88" i="18"/>
  <c r="AR88" i="18"/>
  <c r="AC88" i="18"/>
  <c r="GM89" i="18" l="1"/>
  <c r="H88" i="18"/>
  <c r="E89" i="18" s="1"/>
  <c r="AH89" i="16"/>
  <c r="AX89" i="16" s="1"/>
  <c r="D89" i="16"/>
  <c r="G89" i="16"/>
  <c r="GF89" i="16"/>
  <c r="AB89" i="16" l="1"/>
  <c r="AR89" i="16"/>
  <c r="AS89" i="16"/>
  <c r="AC89" i="16"/>
  <c r="AH89" i="18"/>
  <c r="AX89" i="18" s="1"/>
  <c r="D89" i="18"/>
  <c r="F89" i="16"/>
  <c r="GH89" i="16"/>
  <c r="G89" i="18"/>
  <c r="GL89" i="18"/>
  <c r="GG90" i="16" l="1"/>
  <c r="H89" i="16"/>
  <c r="E90" i="16" s="1"/>
  <c r="F89" i="18"/>
  <c r="GN89" i="18"/>
  <c r="AB89" i="18"/>
  <c r="AC89" i="18"/>
  <c r="AR89" i="18"/>
  <c r="AS89" i="18"/>
  <c r="GM90" i="18" l="1"/>
  <c r="H89" i="18"/>
  <c r="E90" i="18" s="1"/>
  <c r="AH90" i="16"/>
  <c r="AX90" i="16" s="1"/>
  <c r="D90" i="16"/>
  <c r="G90" i="16"/>
  <c r="GF90" i="16"/>
  <c r="AH90" i="18" l="1"/>
  <c r="AX90" i="18" s="1"/>
  <c r="D90" i="18"/>
  <c r="G90" i="18"/>
  <c r="GL90" i="18"/>
  <c r="F90" i="16"/>
  <c r="GH90" i="16"/>
  <c r="AB90" i="16"/>
  <c r="AC90" i="16"/>
  <c r="AS90" i="16"/>
  <c r="AR90" i="16"/>
  <c r="GG91" i="16" l="1"/>
  <c r="H90" i="16"/>
  <c r="E91" i="16" s="1"/>
  <c r="F90" i="18"/>
  <c r="GN90" i="18"/>
  <c r="AS90" i="18"/>
  <c r="AC90" i="18"/>
  <c r="AB90" i="18"/>
  <c r="AR90" i="18"/>
  <c r="AH91" i="16" l="1"/>
  <c r="AX91" i="16" s="1"/>
  <c r="D91" i="16"/>
  <c r="GM91" i="18"/>
  <c r="H90" i="18"/>
  <c r="E91" i="18" s="1"/>
  <c r="G91" i="16"/>
  <c r="GF91" i="16"/>
  <c r="F91" i="16" l="1"/>
  <c r="GH91" i="16"/>
  <c r="G91" i="18"/>
  <c r="GL91" i="18"/>
  <c r="AB91" i="16"/>
  <c r="AC91" i="16"/>
  <c r="AS91" i="16"/>
  <c r="AR91" i="16"/>
  <c r="AH91" i="18"/>
  <c r="AX91" i="18" s="1"/>
  <c r="D91" i="18"/>
  <c r="GG92" i="16" l="1"/>
  <c r="H91" i="16"/>
  <c r="E92" i="16" s="1"/>
  <c r="AS91" i="18"/>
  <c r="AR91" i="18"/>
  <c r="AB91" i="18"/>
  <c r="AC91" i="18"/>
  <c r="F91" i="18"/>
  <c r="GN91" i="18"/>
  <c r="G92" i="16" l="1"/>
  <c r="GM92" i="18"/>
  <c r="H91" i="18"/>
  <c r="E92" i="18" s="1"/>
  <c r="AH92" i="16"/>
  <c r="AX92" i="16" s="1"/>
  <c r="AH92" i="18" l="1"/>
  <c r="AX92" i="18" s="1"/>
  <c r="G92" i="18"/>
  <c r="GK92" i="18" l="1"/>
  <c r="D92" i="18" l="1"/>
  <c r="AR92" i="18" s="1"/>
  <c r="GK93" i="18"/>
  <c r="GL92" i="18"/>
  <c r="AS92" i="18" l="1"/>
  <c r="AC92" i="18"/>
  <c r="AB92" i="18"/>
  <c r="GK94" i="18"/>
  <c r="GK95" i="18" s="1"/>
  <c r="GK96" i="18" s="1"/>
  <c r="GN92" i="18"/>
  <c r="F92" i="18"/>
  <c r="H92" i="18" l="1"/>
  <c r="E93" i="18" s="1"/>
  <c r="GM93" i="18"/>
  <c r="GK97" i="18"/>
  <c r="G93" i="18" l="1"/>
  <c r="GL93" i="18"/>
  <c r="AH93" i="18"/>
  <c r="AX93" i="18" s="1"/>
  <c r="D93" i="18"/>
  <c r="AB93" i="18" l="1"/>
  <c r="AS93" i="18"/>
  <c r="AC93" i="18"/>
  <c r="AR93" i="18"/>
  <c r="F93" i="18"/>
  <c r="GN93" i="18"/>
  <c r="GM94" i="18" l="1"/>
  <c r="H93" i="18"/>
  <c r="E94" i="18" s="1"/>
  <c r="AH94" i="18" l="1"/>
  <c r="AX94" i="18" s="1"/>
  <c r="D94" i="18"/>
  <c r="G94" i="18"/>
  <c r="GL94" i="18"/>
  <c r="F94" i="18" l="1"/>
  <c r="GN94" i="18"/>
  <c r="AS94" i="18"/>
  <c r="AC94" i="18"/>
  <c r="AR94" i="18"/>
  <c r="AB94" i="18"/>
  <c r="H94" i="18" l="1"/>
  <c r="E95" i="18" s="1"/>
  <c r="GM95" i="18"/>
  <c r="GL95" i="18" l="1"/>
  <c r="G95" i="18"/>
  <c r="D95" i="18"/>
  <c r="AH95" i="18"/>
  <c r="AX95" i="18" s="1"/>
  <c r="AR95" i="18" l="1"/>
  <c r="AS95" i="18"/>
  <c r="AC95" i="18"/>
  <c r="AB95" i="18"/>
  <c r="F95" i="18"/>
  <c r="GN95" i="18"/>
  <c r="GM96" i="18" l="1"/>
  <c r="H95" i="18"/>
  <c r="E96" i="18" s="1"/>
  <c r="AH96" i="18" l="1"/>
  <c r="AX96" i="18" s="1"/>
  <c r="D96" i="18"/>
  <c r="G96" i="18"/>
  <c r="GL96" i="18"/>
  <c r="F96" i="18" l="1"/>
  <c r="GN96" i="18"/>
  <c r="AB96" i="18"/>
  <c r="AR96" i="18"/>
  <c r="AC96" i="18"/>
  <c r="AS96" i="18"/>
  <c r="GM97" i="18" l="1"/>
  <c r="H96" i="18"/>
  <c r="E97" i="18" s="1"/>
  <c r="D97" i="18" l="1"/>
  <c r="AH97" i="18"/>
  <c r="AX97" i="18" s="1"/>
  <c r="GL97" i="18"/>
  <c r="G97" i="18"/>
  <c r="F97" i="18" l="1"/>
  <c r="GN97" i="18"/>
  <c r="AB97" i="18"/>
  <c r="AS97" i="18"/>
  <c r="AR97" i="18"/>
  <c r="AC97" i="18"/>
  <c r="GM98" i="18" l="1"/>
  <c r="G98" i="18" s="1"/>
  <c r="H97" i="18"/>
  <c r="E98" i="18" s="1"/>
  <c r="AH98" i="18" s="1"/>
  <c r="AX98" i="18" s="1"/>
  <c r="GK99" i="18" l="1"/>
  <c r="GL98" i="18"/>
  <c r="GK98" i="18" s="1"/>
  <c r="D98" i="18" s="1"/>
  <c r="AS98" i="18" s="1"/>
  <c r="AR98" i="18" l="1"/>
  <c r="AB98" i="18"/>
  <c r="AC98" i="18"/>
  <c r="GK100" i="18"/>
  <c r="GK101" i="18" s="1"/>
  <c r="GK102" i="18" s="1"/>
  <c r="GK103" i="18" s="1"/>
  <c r="F98" i="18"/>
  <c r="GN98" i="18"/>
  <c r="H98" i="18" l="1"/>
  <c r="E99" i="18" s="1"/>
  <c r="GM99" i="18"/>
  <c r="G99" i="18" l="1"/>
  <c r="GL99" i="18"/>
  <c r="AH99" i="18"/>
  <c r="AX99" i="18" s="1"/>
  <c r="D99" i="18"/>
  <c r="AR99" i="18" l="1"/>
  <c r="AS99" i="18"/>
  <c r="AB99" i="18"/>
  <c r="AC99" i="18"/>
  <c r="F99" i="18"/>
  <c r="GN99" i="18"/>
  <c r="GM100" i="18" l="1"/>
  <c r="H99" i="18"/>
  <c r="E100" i="18" s="1"/>
  <c r="D100" i="18" l="1"/>
  <c r="AH100" i="18"/>
  <c r="AX100" i="18" s="1"/>
  <c r="G100" i="18"/>
  <c r="GL100" i="18"/>
  <c r="F100" i="18" l="1"/>
  <c r="GN100" i="18"/>
  <c r="AS100" i="18"/>
  <c r="AC100" i="18"/>
  <c r="AR100" i="18"/>
  <c r="AB100" i="18"/>
  <c r="H100" i="18" l="1"/>
  <c r="E101" i="18" s="1"/>
  <c r="GM101" i="18"/>
  <c r="GL101" i="18" l="1"/>
  <c r="G101" i="18"/>
  <c r="D101" i="18"/>
  <c r="AH101" i="18"/>
  <c r="AX101" i="18" s="1"/>
  <c r="AR101" i="18" l="1"/>
  <c r="AC101" i="18"/>
  <c r="AS101" i="18"/>
  <c r="AB101" i="18"/>
  <c r="F101" i="18"/>
  <c r="GN101" i="18"/>
  <c r="GM102" i="18" l="1"/>
  <c r="H101" i="18"/>
  <c r="E102" i="18" s="1"/>
  <c r="AH102" i="18" l="1"/>
  <c r="AX102" i="18" s="1"/>
  <c r="D102" i="18"/>
  <c r="G102" i="18"/>
  <c r="GL102" i="18"/>
  <c r="F102" i="18" l="1"/>
  <c r="GN102" i="18"/>
  <c r="AC102" i="18"/>
  <c r="AR102" i="18"/>
  <c r="AS102" i="18"/>
  <c r="AB102" i="18"/>
  <c r="GM103" i="18" l="1"/>
  <c r="H102" i="18"/>
  <c r="E103" i="18" s="1"/>
  <c r="D103" i="18" l="1"/>
  <c r="AH103" i="18"/>
  <c r="AX103" i="18" s="1"/>
  <c r="GL103" i="18"/>
  <c r="G103" i="18"/>
  <c r="F103" i="18" l="1"/>
  <c r="GN103" i="18"/>
  <c r="AR103" i="18"/>
  <c r="AB103" i="18"/>
  <c r="AS103" i="18"/>
  <c r="AC103" i="18"/>
  <c r="GL104" i="18" l="1"/>
  <c r="GM104" i="18"/>
  <c r="G104" i="18" s="1"/>
  <c r="H56" i="18" s="1"/>
  <c r="H103" i="18"/>
  <c r="E104" i="18" s="1"/>
  <c r="GN104" i="18"/>
  <c r="H104" i="18" s="1"/>
  <c r="GE92" i="16"/>
  <c r="D92" i="16" s="1"/>
  <c r="AR92" i="16" s="1"/>
  <c r="AS92" i="16" l="1"/>
  <c r="GF92" i="16"/>
  <c r="GH92" i="16" s="1"/>
  <c r="BH179" i="18"/>
  <c r="BH148" i="18"/>
  <c r="BH143" i="18"/>
  <c r="BH172" i="18"/>
  <c r="BH140" i="18"/>
  <c r="BH185" i="18"/>
  <c r="BH173" i="18"/>
  <c r="BH158" i="18"/>
  <c r="BH174" i="18"/>
  <c r="BH99" i="18"/>
  <c r="BH84" i="18"/>
  <c r="BH134" i="18"/>
  <c r="BH136" i="18"/>
  <c r="BH159" i="18"/>
  <c r="BH141" i="18"/>
  <c r="BH115" i="18"/>
  <c r="BH164" i="18"/>
  <c r="BH197" i="18"/>
  <c r="BH180" i="18"/>
  <c r="BH121" i="18"/>
  <c r="BH201" i="18"/>
  <c r="BH111" i="18"/>
  <c r="BH130" i="18"/>
  <c r="BH94" i="18"/>
  <c r="BH187" i="18"/>
  <c r="BH81" i="18"/>
  <c r="BH157" i="18"/>
  <c r="BH150" i="18"/>
  <c r="BH92" i="18"/>
  <c r="BH135" i="18"/>
  <c r="BH86" i="18"/>
  <c r="BH119" i="18"/>
  <c r="BH178" i="18"/>
  <c r="BH181" i="18"/>
  <c r="BH125" i="18"/>
  <c r="BH89" i="18"/>
  <c r="BH82" i="18"/>
  <c r="BH189" i="18"/>
  <c r="BH198" i="18"/>
  <c r="BH192" i="18"/>
  <c r="BH131" i="18"/>
  <c r="BH118" i="18"/>
  <c r="BH160" i="18"/>
  <c r="BH176" i="18"/>
  <c r="BH88" i="18"/>
  <c r="BH93" i="18"/>
  <c r="BH188" i="18"/>
  <c r="BH109" i="18"/>
  <c r="BH105" i="18"/>
  <c r="BH167" i="18"/>
  <c r="BH144" i="18"/>
  <c r="BH116" i="18"/>
  <c r="BH161" i="18"/>
  <c r="BH102" i="18"/>
  <c r="BH151" i="18"/>
  <c r="BH162" i="18"/>
  <c r="BH175" i="18"/>
  <c r="BH101" i="18"/>
  <c r="BH193" i="18"/>
  <c r="BH199" i="18"/>
  <c r="BH123" i="18"/>
  <c r="BH124" i="18"/>
  <c r="BH85" i="18"/>
  <c r="BH114" i="18"/>
  <c r="BH153" i="18"/>
  <c r="BH196" i="18"/>
  <c r="BH190" i="18"/>
  <c r="BH169" i="18"/>
  <c r="BH95" i="18"/>
  <c r="BH194" i="18"/>
  <c r="BH186" i="18"/>
  <c r="BH156" i="18"/>
  <c r="BH113" i="18"/>
  <c r="BH182" i="18"/>
  <c r="BH104" i="18"/>
  <c r="BH106" i="18"/>
  <c r="BH139" i="18"/>
  <c r="BH147" i="18"/>
  <c r="BH183" i="18"/>
  <c r="BH127" i="18"/>
  <c r="BH146" i="18"/>
  <c r="BH87" i="18"/>
  <c r="BH171" i="18"/>
  <c r="BH120" i="18"/>
  <c r="BH132" i="18"/>
  <c r="BH129" i="18"/>
  <c r="BH122" i="18"/>
  <c r="BH191" i="18"/>
  <c r="BH96" i="18"/>
  <c r="BH90" i="18"/>
  <c r="BH133" i="18"/>
  <c r="BH163" i="18"/>
  <c r="BH154" i="18"/>
  <c r="BH108" i="18"/>
  <c r="BH177" i="18"/>
  <c r="BH137" i="18"/>
  <c r="BH98" i="18"/>
  <c r="BH110" i="18"/>
  <c r="BH168" i="18"/>
  <c r="BH184" i="18"/>
  <c r="BH166" i="18"/>
  <c r="BH149" i="18"/>
  <c r="BH195" i="18"/>
  <c r="BH155" i="18"/>
  <c r="BH145" i="18"/>
  <c r="BH165" i="18"/>
  <c r="BH200" i="18"/>
  <c r="BH170" i="18"/>
  <c r="BH100" i="18"/>
  <c r="BH142" i="18"/>
  <c r="BH112" i="18"/>
  <c r="BH152" i="18"/>
  <c r="BH126" i="18"/>
  <c r="BH128" i="18"/>
  <c r="BH91" i="18"/>
  <c r="BH103" i="18"/>
  <c r="BH138" i="18"/>
  <c r="BH117" i="18"/>
  <c r="BH107" i="18"/>
  <c r="BH97" i="18"/>
  <c r="BH83" i="18"/>
  <c r="F92" i="16"/>
  <c r="AH104" i="18"/>
  <c r="AX104" i="18" s="1"/>
  <c r="R62" i="18"/>
  <c r="H62" i="18" s="1"/>
  <c r="F104" i="18"/>
  <c r="GK104" i="18"/>
  <c r="D104" i="18" s="1"/>
  <c r="GE93" i="16"/>
  <c r="GE94" i="16" s="1"/>
  <c r="GE95" i="16" s="1"/>
  <c r="GE96" i="16" s="1"/>
  <c r="GE97" i="16" s="1"/>
  <c r="GG93" i="16"/>
  <c r="H92" i="16"/>
  <c r="E93" i="16" s="1"/>
  <c r="AC92" i="16"/>
  <c r="AB92" i="16"/>
  <c r="AR104" i="18" l="1"/>
  <c r="D78" i="18"/>
  <c r="AS104" i="18"/>
  <c r="AB104" i="18"/>
  <c r="H3" i="18" s="1"/>
  <c r="J10" i="18" s="1"/>
  <c r="AC104" i="18"/>
  <c r="D93" i="16"/>
  <c r="AH93" i="16"/>
  <c r="AX93" i="16" s="1"/>
  <c r="G93" i="16"/>
  <c r="GF93" i="16"/>
  <c r="F93" i="16" l="1"/>
  <c r="GH93" i="16"/>
  <c r="AB93" i="16"/>
  <c r="AC93" i="16"/>
  <c r="AR93" i="16"/>
  <c r="AS93" i="16"/>
  <c r="GG94" i="16" l="1"/>
  <c r="H93" i="16"/>
  <c r="E94" i="16" s="1"/>
  <c r="GF94" i="16" l="1"/>
  <c r="G94" i="16"/>
  <c r="D94" i="16"/>
  <c r="AH94" i="16"/>
  <c r="AX94" i="16" s="1"/>
  <c r="AB94" i="16" l="1"/>
  <c r="AC94" i="16"/>
  <c r="AR94" i="16"/>
  <c r="AS94" i="16"/>
  <c r="F94" i="16"/>
  <c r="GH94" i="16"/>
  <c r="GG95" i="16" l="1"/>
  <c r="H94" i="16"/>
  <c r="E95" i="16" s="1"/>
  <c r="D95" i="16" l="1"/>
  <c r="AH95" i="16"/>
  <c r="AX95" i="16" s="1"/>
  <c r="G95" i="16"/>
  <c r="GF95" i="16"/>
  <c r="F95" i="16" l="1"/>
  <c r="GH95" i="16"/>
  <c r="AB95" i="16"/>
  <c r="AR95" i="16"/>
  <c r="AS95" i="16"/>
  <c r="AC95" i="16"/>
  <c r="GG96" i="16" l="1"/>
  <c r="H95" i="16"/>
  <c r="E96" i="16" s="1"/>
  <c r="GF96" i="16" l="1"/>
  <c r="G96" i="16"/>
  <c r="D96" i="16"/>
  <c r="AH96" i="16"/>
  <c r="AX96" i="16" s="1"/>
  <c r="AB96" i="16" l="1"/>
  <c r="AC96" i="16"/>
  <c r="AR96" i="16"/>
  <c r="AS96" i="16"/>
  <c r="F96" i="16"/>
  <c r="GH96" i="16"/>
  <c r="H96" i="16" l="1"/>
  <c r="E97" i="16" s="1"/>
  <c r="GG97" i="16"/>
  <c r="G97" i="16" l="1"/>
  <c r="GF97" i="16"/>
  <c r="D97" i="16"/>
  <c r="AH97" i="16"/>
  <c r="AX97" i="16" s="1"/>
  <c r="AB97" i="16" l="1"/>
  <c r="AC97" i="16"/>
  <c r="AR97" i="16"/>
  <c r="AS97" i="16"/>
  <c r="F97" i="16"/>
  <c r="GH97" i="16"/>
  <c r="GG98" i="16" l="1"/>
  <c r="G98" i="16" s="1"/>
  <c r="H97" i="16"/>
  <c r="E98" i="16" s="1"/>
  <c r="AH98" i="16" l="1"/>
  <c r="AX98" i="16" s="1"/>
  <c r="GE99" i="16" l="1"/>
  <c r="GF98" i="16"/>
  <c r="GE98" i="16" s="1"/>
  <c r="D98" i="16" s="1"/>
  <c r="AB98" i="16" s="1"/>
  <c r="AS98" i="16" l="1"/>
  <c r="AC98" i="16"/>
  <c r="AR98" i="16"/>
  <c r="GE100" i="16"/>
  <c r="GH98" i="16"/>
  <c r="F98" i="16"/>
  <c r="GE101" i="16" l="1"/>
  <c r="H98" i="16"/>
  <c r="E99" i="16" s="1"/>
  <c r="GG99" i="16"/>
  <c r="AH99" i="16" l="1"/>
  <c r="AX99" i="16" s="1"/>
  <c r="D99" i="16"/>
  <c r="G99" i="16"/>
  <c r="GF99" i="16"/>
  <c r="GE102" i="16"/>
  <c r="GE103" i="16" l="1"/>
  <c r="F99" i="16"/>
  <c r="GH99" i="16"/>
  <c r="AR99" i="16"/>
  <c r="AB99" i="16"/>
  <c r="AS99" i="16"/>
  <c r="AC99" i="16"/>
  <c r="GG100" i="16" l="1"/>
  <c r="H99" i="16"/>
  <c r="E100" i="16" s="1"/>
  <c r="AH100" i="16" l="1"/>
  <c r="AX100" i="16" s="1"/>
  <c r="D100" i="16"/>
  <c r="G100" i="16"/>
  <c r="GF100" i="16"/>
  <c r="AC100" i="16" l="1"/>
  <c r="AS100" i="16"/>
  <c r="AB100" i="16"/>
  <c r="AR100" i="16"/>
  <c r="F100" i="16"/>
  <c r="GH100" i="16"/>
  <c r="H100" i="16" l="1"/>
  <c r="E101" i="16" s="1"/>
  <c r="GG101" i="16"/>
  <c r="G101" i="16" l="1"/>
  <c r="GF101" i="16"/>
  <c r="AH101" i="16"/>
  <c r="AX101" i="16" s="1"/>
  <c r="D101" i="16"/>
  <c r="AC101" i="16" l="1"/>
  <c r="AR101" i="16"/>
  <c r="AB101" i="16"/>
  <c r="AS101" i="16"/>
  <c r="F101" i="16"/>
  <c r="GH101" i="16"/>
  <c r="H101" i="16" l="1"/>
  <c r="E102" i="16" s="1"/>
  <c r="GG102" i="16"/>
  <c r="G102" i="16" l="1"/>
  <c r="GF102" i="16"/>
  <c r="AH102" i="16"/>
  <c r="AX102" i="16" s="1"/>
  <c r="D102" i="16"/>
  <c r="AR102" i="16" l="1"/>
  <c r="AS102" i="16"/>
  <c r="AC102" i="16"/>
  <c r="AB102" i="16"/>
  <c r="F102" i="16"/>
  <c r="GH102" i="16"/>
  <c r="H102" i="16" l="1"/>
  <c r="E103" i="16" s="1"/>
  <c r="GG103" i="16"/>
  <c r="G103" i="16" l="1"/>
  <c r="GF103" i="16"/>
  <c r="AH103" i="16"/>
  <c r="AX103" i="16" s="1"/>
  <c r="D103" i="16"/>
  <c r="AB103" i="16" l="1"/>
  <c r="AR103" i="16"/>
  <c r="AS103" i="16"/>
  <c r="AC103" i="16"/>
  <c r="F103" i="16"/>
  <c r="GH103" i="16"/>
  <c r="GF104" i="16" l="1"/>
  <c r="GH104" i="16" s="1"/>
  <c r="H104" i="16" s="1"/>
  <c r="H103" i="16"/>
  <c r="E104" i="16" s="1"/>
  <c r="GG104" i="16"/>
  <c r="G104" i="16" s="1"/>
  <c r="H56" i="16" s="1"/>
  <c r="BH95" i="16" l="1"/>
  <c r="BH132" i="16"/>
  <c r="BH160" i="16"/>
  <c r="BH182" i="16"/>
  <c r="BH139" i="16"/>
  <c r="BH106" i="16"/>
  <c r="BH162" i="16"/>
  <c r="BH122" i="16"/>
  <c r="BH110" i="16"/>
  <c r="BH142" i="16"/>
  <c r="BH183" i="16"/>
  <c r="BH178" i="16"/>
  <c r="BH119" i="16"/>
  <c r="BH111" i="16"/>
  <c r="BH179" i="16"/>
  <c r="BH94" i="16"/>
  <c r="BH112" i="16"/>
  <c r="BH138" i="16"/>
  <c r="BH158" i="16"/>
  <c r="BH86" i="16"/>
  <c r="BH165" i="16"/>
  <c r="BH175" i="16"/>
  <c r="BH127" i="16"/>
  <c r="BH153" i="16"/>
  <c r="BH130" i="16"/>
  <c r="BH151" i="16"/>
  <c r="BH84" i="16"/>
  <c r="BH87" i="16"/>
  <c r="BH92" i="16"/>
  <c r="BH134" i="16"/>
  <c r="BH163" i="16"/>
  <c r="BH101" i="16"/>
  <c r="BH125" i="16"/>
  <c r="BH137" i="16"/>
  <c r="BH129" i="16"/>
  <c r="BH177" i="16"/>
  <c r="BH121" i="16"/>
  <c r="BH195" i="16"/>
  <c r="BH96" i="16"/>
  <c r="BH159" i="16"/>
  <c r="BH81" i="16"/>
  <c r="BH190" i="16"/>
  <c r="BH186" i="16"/>
  <c r="BH89" i="16"/>
  <c r="BH174" i="16"/>
  <c r="BH166" i="16"/>
  <c r="BH149" i="16"/>
  <c r="BH103" i="16"/>
  <c r="BH188" i="16"/>
  <c r="BH123" i="16"/>
  <c r="BH82" i="16"/>
  <c r="BH200" i="16"/>
  <c r="BH164" i="16"/>
  <c r="BH131" i="16"/>
  <c r="BH184" i="16"/>
  <c r="BH102" i="16"/>
  <c r="BH196" i="16"/>
  <c r="BH120" i="16"/>
  <c r="BH90" i="16"/>
  <c r="BH161" i="16"/>
  <c r="BH169" i="16"/>
  <c r="BH194" i="16"/>
  <c r="BH136" i="16"/>
  <c r="BH115" i="16"/>
  <c r="BH114" i="16"/>
  <c r="BH150" i="16"/>
  <c r="BH105" i="16"/>
  <c r="BH91" i="16"/>
  <c r="BH118" i="16"/>
  <c r="BH192" i="16"/>
  <c r="BH116" i="16"/>
  <c r="BH128" i="16"/>
  <c r="BH113" i="16"/>
  <c r="BH93" i="16"/>
  <c r="BH176" i="16"/>
  <c r="BH187" i="16"/>
  <c r="BH147" i="16"/>
  <c r="BH185" i="16"/>
  <c r="BH197" i="16"/>
  <c r="BH135" i="16"/>
  <c r="BH104" i="16"/>
  <c r="BH100" i="16"/>
  <c r="BH144" i="16"/>
  <c r="BH85" i="16"/>
  <c r="BH88" i="16"/>
  <c r="BH198" i="16"/>
  <c r="BH141" i="16"/>
  <c r="BH154" i="16"/>
  <c r="BH83" i="16"/>
  <c r="BH189" i="16"/>
  <c r="BH167" i="16"/>
  <c r="BH98" i="16"/>
  <c r="BH124" i="16"/>
  <c r="BH180" i="16"/>
  <c r="BH168" i="16"/>
  <c r="BH109" i="16"/>
  <c r="BH172" i="16"/>
  <c r="BH173" i="16"/>
  <c r="BH145" i="16"/>
  <c r="BH143" i="16"/>
  <c r="BH108" i="16"/>
  <c r="BH133" i="16"/>
  <c r="BH201" i="16"/>
  <c r="BH148" i="16"/>
  <c r="BH191" i="16"/>
  <c r="BH157" i="16"/>
  <c r="BH126" i="16"/>
  <c r="BH152" i="16"/>
  <c r="BH117" i="16"/>
  <c r="BH99" i="16"/>
  <c r="BH181" i="16"/>
  <c r="BH155" i="16"/>
  <c r="BH140" i="16"/>
  <c r="BH199" i="16"/>
  <c r="BH170" i="16"/>
  <c r="BH107" i="16"/>
  <c r="BH193" i="16"/>
  <c r="BH146" i="16"/>
  <c r="BH171" i="16"/>
  <c r="BH97" i="16"/>
  <c r="BH156" i="16"/>
  <c r="AH104" i="16"/>
  <c r="AX104" i="16" s="1"/>
  <c r="R62" i="16"/>
  <c r="H62" i="16" s="1"/>
  <c r="F104" i="16"/>
  <c r="GE104" i="16"/>
  <c r="D104" i="16" s="1"/>
  <c r="AR104" i="16" l="1"/>
  <c r="AB104" i="16"/>
  <c r="H3" i="16" s="1"/>
  <c r="AS104" i="16"/>
  <c r="AC104" i="16"/>
  <c r="R3" i="16" s="1"/>
  <c r="D78" i="16"/>
  <c r="D77" i="16"/>
  <c r="J32" i="7" l="1"/>
  <c r="B32" i="7" s="1"/>
  <c r="J10" i="16"/>
  <c r="O87" i="7" l="1"/>
  <c r="B89" i="7"/>
  <c r="B91" i="7" s="1"/>
  <c r="B9" i="15" s="1"/>
  <c r="P87" i="7"/>
  <c r="B159" i="7"/>
  <c r="H159" i="7"/>
  <c r="K36" i="12" s="1"/>
  <c r="E159" i="7"/>
  <c r="H36" i="12" s="1"/>
  <c r="S90" i="7" l="1"/>
  <c r="J96" i="7" s="1"/>
  <c r="Q90" i="7"/>
  <c r="J95" i="7" s="1"/>
  <c r="S87" i="7"/>
  <c r="J98" i="7" s="1"/>
  <c r="T90" i="7"/>
  <c r="J97" i="7" s="1"/>
  <c r="K97" i="7" l="1"/>
  <c r="B5" i="15"/>
  <c r="K96" i="7"/>
  <c r="B4" i="15"/>
  <c r="K98" i="7"/>
  <c r="J99" i="7"/>
  <c r="K95" i="7"/>
  <c r="B100" i="7" s="1"/>
  <c r="B3" i="15"/>
</calcChain>
</file>

<file path=xl/sharedStrings.xml><?xml version="1.0" encoding="utf-8"?>
<sst xmlns="http://schemas.openxmlformats.org/spreadsheetml/2006/main" count="1844" uniqueCount="657">
  <si>
    <t>სახელი და გვარი:</t>
  </si>
  <si>
    <t>საქმიანობის სფერო:</t>
  </si>
  <si>
    <t>საქმიანობის მისამართი:</t>
  </si>
  <si>
    <t>მოთხოვნილი სესხის მონაცემები</t>
  </si>
  <si>
    <t>სესხის თანხა:</t>
  </si>
  <si>
    <t>სესხის ვადა (თვე):</t>
  </si>
  <si>
    <t>ერთწლიანი კულტურა 1</t>
  </si>
  <si>
    <t>ერთწლიანი კულტურა 2</t>
  </si>
  <si>
    <t>ერთწლიანი კულტურა 3</t>
  </si>
  <si>
    <t>მრავალწლიანი კულტურა 1</t>
  </si>
  <si>
    <t>მრავალწლიანი კულტურა 2</t>
  </si>
  <si>
    <t>მრავალწლიანი კულტურა 3</t>
  </si>
  <si>
    <t>მეცხოველეობა 1</t>
  </si>
  <si>
    <t>მეცხოველეობა 2</t>
  </si>
  <si>
    <t>მეცხოველეობა 3</t>
  </si>
  <si>
    <t>შემოსავალი</t>
  </si>
  <si>
    <t>მოგება</t>
  </si>
  <si>
    <t>სოფლის მეურნეობის დარგი</t>
  </si>
  <si>
    <t>მოსავლიანობა
(1ჰა-ზე)</t>
  </si>
  <si>
    <t>ფასი</t>
  </si>
  <si>
    <t>ფართობი
(ჰა)</t>
  </si>
  <si>
    <t>ხარჯების წილი შემოსავლებში</t>
  </si>
  <si>
    <t>თვითღირებულება</t>
  </si>
  <si>
    <t>ბადრიჯანი</t>
  </si>
  <si>
    <t>იონჯა</t>
  </si>
  <si>
    <t>კარტოფილი</t>
  </si>
  <si>
    <t>კიტრი გრუნტის</t>
  </si>
  <si>
    <t>კომბოსტო</t>
  </si>
  <si>
    <t>ლობიო</t>
  </si>
  <si>
    <t>ლობიო (სათბური)</t>
  </si>
  <si>
    <t>მარწყვი</t>
  </si>
  <si>
    <t>მზესუმზირა</t>
  </si>
  <si>
    <t>მწვანილი</t>
  </si>
  <si>
    <t>ნესვი</t>
  </si>
  <si>
    <t>ნიორი</t>
  </si>
  <si>
    <t>პომიდორი გრუნტის</t>
  </si>
  <si>
    <t>საზამთრო</t>
  </si>
  <si>
    <t>სიმინდი ჰიბრიდი</t>
  </si>
  <si>
    <t>სოიო</t>
  </si>
  <si>
    <t>სტაფილო</t>
  </si>
  <si>
    <t xml:space="preserve">ქერი </t>
  </si>
  <si>
    <t xml:space="preserve">შვრია </t>
  </si>
  <si>
    <t>ცერეცო</t>
  </si>
  <si>
    <t>წიწაკა სამწნილე</t>
  </si>
  <si>
    <t>ჭარხალი</t>
  </si>
  <si>
    <t>ხახვი</t>
  </si>
  <si>
    <t xml:space="preserve">ხორბალი </t>
  </si>
  <si>
    <t>ატამი</t>
  </si>
  <si>
    <t>ალუჩა</t>
  </si>
  <si>
    <t>ბალი/ალუბალი</t>
  </si>
  <si>
    <t>გარგარი</t>
  </si>
  <si>
    <t>დაფნა ნედლი</t>
  </si>
  <si>
    <t>დაფნა ხმელი</t>
  </si>
  <si>
    <t>ვაშლი ინტენსიური</t>
  </si>
  <si>
    <t>ვაშლი ქართული</t>
  </si>
  <si>
    <t>თხილი</t>
  </si>
  <si>
    <t>კაკალი</t>
  </si>
  <si>
    <t>კივი</t>
  </si>
  <si>
    <t>კომში</t>
  </si>
  <si>
    <t>ლიმონი</t>
  </si>
  <si>
    <t>მანდარინი</t>
  </si>
  <si>
    <t>მოცვი</t>
  </si>
  <si>
    <t>მოცხარი</t>
  </si>
  <si>
    <t>მსხალი</t>
  </si>
  <si>
    <t>ჟოლო</t>
  </si>
  <si>
    <t>რქაწითელი</t>
  </si>
  <si>
    <t>საფერავი</t>
  </si>
  <si>
    <t>ფეიხო</t>
  </si>
  <si>
    <t>ფორთოხალი</t>
  </si>
  <si>
    <t>ქლიავი</t>
  </si>
  <si>
    <t>ხურმა/კარალიოკი</t>
  </si>
  <si>
    <t>ბროილერი რეალიზაცია</t>
  </si>
  <si>
    <t>დედა ღორები  (გოჭის რეალიზაცია)</t>
  </si>
  <si>
    <t>კალმახი (ტონა)</t>
  </si>
  <si>
    <t>კვერცხის რეალიზაცია</t>
  </si>
  <si>
    <t>მეწველი ძროხა</t>
  </si>
  <si>
    <t>მოზვრების სუქება</t>
  </si>
  <si>
    <t>ტბის თევზი</t>
  </si>
  <si>
    <t>ფუტკარი</t>
  </si>
  <si>
    <t>ღორების სუქება</t>
  </si>
  <si>
    <t>ცხვარი</t>
  </si>
  <si>
    <t>ცხვრის ყველი</t>
  </si>
  <si>
    <t>სერვის ცენტრი:</t>
  </si>
  <si>
    <t>მსესხებლის მონაცემები</t>
  </si>
  <si>
    <t>პირადი ნომერი</t>
  </si>
  <si>
    <t>საქმიანობის ტიპი:</t>
  </si>
  <si>
    <t>ვაჭრობა</t>
  </si>
  <si>
    <t>წარმოება</t>
  </si>
  <si>
    <t>მომსახურება (ტრანსპორტი)</t>
  </si>
  <si>
    <t>მომსახურება (სხვა)</t>
  </si>
  <si>
    <t>აგრო</t>
  </si>
  <si>
    <t>ბულგალური წიწაკა</t>
  </si>
  <si>
    <t>გრაფიკის ტიპი:</t>
  </si>
  <si>
    <t>დიახ</t>
  </si>
  <si>
    <t>არა</t>
  </si>
  <si>
    <t>თელავი</t>
  </si>
  <si>
    <t>წნორი</t>
  </si>
  <si>
    <t>გურჯაანი</t>
  </si>
  <si>
    <t>ლაგოდეხი</t>
  </si>
  <si>
    <t>მარნეული</t>
  </si>
  <si>
    <t>ბოლნისი</t>
  </si>
  <si>
    <t>დმანისი</t>
  </si>
  <si>
    <t>ვარკეთილი</t>
  </si>
  <si>
    <t>ლილო</t>
  </si>
  <si>
    <t>საგარეჯო</t>
  </si>
  <si>
    <t>რუსთავი</t>
  </si>
  <si>
    <t>გლდანი</t>
  </si>
  <si>
    <t>კასპი</t>
  </si>
  <si>
    <t>ხაშური</t>
  </si>
  <si>
    <t>ზესტაფონი</t>
  </si>
  <si>
    <t>ამბროლაური</t>
  </si>
  <si>
    <t>ახალქალაქი</t>
  </si>
  <si>
    <t>ბაღდათი</t>
  </si>
  <si>
    <t>ფოთი</t>
  </si>
  <si>
    <t>სენაკი</t>
  </si>
  <si>
    <t>ზუგდიდი</t>
  </si>
  <si>
    <t>ბათუმი</t>
  </si>
  <si>
    <t>ხელვაჩაური</t>
  </si>
  <si>
    <t>ქობულეთი</t>
  </si>
  <si>
    <t>ხულო</t>
  </si>
  <si>
    <t>ჩხოროწყუ</t>
  </si>
  <si>
    <t>დიდუბე</t>
  </si>
  <si>
    <t>ახმეტა</t>
  </si>
  <si>
    <t>ახალციხე</t>
  </si>
  <si>
    <t>სამტრედია</t>
  </si>
  <si>
    <t>საჩხერე</t>
  </si>
  <si>
    <t>ჭიათურა</t>
  </si>
  <si>
    <t>ქუთაისი 2</t>
  </si>
  <si>
    <t>სესხის თანხა</t>
  </si>
  <si>
    <t>გრაფიკის ტიპი</t>
  </si>
  <si>
    <t>სესხის ვადა</t>
  </si>
  <si>
    <t>სესხის ვალუტა</t>
  </si>
  <si>
    <t>სესხის გაცემის თარიღი</t>
  </si>
  <si>
    <t>ძირი</t>
  </si>
  <si>
    <t>აირჩიეთ კულტურა</t>
  </si>
  <si>
    <t>ჰექტარი/რაოდენობა</t>
  </si>
  <si>
    <t>კარტოფილი (სათბური)</t>
  </si>
  <si>
    <t>კიტრი (სათბური)</t>
  </si>
  <si>
    <t>კომბოსტო ყვავილოვანი</t>
  </si>
  <si>
    <t>პომიდორი (სათბური)</t>
  </si>
  <si>
    <t>სიმინდი ქართული</t>
  </si>
  <si>
    <t>ბროწეული</t>
  </si>
  <si>
    <t>ქალაქი</t>
  </si>
  <si>
    <t>სოფელი</t>
  </si>
  <si>
    <t>GEL</t>
  </si>
  <si>
    <t>დამატებითი მონაცემები</t>
  </si>
  <si>
    <t>ბიზნეს მონაცემები:</t>
  </si>
  <si>
    <t>პირველი გადახდის თარიღი:</t>
  </si>
  <si>
    <t>ხელფასი</t>
  </si>
  <si>
    <t>გზავნილი</t>
  </si>
  <si>
    <t>სახელი გვარი</t>
  </si>
  <si>
    <t>ნაშთი</t>
  </si>
  <si>
    <t>რეფინანსირება</t>
  </si>
  <si>
    <t>სესხი/განვადება</t>
  </si>
  <si>
    <t>საკრედიტო ბარათი/ოვერდრაფტი</t>
  </si>
  <si>
    <t>საოჯახო ხარჯი</t>
  </si>
  <si>
    <t>გაუნაწილებელი მოგება</t>
  </si>
  <si>
    <t>წმინდა მოგება</t>
  </si>
  <si>
    <t>რისკის ხარისხი</t>
  </si>
  <si>
    <t>სასესხო ვალდებულებები სესხის გაცემის მომენტში</t>
  </si>
  <si>
    <t>დამტკიცებული</t>
  </si>
  <si>
    <t>შეცდომით დარეგისტრირებული განაცხადი</t>
  </si>
  <si>
    <t>კლიენტმა უარი თქვა კრედიტის გატანაზე</t>
  </si>
  <si>
    <t>საკრედიტო ისტორია ან ნეგატიური დახასიათება</t>
  </si>
  <si>
    <t>მაღალრისკიანი ბიზნეს გეგმა</t>
  </si>
  <si>
    <t>მაღალი ლევერაჟი ან/და სესხის მომსახურეობის სუსტი მაჩვენებელი</t>
  </si>
  <si>
    <t>არასაკმარისი უზრუნველყოფა</t>
  </si>
  <si>
    <t>სხვა</t>
  </si>
  <si>
    <t>დავით ბოლოთაშვილი</t>
  </si>
  <si>
    <t>გიორგი ყრუაშვილი</t>
  </si>
  <si>
    <t>ალექსანდრე ხვედელიანი</t>
  </si>
  <si>
    <t>შენგელი გორელაშვილი</t>
  </si>
  <si>
    <t>გიორგი ბოლქვაძე</t>
  </si>
  <si>
    <t>ბექა გოგიძე</t>
  </si>
  <si>
    <t>თამარი აბულაძე</t>
  </si>
  <si>
    <t>ნინო ქართველიშვილი</t>
  </si>
  <si>
    <t>ნულოვანი საშეღავათო</t>
  </si>
  <si>
    <t>თანხმობა</t>
  </si>
  <si>
    <t>თანხმობა ცვლილებით</t>
  </si>
  <si>
    <t>უარყოფა</t>
  </si>
  <si>
    <t>ახალი სესხი</t>
  </si>
  <si>
    <t>განახლებული სესხი</t>
  </si>
  <si>
    <t>პარარელური სესხი</t>
  </si>
  <si>
    <t>USD</t>
  </si>
  <si>
    <t>ხარჯი</t>
  </si>
  <si>
    <t>პერს. საბ. მომს. სც (ვაკე)</t>
  </si>
  <si>
    <t>ეფექტური საპროცენტო განაკვეთის (ესგ) და სესხის გრაფიკის კალკულატორი</t>
  </si>
  <si>
    <t>ესგ ლარის გაუფასურების გათვალისწინებით</t>
  </si>
  <si>
    <t>ეფექტური საპროცენტო განაკვეთი (ესგ) გახარჯვით</t>
  </si>
  <si>
    <t>გრაფიკის/სესხის ტიპი</t>
  </si>
  <si>
    <t>ანუიტეტური</t>
  </si>
  <si>
    <t>დოკ. ხელფასი</t>
  </si>
  <si>
    <t>სერვის პაკეტის საკომისიო (ლარი - თვეში)</t>
  </si>
  <si>
    <t>თანხის განაღდების საკომისიო %</t>
  </si>
  <si>
    <t>სებ-ის GEL/USD გაცვლითი კურსი</t>
  </si>
  <si>
    <t>სიც. დაზღვევის საკომისიო</t>
  </si>
  <si>
    <t>წლიური საპროცენტო განაკვეთი</t>
  </si>
  <si>
    <t>წლიური მომსახურების საკომისიო (ლარი)</t>
  </si>
  <si>
    <t>წელი</t>
  </si>
  <si>
    <t>თვე</t>
  </si>
  <si>
    <t>რიცხვი</t>
  </si>
  <si>
    <t>სესხის გრაფიკი/თანხა</t>
  </si>
  <si>
    <t>სესხის %/საკომისიო</t>
  </si>
  <si>
    <t>რეგულარული გადახდის რიცხვი</t>
  </si>
  <si>
    <t>ფიქსირებული</t>
  </si>
  <si>
    <t>იპ./გირ. რეგ./გაუქმება/სხვა ხარჯი (ლარი)</t>
  </si>
  <si>
    <t>ახალი/რეფ. სესხის გაცემის თარიღი</t>
  </si>
  <si>
    <t>პირველი გადახდის თარიღი</t>
  </si>
  <si>
    <t>Refinanced/Restructured Loans</t>
  </si>
  <si>
    <t>ორიგინალ ვალუტაში ორიგინალი გრაფიკები</t>
  </si>
  <si>
    <t>გალარებული ეფექტურისთვის</t>
  </si>
  <si>
    <t>ბიჯი</t>
  </si>
  <si>
    <t>თარიღი</t>
  </si>
  <si>
    <t>დაფარვა</t>
  </si>
  <si>
    <t>დაზღვევა</t>
  </si>
  <si>
    <t>დარიცხ. %</t>
  </si>
  <si>
    <t>დაფ. გაუფ.</t>
  </si>
  <si>
    <t>გახარჯვით</t>
  </si>
  <si>
    <t>გაუფ. გახარჯვით</t>
  </si>
  <si>
    <t>სერვის პეკი</t>
  </si>
  <si>
    <t>სიც. დაზღვევა</t>
  </si>
  <si>
    <t>ნარჩენი ძირი</t>
  </si>
  <si>
    <t xml:space="preserve"> ლარის 15%-იანი გაუფასურების ინდექსი</t>
  </si>
  <si>
    <t>დასვენების დღეები</t>
  </si>
  <si>
    <t>საშეღავათო</t>
  </si>
  <si>
    <t>სამომხმარებლო</t>
  </si>
  <si>
    <t>ბიზნეს ოვერდრაფტი</t>
  </si>
  <si>
    <t>სესხის ტიპი</t>
  </si>
  <si>
    <t>რეფინ/რესტ</t>
  </si>
  <si>
    <t>Range &gt;=</t>
  </si>
  <si>
    <t>Range &lt;</t>
  </si>
  <si>
    <t>Interest Rate</t>
  </si>
  <si>
    <t>Range USD &gt;=</t>
  </si>
  <si>
    <t>Range USD &lt;=</t>
  </si>
  <si>
    <t>Min</t>
  </si>
  <si>
    <t>Cashdesk withdrowal Fee</t>
  </si>
  <si>
    <t>Package</t>
  </si>
  <si>
    <t>Contr. End Term</t>
  </si>
  <si>
    <t>Prep %</t>
  </si>
  <si>
    <t>I გრაფიკი</t>
  </si>
  <si>
    <t>I გრაფიკის დანამატი</t>
  </si>
  <si>
    <t>II გრაფიკი</t>
  </si>
  <si>
    <t>II გრაფიკის დანამატი</t>
  </si>
  <si>
    <t>III გრაფიკი</t>
  </si>
  <si>
    <t>III გრაფიკის დანამატი</t>
  </si>
  <si>
    <t>IV გრაფიკი</t>
  </si>
  <si>
    <t>IV გრაფიკის დანამატი</t>
  </si>
  <si>
    <t>V გრაფიკი</t>
  </si>
  <si>
    <t>V გრაფიკის დანამატი</t>
  </si>
  <si>
    <t>VI გრაფიკი</t>
  </si>
  <si>
    <t>VI გრაფიკის დანამატი</t>
  </si>
  <si>
    <t>VII გრაფიკი</t>
  </si>
  <si>
    <t>VII გრაფიკის დანამატი</t>
  </si>
  <si>
    <t>VIII გრაფიკი</t>
  </si>
  <si>
    <t>VIII გრაფიკის დანამატი</t>
  </si>
  <si>
    <t>IX გრაფიკი</t>
  </si>
  <si>
    <t>IX გრაფიკის დანამატი</t>
  </si>
  <si>
    <t>X გრაფიკი</t>
  </si>
  <si>
    <t>კი</t>
  </si>
  <si>
    <t>Overdraft</t>
  </si>
  <si>
    <t>0 - 6</t>
  </si>
  <si>
    <t>შემოს. გზავნილებიდან</t>
  </si>
  <si>
    <t>რესტრუქტურიზაცია</t>
  </si>
  <si>
    <t>GEL Interest Rate</t>
  </si>
  <si>
    <t>6 - 12</t>
  </si>
  <si>
    <t>USD Interest Rate</t>
  </si>
  <si>
    <t>12 - 24</t>
  </si>
  <si>
    <t>ასიმეტრიული</t>
  </si>
  <si>
    <t>GEL Approval Fee</t>
  </si>
  <si>
    <t>&gt;24</t>
  </si>
  <si>
    <t>ასიმეტრიული პროცენტით</t>
  </si>
  <si>
    <t>USD Approval Fee</t>
  </si>
  <si>
    <t>POS Payment Fee</t>
  </si>
  <si>
    <t>Annual Service Fee (GEL)</t>
  </si>
  <si>
    <t>დეპოზიტით უზრუნველყოფილი</t>
  </si>
  <si>
    <t>ATM Cash withdrowal Fee in Partner Banks (GEL)</t>
  </si>
  <si>
    <t>ATM Cash withdrowal Fee in Partner Banks (USD)</t>
  </si>
  <si>
    <t>FINCA Cashdesk withdrowal Fee (GEL)</t>
  </si>
  <si>
    <t>FINCA Cashdesk withdrowal Fee (USD)</t>
  </si>
  <si>
    <t>Credit Card</t>
  </si>
  <si>
    <t>ATM Cash withdrowal Fee (GEL)</t>
  </si>
  <si>
    <t>ATM Cash withdrowal Fee (USD)</t>
  </si>
  <si>
    <t/>
  </si>
  <si>
    <t>Cash Cover</t>
  </si>
  <si>
    <t>ავტორიზაციის ტიპი</t>
  </si>
  <si>
    <t>3.1 ბიზნესის მიმდინარე ხარჯები</t>
  </si>
  <si>
    <t>სესხის მიზნობრიობა</t>
  </si>
  <si>
    <t>პროდუქტი</t>
  </si>
  <si>
    <t>No History</t>
  </si>
  <si>
    <t>E3</t>
  </si>
  <si>
    <t>E2</t>
  </si>
  <si>
    <t>E1</t>
  </si>
  <si>
    <t>D3</t>
  </si>
  <si>
    <t>D2</t>
  </si>
  <si>
    <t>D1</t>
  </si>
  <si>
    <t>C3</t>
  </si>
  <si>
    <t>C2</t>
  </si>
  <si>
    <t>C1</t>
  </si>
  <si>
    <t>B</t>
  </si>
  <si>
    <t>A</t>
  </si>
  <si>
    <t>error</t>
  </si>
  <si>
    <t>ერთწლიანი კულტურა 4</t>
  </si>
  <si>
    <t>ერთწლიანი კულტურა 5</t>
  </si>
  <si>
    <t>მრავალწლიანი კულტურა 4</t>
  </si>
  <si>
    <t>მრავალწლიანი კულტურა 5</t>
  </si>
  <si>
    <t>მეცხოველეობა 4</t>
  </si>
  <si>
    <t>მეცხოველეობა 5</t>
  </si>
  <si>
    <t>გადახდის რიცხვი:</t>
  </si>
  <si>
    <t>გორი</t>
  </si>
  <si>
    <t>საკონტაქტო ტელეფონი</t>
  </si>
  <si>
    <t>მიმდინარე სესხის რეზერვი</t>
  </si>
  <si>
    <t>ახალი სესხის რეზერვი</t>
  </si>
  <si>
    <t>სწრაფი სესხი</t>
  </si>
  <si>
    <t xml:space="preserve"> </t>
  </si>
  <si>
    <t>გაყიდული პროდუქციის ღირებულება (ნავაჭრი)</t>
  </si>
  <si>
    <t>გაყიდული პროდუქციის თვითღირებულება</t>
  </si>
  <si>
    <t>შესყიდვების პერიოდულობა</t>
  </si>
  <si>
    <t>შესყიდვის მოცულობა (ლარში)</t>
  </si>
  <si>
    <t>დღიური ნავაჭრი (ლარში)</t>
  </si>
  <si>
    <t>სამუშაო დღეების რაოდენობა (თვეში)</t>
  </si>
  <si>
    <t>ბოლო შესყიდვის თარიღი</t>
  </si>
  <si>
    <t>კომუნალური ხარჯი</t>
  </si>
  <si>
    <t>ყოველთვიური იჯარა (ლარში)</t>
  </si>
  <si>
    <t>საგადასახადო/სხვა მოსაკრებელი</t>
  </si>
  <si>
    <t>სატრანსპორტო ხარჯი</t>
  </si>
  <si>
    <t>თანამშრომელთა ხელფასები</t>
  </si>
  <si>
    <t>მომსახურეობიდან მიღებული შემოსავალი</t>
  </si>
  <si>
    <t>მგზავრობის ღირებულება/ფასი 1 კმ-ზე</t>
  </si>
  <si>
    <t>მგზავრთა საშუალო რაოდენობა</t>
  </si>
  <si>
    <t>განვლილი მანძილი დღეში/რეისების რაოდენობა, სიგრძე)</t>
  </si>
  <si>
    <t>საწვავის ტიპი,ფასი</t>
  </si>
  <si>
    <t>დღიური შემოსავალი (ლარში)</t>
  </si>
  <si>
    <t>რამდენს წვავს 100კმ-ზე</t>
  </si>
  <si>
    <t>საწვავის ხარჯი (თვის განმავლობაში)</t>
  </si>
  <si>
    <t>მანქანის იჯარის ყოველთვიური გადასახადი</t>
  </si>
  <si>
    <t>სერვისის ხარჯი</t>
  </si>
  <si>
    <t>შეკვეთების რაოდენობა თვეში</t>
  </si>
  <si>
    <t>ერთი შეკვეთის ღირებულება (საშუალოდ)</t>
  </si>
  <si>
    <t>მიღებული შემოსავალი</t>
  </si>
  <si>
    <t>თანხა/ჰა/რაოდენობა</t>
  </si>
  <si>
    <t>კულტურა (აგროს შემთხვევაში)</t>
  </si>
  <si>
    <t>თორნიკე საჯაია</t>
  </si>
  <si>
    <t>3.2 ახალი ბიზნესის დაწყება</t>
  </si>
  <si>
    <t>3.3 სასაქონლო მარაგების ზრდა</t>
  </si>
  <si>
    <t>3.4 კომერციული ფართის შეძენა</t>
  </si>
  <si>
    <t>3.5 დაზგა-დანადგარების შეძენა</t>
  </si>
  <si>
    <t>3.6 აღებული ვალდებულებების დაფინანსება</t>
  </si>
  <si>
    <t>4.1 ავტომობილის შეძენა</t>
  </si>
  <si>
    <t>4.2 სატრანსპორტო საშუალების რემონტი</t>
  </si>
  <si>
    <t xml:space="preserve">მოზიდვის არხი/სახელი გვარი </t>
  </si>
  <si>
    <t>საკრედიტო რეიტინგი</t>
  </si>
  <si>
    <t>კრედიტინფოს პრედიქტორის სქორი</t>
  </si>
  <si>
    <t>სესხის დამტკიცების მეთოდი</t>
  </si>
  <si>
    <t>პენსია</t>
  </si>
  <si>
    <t>ბიზნესი</t>
  </si>
  <si>
    <t>მსესხებელი / პირადი  ან საიდენტიფიკაციო ნომერი</t>
  </si>
  <si>
    <t>მსესხებლის ტიპი</t>
  </si>
  <si>
    <t>ფილიალის დასახელება</t>
  </si>
  <si>
    <t>საკრედიტო ოფიცერი</t>
  </si>
  <si>
    <t>სეხის თანხა/ვალუტა/ვადა (თვე)</t>
  </si>
  <si>
    <t>საშეღავათო პერიოდი (თვე)</t>
  </si>
  <si>
    <t>კრედიტინფოს რისკის კატეგორია</t>
  </si>
  <si>
    <t>საქმიანობის სფერო</t>
  </si>
  <si>
    <t>ვალდებულებები სესხის გაცემამდე</t>
  </si>
  <si>
    <t xml:space="preserve">FINCA Bank-ის საკრედიტო კომიტეტის ოქმი </t>
  </si>
  <si>
    <t>ფინკა</t>
  </si>
  <si>
    <t>ჯიპიაი ჰოლდინგი</t>
  </si>
  <si>
    <t>არდი დაზღვევა</t>
  </si>
  <si>
    <t>აისი ჯგუფი</t>
  </si>
  <si>
    <t>ალფა</t>
  </si>
  <si>
    <t>სასესხო პროდუქტი</t>
  </si>
  <si>
    <t>ფინკა ბანკში შენატანების ჯამი (საშუალო თვეში)GEL</t>
  </si>
  <si>
    <t>სხვა ბანკებში შენატანების ჯამი (საშუალო თვეში)GEL</t>
  </si>
  <si>
    <t>სოფლის მეურნეობა</t>
  </si>
  <si>
    <t>ფინკა ბანკში შენატანების ჯამი სესხის გაცემის შემდეგ (საშუალო თვეში)GEL</t>
  </si>
  <si>
    <t>მოგება/ზარალი</t>
  </si>
  <si>
    <t>ხარჯები</t>
  </si>
  <si>
    <t>კომენტარი</t>
  </si>
  <si>
    <t xml:space="preserve">მსესხებლის დამატებითი შემოსავალი ლარში </t>
  </si>
  <si>
    <t xml:space="preserve">ოჯახის წევრების დამატებითი შემოსავალი ლარში </t>
  </si>
  <si>
    <t>თანამშრომლის სახელი, გვარი/ ტელეფონის #:</t>
  </si>
  <si>
    <t>ძირითადი საქმიანობის ანალიზის ფორმა</t>
  </si>
  <si>
    <t>სახელი და გვარი/ პირადი ნომერი:</t>
  </si>
  <si>
    <t>ფაქტიური მისამართი</t>
  </si>
  <si>
    <t>საცხოვრებელი ადგილი / ოჯახის წევრების რაოდ. / საოჯახო ხარჯი</t>
  </si>
  <si>
    <t>საქმიანობის მისამართი / საქმიანობის ხანგრძლივობა (თვე):</t>
  </si>
  <si>
    <t>ბროკოლი</t>
  </si>
  <si>
    <t>ბულგალური წიწაკა (ყვითელი)</t>
  </si>
  <si>
    <t>ბულგალური წიწაკა (წითელი)</t>
  </si>
  <si>
    <t>გოგრა</t>
  </si>
  <si>
    <t>თამბაქო</t>
  </si>
  <si>
    <t>მაყვალი</t>
  </si>
  <si>
    <t>მიწის თხილი</t>
  </si>
  <si>
    <t>მწვანილი (სათბური)</t>
  </si>
  <si>
    <t>ნუში</t>
  </si>
  <si>
    <t>ტყემალი</t>
  </si>
  <si>
    <t>ციცქა-ცოლიკოური</t>
  </si>
  <si>
    <t>ჭვავი</t>
  </si>
  <si>
    <t>მსესხებლის /ოჯახის წევრის დამატებითი საქმიანობის ანალიზის ფორმა</t>
  </si>
  <si>
    <t>კონკრეტული საქმიანობა:</t>
  </si>
  <si>
    <t>სხვა ხარჯები</t>
  </si>
  <si>
    <t>საშუალო ყოველთვიური შენატანი</t>
  </si>
  <si>
    <t>შემოსავალი ძირითადი საქმიანობიდან</t>
  </si>
  <si>
    <t>მოგება გადასახადების გადახდამდე და საპროცენტო ხარჯებამდე</t>
  </si>
  <si>
    <t>საოპერაციო ხარჯები</t>
  </si>
  <si>
    <t>ცვეთა-ამორტიზაცია</t>
  </si>
  <si>
    <t>UFE-ში შესაყვანი ატრიბუტები</t>
  </si>
  <si>
    <t>აქტივები (სესხის ვალუტაში)</t>
  </si>
  <si>
    <t>კრედიტ-ინფოს სქორი</t>
  </si>
  <si>
    <t>წმინდა მოგება (სესხის ვალუტაში)</t>
  </si>
  <si>
    <t>ვალდებულებები (სესხის ვალუტაში)</t>
  </si>
  <si>
    <t>გაუნაწილებელი მოგება (სესხის ვალუტაში)</t>
  </si>
  <si>
    <t>DEBIT/EBITDA</t>
  </si>
  <si>
    <t>EBIT/Interest Expenses</t>
  </si>
  <si>
    <t>Equity/ assets</t>
  </si>
  <si>
    <t>შემაჯამებელი</t>
  </si>
  <si>
    <t>მიკრო სესხი</t>
  </si>
  <si>
    <t>მიკრო აგრო სესხი</t>
  </si>
  <si>
    <t>მიკრო აგრო "0" სესხი</t>
  </si>
  <si>
    <t>მიკრო სესხი ასიმეტრიული გრაფიკით</t>
  </si>
  <si>
    <t>მცურავგანაკვეთიანი სესხი</t>
  </si>
  <si>
    <t>მცურავგანაკვეთიანი სესხი ასიმეტრიული გრაფიკით</t>
  </si>
  <si>
    <t>საპროცენტო ხარჯი (ბიზნეს სესხები ფინკა ბანკში) სესხის გაცემამდე</t>
  </si>
  <si>
    <t>ბალანსის მონაცემები</t>
  </si>
  <si>
    <t>აქტივი</t>
  </si>
  <si>
    <t>პასივი</t>
  </si>
  <si>
    <t>ნაღდი ფული/დანაზოგი</t>
  </si>
  <si>
    <t>დებიტორები</t>
  </si>
  <si>
    <t>წინასწარ გადახდები</t>
  </si>
  <si>
    <t>სასაქონლო მარაგები/ნედლეული მასალები</t>
  </si>
  <si>
    <t>სატრანსპორტო საშუალება</t>
  </si>
  <si>
    <t>მიწა/შენობა ნაგებოაბა</t>
  </si>
  <si>
    <t>ძირ.საშუალებები/მოწყობილობა დანადგარები</t>
  </si>
  <si>
    <t>კრედიტორული დავალიანება</t>
  </si>
  <si>
    <t>მიმდინარე ვალდებულება (ფინკა)</t>
  </si>
  <si>
    <t>მიმდინარე ვალდებულება (სხვა ორგანიზაციები)</t>
  </si>
  <si>
    <t>სხვა ორგანიზაციებში შენატანების ჯამი სესხის გაცემის შემდეგ (საშუალო თვეში)GEL</t>
  </si>
  <si>
    <t>საპროცენტო ხარჯი (ბიზნეს სესხები სხვა ორგანიზაციაში) სესხის გაცემამდე</t>
  </si>
  <si>
    <t>სხვა ვალდებულებები</t>
  </si>
  <si>
    <t>იჯარა</t>
  </si>
  <si>
    <t>საგადასახადო ვალდებულებები</t>
  </si>
  <si>
    <t>ვალდებულებები სულ</t>
  </si>
  <si>
    <t>აქტივები სულ</t>
  </si>
  <si>
    <t>საკუთარი კაპიტალი</t>
  </si>
  <si>
    <t>პასივები სულ</t>
  </si>
  <si>
    <t>კონკრეტული საქმიანობა</t>
  </si>
  <si>
    <t>საქმიანობის მისამართი</t>
  </si>
  <si>
    <t>უძრავი ქონება</t>
  </si>
  <si>
    <t>კავშირის ტიპი</t>
  </si>
  <si>
    <t>დაფარვადობის კოეფიციენტი</t>
  </si>
  <si>
    <t>თავდებების მონაცემები</t>
  </si>
  <si>
    <t>თავდების ტიპი</t>
  </si>
  <si>
    <t>თავდები 1</t>
  </si>
  <si>
    <t>თავდები 2</t>
  </si>
  <si>
    <t>თავდები 3</t>
  </si>
  <si>
    <t>პარტნიორების/დირექტორის მონცემები მონაცემები</t>
  </si>
  <si>
    <t>პარტნიორი 1</t>
  </si>
  <si>
    <t>პარტნიორი 2</t>
  </si>
  <si>
    <t>დირექტორი</t>
  </si>
  <si>
    <t>წილი საქმიანობაში</t>
  </si>
  <si>
    <t>ადმინისტრაციული ვალები</t>
  </si>
  <si>
    <t>სახეობა</t>
  </si>
  <si>
    <t>შესრულების თარიღი</t>
  </si>
  <si>
    <t>პირადობის მოწმობის ასლი</t>
  </si>
  <si>
    <t>ანგარიშის ამინაწერი/ხელფასის ცნობა/გზავნილების ცნობა</t>
  </si>
  <si>
    <t>ბიზნეს ანალიზთან დაკავშირებული დოკუმენტაცია</t>
  </si>
  <si>
    <t>უძრავ ქონებასთან დაკავშირებული დოკუმენტაცია</t>
  </si>
  <si>
    <t>თავდებობასთან დაკავშირებული დოკუმენტაცია</t>
  </si>
  <si>
    <t>ყვარელი</t>
  </si>
  <si>
    <t>თავდების მონაცემები</t>
  </si>
  <si>
    <t>განაცხადის მიმღები</t>
  </si>
  <si>
    <t>სესხის პირობები 29.08.2018</t>
  </si>
  <si>
    <t>მოთხოვნილი</t>
  </si>
  <si>
    <t>შეთავაზებული</t>
  </si>
  <si>
    <t>თანხა</t>
  </si>
  <si>
    <t>პროცენტი</t>
  </si>
  <si>
    <t>6--10</t>
  </si>
  <si>
    <t>11--14</t>
  </si>
  <si>
    <t>15--23</t>
  </si>
  <si>
    <t>ვადა</t>
  </si>
  <si>
    <t>საკომისიო</t>
  </si>
  <si>
    <t>პროცენტის კორექტირება</t>
  </si>
  <si>
    <t>24</t>
  </si>
  <si>
    <t>ბანკი/მისო დასახელება</t>
  </si>
  <si>
    <t>ვალუტა</t>
  </si>
  <si>
    <t>შენატანი</t>
  </si>
  <si>
    <t>პროცენტი (წლიური)</t>
  </si>
  <si>
    <t>USD/GEL</t>
  </si>
  <si>
    <t>EURO/GEL</t>
  </si>
  <si>
    <t>ვალდებულებები ლარი</t>
  </si>
  <si>
    <t>შენატანი ლარი</t>
  </si>
  <si>
    <t>იპ./გირ. რეგ./გაუქმება (ლარი)</t>
  </si>
  <si>
    <t>სხვა ხარჯები (ლარი)</t>
  </si>
  <si>
    <t>სერვის პაკეტის საკომისიო (ლარი)</t>
  </si>
  <si>
    <t>Commision</t>
  </si>
  <si>
    <t>Life Insurance</t>
  </si>
  <si>
    <t>Business Loans</t>
  </si>
  <si>
    <t>-</t>
  </si>
  <si>
    <t>GEL Life Insurance</t>
  </si>
  <si>
    <t>USD Life Insurance</t>
  </si>
  <si>
    <t>Consumer Loans-Documentary</t>
  </si>
  <si>
    <t>Consumer Loans-Money Transfers</t>
  </si>
  <si>
    <t>საშუალო შენატანი</t>
  </si>
  <si>
    <t>გადაწყვეტილება</t>
  </si>
  <si>
    <t xml:space="preserve">გადაწყვეტილების მიმღები პირი </t>
  </si>
  <si>
    <t>პოზიცია</t>
  </si>
  <si>
    <t>გადაწყვეტილების მიმღები პირი 1</t>
  </si>
  <si>
    <t>გადაწყვეტილების მიმღები პირი 2</t>
  </si>
  <si>
    <t>გადაწყვეტილების მიმღები პირი 3</t>
  </si>
  <si>
    <t>წილი</t>
  </si>
  <si>
    <t>სესხის მიზნობრიობა (ძირითადი)</t>
  </si>
  <si>
    <t>სესხის მიზნობრიობა (დეტალური ჩაშლა რამოდენიმე მიზნობრიობის შემთხვევაში თანხის მიხედვით, ჯამი უნდა ემთხვეოდეს სესხის თანხას)</t>
  </si>
  <si>
    <t>დეტალური მიზნობრიობა</t>
  </si>
  <si>
    <t>კომენტარი (საკრედიტო კომიტეტი)</t>
  </si>
  <si>
    <t>ანალიზის ჩატარების თარიღი:</t>
  </si>
  <si>
    <t>კომიტეტის თარიღი (დდ/თთ/წწწწ)</t>
  </si>
  <si>
    <t>ოჯახის წევრი/კავშირის ტიპი/ტელეფონი #</t>
  </si>
  <si>
    <t>საკონტაქტო პირი/კავშირის ტიპი/ტელეფონი #</t>
  </si>
  <si>
    <t>ბიზნეს სესხი/განვადება</t>
  </si>
  <si>
    <t>ბიზნეს საკრედიტო ბარათი/ოვერდრაფტი</t>
  </si>
  <si>
    <t>ბიზნეს ხარჯი</t>
  </si>
  <si>
    <t>ბიზნეს ხარჯი ლარი</t>
  </si>
  <si>
    <t>საფერავი ყვარელი</t>
  </si>
  <si>
    <t>საქონლის დაზღვევის განვადება</t>
  </si>
  <si>
    <t>დასაზღვევი რაოდენობა (სული)</t>
  </si>
  <si>
    <t>მსესხებლის გადასახადი ჯამური</t>
  </si>
  <si>
    <t>ყოველთვიური შენატანი</t>
  </si>
  <si>
    <t>წლიური სადაზღვევო პრემია 400</t>
  </si>
  <si>
    <t>წლიური სადაზღვევო პრემია 600</t>
  </si>
  <si>
    <t>წლიური სადაზღვევო პრემია 800</t>
  </si>
  <si>
    <t>სულ წლიური სადაზღვევო პრემია</t>
  </si>
  <si>
    <t>საკრედიტო პოტენციალი</t>
  </si>
  <si>
    <t>ბილინგის თარიღი</t>
  </si>
  <si>
    <t>ლიმიტი</t>
  </si>
  <si>
    <t>მოქმედების ვადა</t>
  </si>
  <si>
    <t>მაქსიმალური ლიმიტი</t>
  </si>
  <si>
    <t>საპროცენტო განაკვეთი / საკომისიო/დაზღვევა</t>
  </si>
  <si>
    <t>კორექტირება (გამონაკლისის შემთხვევაში) საპროცენტო განაკვეთი/საკომისიო/დაზღვევა</t>
  </si>
  <si>
    <t>საშეღავათო პერიოდი</t>
  </si>
  <si>
    <t>ეფექტური საპროცენტო განაკვეთი</t>
  </si>
  <si>
    <t>კლიენტმა სესხის გაცემის შემდეგ უნდა დაფაროს საგადასახადო გირავნობა (არსებობის შემთხვევაში)?</t>
  </si>
  <si>
    <t>არსებული ვალდებულების ოდენობა (ლარი)</t>
  </si>
  <si>
    <t>კლიენტი  გადამოწმდა საჯაროსამართლებლივი შეზღუდვისა და საგადასახადო გირავნობა/იპოთეკის საიტზე? (naprlmr.reestri.gov.ge)</t>
  </si>
  <si>
    <t>საგადასახადო ვალდებულება/გირავნობა თანხა (ლარი)</t>
  </si>
  <si>
    <t>ვალუტის კურსი (მიმდინარე დღის ოფიციალური კურსი)</t>
  </si>
  <si>
    <t>მიმდინარე ვალდებულებები და თავდებობის ვალდებულებები (2018 წლის 24 დეკემბრიდან აღებულ მიმდინარე სესხებზე) (ფინკა ბანკში)</t>
  </si>
  <si>
    <t>მიმდინარე ვალდებულებები და თავდებობის ვალდებულებები (2018 წლის 24 დეკემბრიდან აღებულ მიმდინარე სესხებზე) (სხვა ორგანიზაციაში)</t>
  </si>
  <si>
    <t>ამონაგები/შემოსავალი</t>
  </si>
  <si>
    <t>თვითღირებულება-</t>
  </si>
  <si>
    <t>საოპერაციო ხარჯები-</t>
  </si>
  <si>
    <t>წმინდა მოგება გადასახადების გადახდის შემდეგ</t>
  </si>
  <si>
    <t>სესხი გაიცემა ანალიზის გარეშე?</t>
  </si>
  <si>
    <t>თავდებობის თანხა</t>
  </si>
  <si>
    <t>ბიზნეს მიზნობრიობა</t>
  </si>
  <si>
    <t>სამომხმარებლო მიზნობრიობა</t>
  </si>
  <si>
    <t>წმინდა შემოსავალი</t>
  </si>
  <si>
    <t>სამომხმარებლო მიზნობრიობით გაცემული თანხის</t>
  </si>
  <si>
    <t>ბიზნეს მიზნობრიობით გაცემული თანხის</t>
  </si>
  <si>
    <t>ბიზნეს</t>
  </si>
  <si>
    <t>მაქსიმალური დასაშვები შენატანი</t>
  </si>
  <si>
    <t>სხვა სესხები</t>
  </si>
  <si>
    <t>ჯამური შენატანი</t>
  </si>
  <si>
    <t>შენატანები</t>
  </si>
  <si>
    <t>მაქსიმალური შესაძლო შენატანი</t>
  </si>
  <si>
    <t>ჯამური შენატანი სესხის გაცემის შემდეგ</t>
  </si>
  <si>
    <t>მაქსიმალური ვადიანობის დაფარვადობის კოეფიციენტი (PTI)</t>
  </si>
  <si>
    <t>1.1  საყოფაცხოვრებო ტექნიკის შეძენა</t>
  </si>
  <si>
    <t>1.2 პირადი კაპიტალდაბანდება</t>
  </si>
  <si>
    <t>1.3 სამედიცინო ხარჯები</t>
  </si>
  <si>
    <t>1.4 კომუნალური ხარჯები</t>
  </si>
  <si>
    <t>1.5 საგანმანათლებლო ხარჯები</t>
  </si>
  <si>
    <t>1.6 სხვა პირადი ნივთების შეძენა</t>
  </si>
  <si>
    <t>1.7 სამოგზაურო ხარჯები</t>
  </si>
  <si>
    <t>1.8 ავეჯის შეძენა</t>
  </si>
  <si>
    <t>1.9 სადღესასწაულო ღონისძიებები</t>
  </si>
  <si>
    <t>2.1 უძრავი ქონების შეძენა</t>
  </si>
  <si>
    <t>2.2 უძრავი ქონების რემონტი</t>
  </si>
  <si>
    <t>შემოსავლის ტიპი</t>
  </si>
  <si>
    <t>მოგება გადასახადების გადახდამდე</t>
  </si>
  <si>
    <t>დაფარვადობის კოეფიციენტი (თავდებობის თანხაზე)</t>
  </si>
  <si>
    <t>მსესხებელი</t>
  </si>
  <si>
    <t>დაფარვადობა</t>
  </si>
  <si>
    <t>ბიზნეს შენატანები</t>
  </si>
  <si>
    <t>მოგება (გადასახადებამდე)</t>
  </si>
  <si>
    <t>მაქსიმალური PTI (სამომხმარებლო)</t>
  </si>
  <si>
    <t>საოჯახო ხარჯი (საარსებო მინიმუმი)</t>
  </si>
  <si>
    <t>მაქსიმალური შენატანი სამომხმარებლო</t>
  </si>
  <si>
    <t>თავისუფალი ნაშთი (თავდებობის თანხის დასაანგარიშებლად)</t>
  </si>
  <si>
    <t>მაქსიმალური შენატანი  ბიზნესი (PTI=90)</t>
  </si>
  <si>
    <t>თავისუფალი ნაშთი სესხის გაცემამდე (ბიზნესის შემთხვევაში)</t>
  </si>
  <si>
    <t>თავისუფალი ნაშთი სესხის გაცემამდე (სამომხმარებლო შემთხვევაში)</t>
  </si>
  <si>
    <t>მოძრავი ქონება/ღირებულება</t>
  </si>
  <si>
    <t>მოძრავი ქონება</t>
  </si>
  <si>
    <t>ცნობები დავალიანების შესახებ ბანკებიდან/მისოდან</t>
  </si>
  <si>
    <t>ქვითრები დავალიანების შესახებ (ონლაინ სესხები)</t>
  </si>
  <si>
    <t>ბანკი/მისო (დასახელება)</t>
  </si>
  <si>
    <t>კომპანია (დასახელება)</t>
  </si>
  <si>
    <t>მომსახურება</t>
  </si>
  <si>
    <t>დასაქმებული/საქმიანობის გარეშე/თვით-დასაქმებული/დანარჩენი  სფეროები</t>
  </si>
  <si>
    <t>ოვერდრაფტი</t>
  </si>
  <si>
    <t>ფლობთ თუ არა სატრანსპორტო საშუალებას?</t>
  </si>
  <si>
    <t>სტანდარტული პირობები</t>
  </si>
  <si>
    <t>ქვემოთ მოცემული უჯრები ივსება მხოლოდ პროცენტის(D30)/დაზღვევის(G30)/საკომისიოს(L30)  კორექტირების შემთხვევაში</t>
  </si>
  <si>
    <t>გთხოვთ აირჩიოთ მიზნობრიობის ტიპი</t>
  </si>
  <si>
    <t>კომენტარები (თავდებ(ებ)ის საქმიანობის მოკლე მიმოხილვა)</t>
  </si>
  <si>
    <t>მაქსიმალური თავისუფალი ნაშთი ვალდებულებების დასაფარად სესხის გაცემის შემდეგ</t>
  </si>
  <si>
    <t>საკონტრაქტო ვადიანობის დაფარვადობის კოეფიციენტი (PTI) (ბიზნესი)</t>
  </si>
  <si>
    <t>საკონტრაქტო ვადიანობის დაფარვადობის კოეფიციენტი (PTI) (სამომხმარებლო)</t>
  </si>
  <si>
    <t>ბიზნეს (მიმდინარე)  ვალდებულებებზე არსებული გადასახადები (პირადი (ყველა) და თავდებობით 2018 წლის 24 დეკემბრიდან აღებულ ბიზნეს სესხებზე)-</t>
  </si>
  <si>
    <t>სამომხმარებლო (მიმდინარე ) ვალდებულებებზე არსებული გადასახადები (პირადი (ყველა) და თავდებობით 2018 წლის 24 დეკემბრიდან აღებულ სამომხმარებლო სესხებზე)-</t>
  </si>
  <si>
    <t>საკრედიტო რისკის კორექტირება %</t>
  </si>
  <si>
    <t>ხბო (ნამატის რეალიზაცია)</t>
  </si>
  <si>
    <t>საკრედიტო რისკის კორექტირება</t>
  </si>
  <si>
    <t>სამოხმარებლო მიზნობრიობით გასაცემი თანხის მაქსიმალური ლიმიტი NBG</t>
  </si>
  <si>
    <t>საბრუნავი საშუალებებისათვის</t>
  </si>
  <si>
    <t>ძირითადი საშუალებებისათვის</t>
  </si>
  <si>
    <t>სამომხმარებლო მიზნობრიობისათვის</t>
  </si>
  <si>
    <t>დამტკიცებული ლიმიტი</t>
  </si>
  <si>
    <t>დამტკიცებული მოქმედების ვადა</t>
  </si>
  <si>
    <t>გადაწყვეტილების მიმღები პირი</t>
  </si>
  <si>
    <t>საცხოვრებელი ადგილი/ოჯახის წევრების რაოდენობა/საოჯახო ხარჯი</t>
  </si>
  <si>
    <t>მიზნობრიობა</t>
  </si>
  <si>
    <t>ოჯახის წევრი მონაცემები</t>
  </si>
  <si>
    <t>შემოსავლის დამადასტურებელი დოკუმენტი რეესტრიდან (RS.GE)</t>
  </si>
  <si>
    <t>ამონაწერი ამოღებულია რეესტრიდან?</t>
  </si>
  <si>
    <t>"გთხოვთ მიუთითო კოდი (Unique Request ID)"</t>
  </si>
  <si>
    <t>შემოსავლების დამადასტურებელი ამონაწერი ამოღებულია რეესტრიდან?</t>
  </si>
  <si>
    <t xml:space="preserve">კოეფიციენტები და ლიმიტები </t>
  </si>
  <si>
    <t>დაფარვადობა ნორმატივი (NBG)</t>
  </si>
  <si>
    <t xml:space="preserve"> დაფარვადობა მოთხოვნილი პირობებით</t>
  </si>
  <si>
    <t>ყურადღება მიაქციეთ გვერდით (B100)   უჯრას, კოეფიციენტების არასაკმარისობის შემთხვევაში გამოვა გაფრთხილება</t>
  </si>
  <si>
    <t>ყურადღება მიაქციეთ გვერდით (B35)   უჯრას, მიზნობრიობის არა სწორი გადანაწილების შემთხვევაში გამოვა გაფრთხილება</t>
  </si>
  <si>
    <t>Version 04-მარტი-2019</t>
  </si>
  <si>
    <t>საკონტრაქტო ვადიანობის  PTI (NBG)</t>
  </si>
  <si>
    <t>მაქსიმალური ვადიანობის PTI (NBG)</t>
  </si>
  <si>
    <t xml:space="preserve">საკონტრაქტო ვადიანობის  PTI </t>
  </si>
  <si>
    <t>ბიზნეს მიზნობრიობით გაცემული თანხის  PTI (NBG)</t>
  </si>
  <si>
    <t>ბიზნეს მიზნობრიობით გაცემული თანხის PTI</t>
  </si>
  <si>
    <t xml:space="preserve">მაქსიმალური ვადიანობის PTI </t>
  </si>
  <si>
    <t>სერვის ცენტრი</t>
  </si>
  <si>
    <t>თეონა კუჭუხიძე</t>
  </si>
  <si>
    <t>557307220</t>
  </si>
  <si>
    <t>ფიზიკური პირი</t>
  </si>
  <si>
    <t>8 ლიტრი</t>
  </si>
  <si>
    <t>ყველი, 8 ლარი, 6 კილო</t>
  </si>
  <si>
    <t>5 ადგილი</t>
  </si>
  <si>
    <t>1 სულს ჭირდება 1 კონა ჩალა დღეში 1 კონა 1 ლარი</t>
  </si>
  <si>
    <t>ბანკის მიერ</t>
  </si>
  <si>
    <t>ალტერნატიული</t>
  </si>
  <si>
    <t>ბიზნესისთვის</t>
  </si>
  <si>
    <t>მამუკა ჭუმბურიძე</t>
  </si>
  <si>
    <t>37001001052</t>
  </si>
  <si>
    <t>557140414</t>
  </si>
  <si>
    <t>აბაშა, ს. პირველი მაისი</t>
  </si>
  <si>
    <t>მესაქონლეობა</t>
  </si>
  <si>
    <t>კი 2 სული, 1 სული 300 ლარი</t>
  </si>
  <si>
    <t>მსესხებელი ეწევა სოფლის მეურნეობას, კერძოდ მესაქონლეობას, ყავს 3 სული პირუტყვი და 15 ოჯახი ფუტკარი, მსესხებელი და მისი მეუღლე ასევე მუშაობენ გასართობი პროგრამებით ბავშვებისთვის გამოძახებით საიდანაც აქვთ დამატებითი შემოსავალი.</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</si>
</sst>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0_);_(* \(#,##0\);_(* &quot;-&quot;_);_(@_)"/>
    <numFmt numFmtId="44" formatCode="_(&quot;$&quot;* #,##0.00_);_(&quot;$&quot;* \(#,##0.00\);_(&quot;$&quot;* &quot;-&quot;??_);_(@_)"/>
    <numFmt numFmtId="43" formatCode="_(* #,##0.00_);_(* \(#,##0.00\);_(* &quot;-&quot;??_);_(@_)"/>
    <numFmt numFmtId="164" formatCode="_(* #,##0_);_(* \(#,##0\);_(* &quot;-&quot;??_);_(@_)"/>
    <numFmt numFmtId="165" formatCode="0.000"/>
    <numFmt numFmtId="166" formatCode="_-* #,##0.00\ _D_M_-;\-* #,##0.00\ _D_M_-;_-* &quot;-&quot;??\ _D_M_-;_-@_-"/>
    <numFmt numFmtId="167" formatCode="[$-409]d\-mmm\-yy;@"/>
    <numFmt numFmtId="168" formatCode=";;;"/>
    <numFmt numFmtId="169" formatCode="0.0000"/>
    <numFmt numFmtId="170" formatCode="0.0000%"/>
    <numFmt numFmtId="171" formatCode="#,##0.000"/>
    <numFmt numFmtId="172" formatCode="yyyy/mm/dd;@"/>
    <numFmt numFmtId="173" formatCode="#,##0.0"/>
    <numFmt numFmtId="174" formatCode="0.0%"/>
    <numFmt numFmtId="175" formatCode="#,##0.0000"/>
    <numFmt numFmtId="176" formatCode="[$-409]d\-mmm\-yyyy;@"/>
  </numFmts>
  <fonts count="69">
    <font>
      <sz val="11"/>
      <color theme="1"/>
      <name val="Calibri"/>
      <family val="2"/>
      <scheme val="minor"/>
    </font>
    <font>
      <sz val="10"/>
      <color theme="1"/>
      <name val="Calibri"/>
      <family val="2"/>
      <scheme val="minor"/>
    </font>
    <font>
      <b/>
      <sz val="10"/>
      <color rgb="FFC00000"/>
      <name val="Calibri"/>
      <family val="2"/>
      <scheme val="minor"/>
    </font>
    <font>
      <sz val="11"/>
      <color theme="1"/>
      <name val="Calibri"/>
      <family val="2"/>
      <scheme val="minor"/>
    </font>
    <font>
      <i/>
      <sz val="10"/>
      <color rgb="FFC00000"/>
      <name val="Calibri"/>
      <family val="2"/>
      <scheme val="minor"/>
    </font>
    <font>
      <sz val="10"/>
      <name val="Calibri"/>
      <family val="2"/>
      <scheme val="minor"/>
    </font>
    <font>
      <sz val="10"/>
      <name val="Arial"/>
      <family val="2"/>
    </font>
    <font>
      <sz val="10"/>
      <name val="Sylfaen"/>
      <family val="1"/>
    </font>
    <font>
      <sz val="15"/>
      <name val="Arial"/>
      <family val="2"/>
    </font>
    <font>
      <sz val="11"/>
      <color indexed="8"/>
      <name val="Calibri"/>
      <family val="2"/>
    </font>
    <font>
      <sz val="12"/>
      <name val="Arial"/>
      <family val="2"/>
      <charset val="204"/>
    </font>
    <font>
      <sz val="12"/>
      <name val="Arial"/>
      <family val="2"/>
    </font>
    <font>
      <u/>
      <sz val="10"/>
      <color theme="10"/>
      <name val="Arial"/>
      <family val="2"/>
    </font>
    <font>
      <u/>
      <sz val="11"/>
      <color theme="10"/>
      <name val="Calibri"/>
      <family val="2"/>
      <scheme val="minor"/>
    </font>
    <font>
      <sz val="10"/>
      <name val="Arial"/>
      <family val="2"/>
      <charset val="204"/>
    </font>
    <font>
      <b/>
      <sz val="10"/>
      <name val="Arial"/>
      <family val="2"/>
    </font>
    <font>
      <b/>
      <sz val="12"/>
      <name val="Arial"/>
      <family val="2"/>
    </font>
    <font>
      <b/>
      <sz val="11"/>
      <name val="Arial"/>
      <family val="2"/>
    </font>
    <font>
      <sz val="11"/>
      <color theme="1"/>
      <name val="Calibri"/>
      <family val="2"/>
      <charset val="204"/>
      <scheme val="minor"/>
    </font>
    <font>
      <sz val="10"/>
      <name val="Arial Cyr"/>
    </font>
    <font>
      <b/>
      <sz val="10"/>
      <color indexed="10"/>
      <name val="Sylfaen"/>
      <family val="1"/>
    </font>
    <font>
      <b/>
      <sz val="10"/>
      <color rgb="FFC00000"/>
      <name val="Sylfaen"/>
      <family val="1"/>
    </font>
    <font>
      <b/>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sz val="8"/>
      <color rgb="FFC00000"/>
      <name val="Calibri"/>
      <family val="2"/>
      <scheme val="minor"/>
    </font>
    <font>
      <b/>
      <i/>
      <sz val="11"/>
      <color rgb="FFC00000"/>
      <name val="Calibri"/>
      <family val="2"/>
      <scheme val="minor"/>
    </font>
    <font>
      <b/>
      <u/>
      <sz val="9"/>
      <color theme="1"/>
      <name val="Calibri"/>
      <family val="2"/>
      <scheme val="minor"/>
    </font>
    <font>
      <sz val="10"/>
      <color rgb="FFFF0000"/>
      <name val="Sylfaen"/>
      <family val="1"/>
    </font>
    <font>
      <sz val="11"/>
      <color rgb="FFFF0000"/>
      <name val="Calibri"/>
      <family val="2"/>
      <scheme val="minor"/>
    </font>
    <font>
      <sz val="10"/>
      <color rgb="FFFF0000"/>
      <name val="Calibri"/>
      <family val="2"/>
      <scheme val="minor"/>
    </font>
    <font>
      <b/>
      <sz val="25"/>
      <color rgb="FFACB6AB"/>
      <name val="Calibri"/>
      <family val="2"/>
      <scheme val="minor"/>
    </font>
    <font>
      <b/>
      <sz val="16"/>
      <color rgb="FFACB6AB"/>
      <name val="Calibri"/>
      <family val="2"/>
      <scheme val="minor"/>
    </font>
    <font>
      <b/>
      <sz val="10"/>
      <color rgb="FFB50838"/>
      <name val="Calibri"/>
      <family val="2"/>
      <scheme val="minor"/>
    </font>
    <font>
      <b/>
      <sz val="11"/>
      <color rgb="FFACB6AB"/>
      <name val="Calibri"/>
      <family val="2"/>
      <scheme val="minor"/>
    </font>
    <font>
      <b/>
      <sz val="8"/>
      <color theme="1"/>
      <name val="Calibri"/>
      <family val="2"/>
      <scheme val="minor"/>
    </font>
    <font>
      <sz val="11"/>
      <name val="Calibri"/>
      <family val="2"/>
      <scheme val="minor"/>
    </font>
    <font>
      <i/>
      <sz val="10"/>
      <color rgb="FFB50938"/>
      <name val="Calibri"/>
      <family val="2"/>
      <scheme val="minor"/>
    </font>
    <font>
      <sz val="11"/>
      <color rgb="FFB50938"/>
      <name val="Calibri"/>
      <family val="2"/>
      <scheme val="minor"/>
    </font>
    <font>
      <b/>
      <sz val="11"/>
      <name val="Calibri"/>
      <family val="2"/>
      <scheme val="minor"/>
    </font>
    <font>
      <b/>
      <sz val="11"/>
      <color rgb="FFACB5AB"/>
      <name val="Calibri"/>
      <family val="2"/>
      <scheme val="minor"/>
    </font>
    <font>
      <b/>
      <sz val="7.5"/>
      <name val="Calibri"/>
      <family val="2"/>
      <scheme val="minor"/>
    </font>
    <font>
      <b/>
      <sz val="6"/>
      <name val="Calibri"/>
      <family val="2"/>
      <scheme val="minor"/>
    </font>
    <font>
      <b/>
      <sz val="10"/>
      <name val="Calibri"/>
      <family val="2"/>
      <scheme val="minor"/>
    </font>
    <font>
      <b/>
      <sz val="8"/>
      <name val="Calibri"/>
      <family val="2"/>
      <scheme val="minor"/>
    </font>
    <font>
      <b/>
      <sz val="10"/>
      <color theme="1"/>
      <name val="Calibri"/>
      <family val="2"/>
      <scheme val="minor"/>
    </font>
    <font>
      <b/>
      <i/>
      <sz val="14"/>
      <color theme="0"/>
      <name val="Calibri"/>
      <family val="2"/>
      <scheme val="minor"/>
    </font>
    <font>
      <sz val="9"/>
      <color indexed="8"/>
      <name val="Calibri"/>
      <family val="2"/>
      <scheme val="minor"/>
    </font>
    <font>
      <sz val="9"/>
      <name val="Calibri"/>
      <family val="2"/>
      <scheme val="minor"/>
    </font>
    <font>
      <b/>
      <sz val="9"/>
      <name val="Calibri"/>
      <family val="2"/>
      <scheme val="minor"/>
    </font>
    <font>
      <b/>
      <sz val="12"/>
      <color theme="0"/>
      <name val="Calibri"/>
      <family val="2"/>
      <scheme val="minor"/>
    </font>
    <font>
      <b/>
      <sz val="16"/>
      <color rgb="FFC00000"/>
      <name val="Sylfaen"/>
      <family val="1"/>
    </font>
    <font>
      <b/>
      <sz val="12"/>
      <color indexed="8"/>
      <name val="Calibri"/>
      <family val="2"/>
    </font>
    <font>
      <b/>
      <sz val="12"/>
      <color rgb="FFFF0000"/>
      <name val="Calibri"/>
      <family val="2"/>
    </font>
    <font>
      <b/>
      <sz val="10"/>
      <color rgb="FFFF0000"/>
      <name val="Arial"/>
      <family val="2"/>
    </font>
    <font>
      <sz val="11"/>
      <color theme="1"/>
      <name val="Arial"/>
      <family val="2"/>
    </font>
    <font>
      <b/>
      <u/>
      <sz val="12"/>
      <color rgb="FFACB6AB"/>
      <name val="Calibri"/>
      <family val="2"/>
      <scheme val="minor"/>
    </font>
    <font>
      <b/>
      <u/>
      <sz val="12"/>
      <color theme="1"/>
      <name val="Calibri"/>
      <family val="2"/>
      <scheme val="minor"/>
    </font>
    <font>
      <b/>
      <sz val="9"/>
      <color rgb="FFFF0000"/>
      <name val="Calibri"/>
      <family val="2"/>
      <scheme val="minor"/>
    </font>
    <font>
      <b/>
      <sz val="11"/>
      <color theme="0"/>
      <name val="Calibri"/>
      <family val="2"/>
      <scheme val="minor"/>
    </font>
    <font>
      <b/>
      <sz val="16"/>
      <color theme="0"/>
      <name val="Calibri"/>
      <family val="2"/>
      <scheme val="minor"/>
    </font>
    <font>
      <b/>
      <sz val="10"/>
      <color rgb="FFFF0000"/>
      <name val="Calibri"/>
      <family val="2"/>
      <scheme val="minor"/>
    </font>
    <font>
      <b/>
      <i/>
      <sz val="10"/>
      <color rgb="FFC00000"/>
      <name val="Calibri"/>
      <family val="2"/>
      <scheme val="minor"/>
    </font>
    <font>
      <sz val="12"/>
      <color theme="0"/>
      <name val="Calibri"/>
      <family val="2"/>
      <scheme val="minor"/>
    </font>
    <font>
      <sz val="12"/>
      <color theme="1"/>
      <name val="Calibri"/>
      <family val="2"/>
      <scheme val="minor"/>
    </font>
    <font>
      <sz val="10"/>
      <color theme="0"/>
      <name val="Calibri"/>
      <family val="2"/>
      <scheme val="minor"/>
    </font>
    <font>
      <b/>
      <sz val="11"/>
      <color rgb="FFFF0000"/>
      <name val="Calibri"/>
      <family val="2"/>
      <scheme val="minor"/>
    </font>
    <font>
      <sz val="12"/>
      <color rgb="FFFF0000"/>
      <name val="Calibri"/>
      <family val="2"/>
      <scheme val="minor"/>
    </font>
  </fonts>
  <fills count="2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CC"/>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0000"/>
        <bgColor indexed="64"/>
      </patternFill>
    </fill>
    <fill>
      <patternFill patternType="solid">
        <fgColor rgb="FFB50938"/>
        <bgColor indexed="64"/>
      </patternFill>
    </fill>
    <fill>
      <patternFill patternType="solid">
        <fgColor theme="0" tint="-0.34998626667073579"/>
        <bgColor indexed="64"/>
      </patternFill>
    </fill>
    <fill>
      <patternFill patternType="solid">
        <fgColor rgb="FFB50538"/>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4" tint="0.39997558519241921"/>
        <bgColor indexed="64"/>
      </patternFill>
    </fill>
    <fill>
      <patternFill patternType="solid">
        <fgColor theme="2" tint="-0.89999084444715716"/>
        <bgColor indexed="64"/>
      </patternFill>
    </fill>
  </fills>
  <borders count="1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theme="4" tint="0.59999389629810485"/>
      </top>
      <bottom/>
      <diagonal/>
    </border>
    <border>
      <left style="thin">
        <color theme="4" tint="0.59999389629810485"/>
      </left>
      <right style="thin">
        <color theme="4" tint="0.59999389629810485"/>
      </right>
      <top style="thin">
        <color theme="4" tint="0.59999389629810485"/>
      </top>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top/>
      <bottom style="thin">
        <color theme="4" tint="0.59999389629810485"/>
      </bottom>
      <diagonal/>
    </border>
    <border>
      <left style="thin">
        <color theme="4" tint="0.59999389629810485"/>
      </left>
      <right/>
      <top/>
      <bottom/>
      <diagonal/>
    </border>
    <border>
      <left/>
      <right style="thin">
        <color theme="4" tint="0.59999389629810485"/>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uble">
        <color rgb="FFC00000"/>
      </left>
      <right/>
      <top style="double">
        <color rgb="FFC00000"/>
      </top>
      <bottom style="double">
        <color rgb="FFC00000"/>
      </bottom>
      <diagonal/>
    </border>
    <border>
      <left/>
      <right style="double">
        <color rgb="FFC00000"/>
      </right>
      <top style="double">
        <color rgb="FFC00000"/>
      </top>
      <bottom style="double">
        <color rgb="FFC00000"/>
      </bottom>
      <diagonal/>
    </border>
    <border>
      <left/>
      <right/>
      <top style="medium">
        <color indexed="64"/>
      </top>
      <bottom/>
      <diagonal/>
    </border>
    <border>
      <left style="thick">
        <color rgb="FFB50838"/>
      </left>
      <right style="thick">
        <color rgb="FFB50838"/>
      </right>
      <top style="thick">
        <color rgb="FFB50838"/>
      </top>
      <bottom style="thick">
        <color rgb="FFB50838"/>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hair">
        <color auto="1"/>
      </bottom>
      <diagonal/>
    </border>
    <border>
      <left style="hair">
        <color auto="1"/>
      </left>
      <right/>
      <top/>
      <bottom/>
      <diagonal/>
    </border>
    <border>
      <left/>
      <right style="hair">
        <color auto="1"/>
      </right>
      <top/>
      <bottom/>
      <diagonal/>
    </border>
    <border>
      <left/>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right style="thin">
        <color indexed="23"/>
      </right>
      <top style="thin">
        <color indexed="23"/>
      </top>
      <bottom style="thin">
        <color indexed="23"/>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right/>
      <top/>
      <bottom style="medium">
        <color auto="1"/>
      </bottom>
      <diagonal/>
    </border>
    <border>
      <left style="double">
        <color rgb="FFC00000"/>
      </left>
      <right/>
      <top style="double">
        <color rgb="FFC00000"/>
      </top>
      <bottom/>
      <diagonal/>
    </border>
    <border>
      <left/>
      <right/>
      <top style="double">
        <color rgb="FFC00000"/>
      </top>
      <bottom/>
      <diagonal/>
    </border>
    <border>
      <left/>
      <right style="double">
        <color rgb="FFC00000"/>
      </right>
      <top style="double">
        <color rgb="FFC00000"/>
      </top>
      <bottom/>
      <diagonal/>
    </border>
    <border>
      <left style="double">
        <color rgb="FFC00000"/>
      </left>
      <right/>
      <top/>
      <bottom/>
      <diagonal/>
    </border>
    <border>
      <left/>
      <right style="double">
        <color rgb="FFC00000"/>
      </right>
      <top/>
      <bottom/>
      <diagonal/>
    </border>
    <border>
      <left style="double">
        <color rgb="FFC00000"/>
      </left>
      <right/>
      <top/>
      <bottom style="double">
        <color rgb="FFC00000"/>
      </bottom>
      <diagonal/>
    </border>
    <border>
      <left/>
      <right/>
      <top/>
      <bottom style="double">
        <color rgb="FFC00000"/>
      </bottom>
      <diagonal/>
    </border>
    <border>
      <left/>
      <right style="double">
        <color rgb="FFC00000"/>
      </right>
      <top/>
      <bottom style="double">
        <color rgb="FFC00000"/>
      </bottom>
      <diagonal/>
    </border>
    <border>
      <left style="thin">
        <color theme="4" tint="0.59999389629810485"/>
      </left>
      <right style="double">
        <color rgb="FFC00000"/>
      </right>
      <top style="thin">
        <color theme="4" tint="0.59999389629810485"/>
      </top>
      <bottom/>
      <diagonal/>
    </border>
    <border>
      <left/>
      <right/>
      <top style="double">
        <color rgb="FFC00000"/>
      </top>
      <bottom style="double">
        <color rgb="FFC00000"/>
      </bottom>
      <diagonal/>
    </border>
    <border>
      <left style="thin">
        <color theme="4" tint="0.59999389629810485"/>
      </left>
      <right/>
      <top/>
      <bottom style="double">
        <color rgb="FFC00000"/>
      </bottom>
      <diagonal/>
    </border>
    <border>
      <left style="medium">
        <color indexed="64"/>
      </left>
      <right style="thin">
        <color indexed="64"/>
      </right>
      <top style="thin">
        <color indexed="64"/>
      </top>
      <bottom style="medium">
        <color indexed="64"/>
      </bottom>
      <diagonal/>
    </border>
    <border>
      <left style="double">
        <color rgb="FFFF0000"/>
      </left>
      <right style="double">
        <color rgb="FFFF0000"/>
      </right>
      <top style="double">
        <color rgb="FFFF0000"/>
      </top>
      <bottom style="double">
        <color rgb="FFFF0000"/>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double">
        <color rgb="FFC00000"/>
      </left>
      <right/>
      <top style="double">
        <color rgb="FFFF0000"/>
      </top>
      <bottom style="double">
        <color rgb="FFC00000"/>
      </bottom>
      <diagonal/>
    </border>
    <border>
      <left/>
      <right/>
      <top style="double">
        <color rgb="FFFF0000"/>
      </top>
      <bottom style="double">
        <color rgb="FFC00000"/>
      </bottom>
      <diagonal/>
    </border>
    <border>
      <left style="double">
        <color rgb="FFC00000"/>
      </left>
      <right style="double">
        <color rgb="FFC00000"/>
      </right>
      <top style="double">
        <color rgb="FFC00000"/>
      </top>
      <bottom style="double">
        <color rgb="FFC00000"/>
      </bottom>
      <diagonal/>
    </border>
    <border>
      <left/>
      <right/>
      <top style="double">
        <color rgb="FFFF0000"/>
      </top>
      <bottom/>
      <diagonal/>
    </border>
    <border>
      <left/>
      <right style="double">
        <color rgb="FFC00000"/>
      </right>
      <top style="double">
        <color rgb="FFFF0000"/>
      </top>
      <bottom style="double">
        <color rgb="FFC00000"/>
      </bottom>
      <diagonal/>
    </border>
    <border>
      <left style="double">
        <color rgb="FFFF0000"/>
      </left>
      <right/>
      <top style="double">
        <color rgb="FFFF0000"/>
      </top>
      <bottom/>
      <diagonal/>
    </border>
    <border>
      <left style="double">
        <color rgb="FFFF0000"/>
      </left>
      <right style="double">
        <color rgb="FFFF0000"/>
      </right>
      <top/>
      <bottom/>
      <diagonal/>
    </border>
    <border>
      <left style="double">
        <color rgb="FFFF0000"/>
      </left>
      <right style="double">
        <color rgb="FFFF0000"/>
      </right>
      <top/>
      <bottom style="double">
        <color rgb="FFFF0000"/>
      </bottom>
      <diagonal/>
    </border>
    <border>
      <left style="double">
        <color rgb="FFFF0000"/>
      </left>
      <right/>
      <top style="double">
        <color rgb="FFC00000"/>
      </top>
      <bottom style="double">
        <color rgb="FFC00000"/>
      </bottom>
      <diagonal/>
    </border>
    <border>
      <left style="double">
        <color rgb="FFFF0000"/>
      </left>
      <right/>
      <top/>
      <bottom style="double">
        <color rgb="FFFF0000"/>
      </bottom>
      <diagonal/>
    </border>
    <border>
      <left style="double">
        <color rgb="FFC00000"/>
      </left>
      <right style="double">
        <color rgb="FFC00000"/>
      </right>
      <top style="double">
        <color rgb="FFC00000"/>
      </top>
      <bottom/>
      <diagonal/>
    </border>
    <border>
      <left style="double">
        <color rgb="FFC00000"/>
      </left>
      <right style="double">
        <color rgb="FFC00000"/>
      </right>
      <top/>
      <bottom/>
      <diagonal/>
    </border>
    <border>
      <left style="double">
        <color rgb="FFC00000"/>
      </left>
      <right style="double">
        <color rgb="FFC00000"/>
      </right>
      <top/>
      <bottom style="double">
        <color rgb="FFC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theme="4" tint="0.59999389629810485"/>
      </right>
      <top/>
      <bottom style="double">
        <color rgb="FFC00000"/>
      </bottom>
      <diagonal/>
    </border>
    <border>
      <left style="thin">
        <color theme="4" tint="0.59999389629810485"/>
      </left>
      <right style="double">
        <color rgb="FFC00000"/>
      </right>
      <top/>
      <bottom style="thin">
        <color theme="4" tint="0.59999389629810485"/>
      </bottom>
      <diagonal/>
    </border>
    <border>
      <left style="medium">
        <color indexed="64"/>
      </left>
      <right/>
      <top style="thin">
        <color theme="4" tint="0.59999389629810485"/>
      </top>
      <bottom/>
      <diagonal/>
    </border>
    <border>
      <left style="double">
        <color rgb="FFC00000"/>
      </left>
      <right style="medium">
        <color indexed="64"/>
      </right>
      <top style="double">
        <color rgb="FFC00000"/>
      </top>
      <bottom style="double">
        <color rgb="FFC00000"/>
      </bottom>
      <diagonal/>
    </border>
    <border>
      <left style="medium">
        <color indexed="64"/>
      </left>
      <right/>
      <top style="thin">
        <color theme="4" tint="0.59999389629810485"/>
      </top>
      <bottom style="medium">
        <color indexed="64"/>
      </bottom>
      <diagonal/>
    </border>
    <border>
      <left style="double">
        <color rgb="FFC00000"/>
      </left>
      <right/>
      <top style="double">
        <color rgb="FFC00000"/>
      </top>
      <bottom style="medium">
        <color indexed="64"/>
      </bottom>
      <diagonal/>
    </border>
    <border>
      <left/>
      <right/>
      <top style="double">
        <color rgb="FFC00000"/>
      </top>
      <bottom style="medium">
        <color indexed="64"/>
      </bottom>
      <diagonal/>
    </border>
    <border>
      <left/>
      <right style="double">
        <color rgb="FFC00000"/>
      </right>
      <top style="double">
        <color rgb="FFC00000"/>
      </top>
      <bottom style="medium">
        <color indexed="64"/>
      </bottom>
      <diagonal/>
    </border>
    <border>
      <left/>
      <right style="medium">
        <color indexed="64"/>
      </right>
      <top style="double">
        <color rgb="FFC00000"/>
      </top>
      <bottom style="medium">
        <color indexed="64"/>
      </bottom>
      <diagonal/>
    </border>
    <border>
      <left style="medium">
        <color indexed="64"/>
      </left>
      <right/>
      <top/>
      <bottom style="medium">
        <color indexed="64"/>
      </bottom>
      <diagonal/>
    </border>
    <border>
      <left style="double">
        <color rgb="FFC00000"/>
      </left>
      <right style="double">
        <color rgb="FFC00000"/>
      </right>
      <top style="double">
        <color rgb="FFC00000"/>
      </top>
      <bottom style="medium">
        <color indexed="64"/>
      </bottom>
      <diagonal/>
    </border>
    <border>
      <left/>
      <right style="medium">
        <color indexed="64"/>
      </right>
      <top/>
      <bottom style="double">
        <color rgb="FFC00000"/>
      </bottom>
      <diagonal/>
    </border>
    <border>
      <left style="double">
        <color rgb="FFC00000"/>
      </left>
      <right style="medium">
        <color indexed="64"/>
      </right>
      <top style="double">
        <color rgb="FFC00000"/>
      </top>
      <bottom style="medium">
        <color indexed="64"/>
      </bottom>
      <diagonal/>
    </border>
    <border>
      <left style="double">
        <color rgb="FFC00000"/>
      </left>
      <right style="double">
        <color rgb="FFC00000"/>
      </right>
      <top/>
      <bottom style="medium">
        <color indexed="64"/>
      </bottom>
      <diagonal/>
    </border>
    <border>
      <left style="thin">
        <color theme="4" tint="0.59999389629810485"/>
      </left>
      <right/>
      <top style="thin">
        <color theme="4" tint="0.59999389629810485"/>
      </top>
      <bottom/>
      <diagonal/>
    </border>
    <border>
      <left style="thin">
        <color indexed="64"/>
      </left>
      <right/>
      <top style="thin">
        <color indexed="64"/>
      </top>
      <bottom style="thin">
        <color indexed="64"/>
      </bottom>
      <diagonal/>
    </border>
    <border>
      <left style="thin">
        <color indexed="64"/>
      </left>
      <right/>
      <top/>
      <bottom/>
      <diagonal/>
    </border>
    <border>
      <left style="double">
        <color theme="5" tint="-0.24994659260841701"/>
      </left>
      <right style="double">
        <color theme="5" tint="-0.24994659260841701"/>
      </right>
      <top style="double">
        <color theme="5" tint="-0.24994659260841701"/>
      </top>
      <bottom style="double">
        <color theme="5" tint="-0.24994659260841701"/>
      </bottom>
      <diagonal/>
    </border>
    <border>
      <left/>
      <right style="medium">
        <color indexed="64"/>
      </right>
      <top style="double">
        <color rgb="FFC00000"/>
      </top>
      <bottom style="double">
        <color rgb="FFC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double">
        <color rgb="FFC00000"/>
      </right>
      <top style="double">
        <color rgb="FFC00000"/>
      </top>
      <bottom style="medium">
        <color indexed="64"/>
      </bottom>
      <diagonal/>
    </border>
    <border>
      <left/>
      <right style="double">
        <color rgb="FFC00000"/>
      </right>
      <top style="thin">
        <color theme="4" tint="0.59999389629810485"/>
      </top>
      <bottom/>
      <diagonal/>
    </border>
    <border>
      <left/>
      <right style="double">
        <color rgb="FFC00000"/>
      </right>
      <top/>
      <bottom style="thin">
        <color theme="4" tint="0.59999389629810485"/>
      </bottom>
      <diagonal/>
    </border>
    <border>
      <left style="medium">
        <color indexed="64"/>
      </left>
      <right style="double">
        <color rgb="FFC00000"/>
      </right>
      <top/>
      <bottom/>
      <diagonal/>
    </border>
  </borders>
  <cellStyleXfs count="64">
    <xf numFmtId="0" fontId="0" fillId="0" borderId="0"/>
    <xf numFmtId="44" fontId="3" fillId="0" borderId="0" applyFont="0" applyFill="0" applyBorder="0" applyAlignment="0" applyProtection="0"/>
    <xf numFmtId="43" fontId="3"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1" fillId="0" borderId="0" applyFont="0" applyFill="0" applyBorder="0" applyAlignment="0" applyProtection="0"/>
    <xf numFmtId="44" fontId="9" fillId="0" borderId="0" applyFont="0" applyFill="0" applyBorder="0" applyAlignment="0" applyProtection="0"/>
    <xf numFmtId="0" fontId="6" fillId="0" borderId="0"/>
    <xf numFmtId="0" fontId="6" fillId="0" borderId="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3" fillId="0" borderId="0" applyNumberFormat="0" applyFill="0" applyBorder="0" applyAlignment="0" applyProtection="0"/>
    <xf numFmtId="0" fontId="3" fillId="0" borderId="0"/>
    <xf numFmtId="0" fontId="6" fillId="0" borderId="0"/>
    <xf numFmtId="0" fontId="3" fillId="0" borderId="0"/>
    <xf numFmtId="0" fontId="6" fillId="0" borderId="0"/>
    <xf numFmtId="0" fontId="14" fillId="0" borderId="0"/>
    <xf numFmtId="0" fontId="6" fillId="0" borderId="0"/>
    <xf numFmtId="0" fontId="14" fillId="0" borderId="0"/>
    <xf numFmtId="0" fontId="6" fillId="0" borderId="0"/>
    <xf numFmtId="0" fontId="14"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5" borderId="1" applyNumberFormat="0" applyFont="0" applyAlignment="0" applyProtection="0"/>
    <xf numFmtId="9" fontId="10" fillId="0" borderId="0" applyFont="0" applyFill="0" applyBorder="0" applyAlignment="0" applyProtection="0"/>
    <xf numFmtId="9" fontId="14"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9" fontId="6"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0" borderId="0" applyNumberFormat="0" applyFill="0" applyBorder="0" applyProtection="0">
      <alignment vertical="top"/>
    </xf>
    <xf numFmtId="0" fontId="16" fillId="0" borderId="0" applyNumberFormat="0" applyFill="0" applyBorder="0" applyProtection="0">
      <alignment vertical="top"/>
    </xf>
    <xf numFmtId="0" fontId="17" fillId="0" borderId="0" applyNumberFormat="0" applyFill="0" applyBorder="0" applyProtection="0">
      <alignment horizontal="left" vertical="top"/>
    </xf>
    <xf numFmtId="0" fontId="15" fillId="0" borderId="0" applyNumberFormat="0" applyFill="0" applyBorder="0" applyProtection="0">
      <alignment horizontal="left" vertical="top"/>
    </xf>
    <xf numFmtId="0" fontId="15" fillId="0" borderId="0" applyNumberFormat="0" applyFill="0" applyBorder="0" applyProtection="0">
      <alignment horizontal="left" vertical="top"/>
    </xf>
    <xf numFmtId="0" fontId="18" fillId="0" borderId="0"/>
    <xf numFmtId="2" fontId="19" fillId="0" borderId="0"/>
    <xf numFmtId="166"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0" fontId="9" fillId="0" borderId="0"/>
  </cellStyleXfs>
  <cellXfs count="802">
    <xf numFmtId="0" fontId="0" fillId="0" borderId="0" xfId="0"/>
    <xf numFmtId="0" fontId="0" fillId="0" borderId="0" xfId="0" applyProtection="1">
      <protection hidden="1"/>
    </xf>
    <xf numFmtId="0" fontId="23" fillId="0" borderId="0" xfId="0" applyFont="1" applyProtection="1">
      <protection hidden="1"/>
    </xf>
    <xf numFmtId="0" fontId="7" fillId="2" borderId="0" xfId="3" applyFont="1" applyFill="1" applyProtection="1">
      <protection hidden="1"/>
    </xf>
    <xf numFmtId="0" fontId="20" fillId="7" borderId="2" xfId="3" applyFont="1" applyFill="1" applyBorder="1" applyAlignment="1" applyProtection="1">
      <alignment vertical="center" wrapText="1"/>
      <protection hidden="1"/>
    </xf>
    <xf numFmtId="0" fontId="21" fillId="6" borderId="2" xfId="3" applyFont="1" applyFill="1" applyBorder="1" applyAlignment="1" applyProtection="1">
      <alignment vertical="center" wrapText="1"/>
      <protection hidden="1"/>
    </xf>
    <xf numFmtId="0" fontId="21" fillId="6" borderId="2" xfId="3" applyFont="1" applyFill="1" applyBorder="1" applyAlignment="1" applyProtection="1">
      <alignment horizontal="center" vertical="center" wrapText="1"/>
      <protection hidden="1"/>
    </xf>
    <xf numFmtId="0" fontId="7" fillId="2" borderId="0" xfId="3" applyFont="1" applyFill="1" applyAlignment="1" applyProtection="1">
      <alignment wrapText="1"/>
      <protection hidden="1"/>
    </xf>
    <xf numFmtId="0" fontId="7" fillId="8" borderId="2" xfId="3" applyFont="1" applyFill="1" applyBorder="1" applyAlignment="1" applyProtection="1">
      <alignment horizontal="center"/>
      <protection hidden="1"/>
    </xf>
    <xf numFmtId="164" fontId="7" fillId="4" borderId="2" xfId="60" applyNumberFormat="1" applyFont="1" applyFill="1" applyBorder="1" applyAlignment="1" applyProtection="1">
      <alignment horizontal="center" vertical="center"/>
      <protection hidden="1"/>
    </xf>
    <xf numFmtId="43" fontId="7" fillId="4" borderId="2" xfId="60" applyNumberFormat="1" applyFont="1" applyFill="1" applyBorder="1" applyAlignment="1" applyProtection="1">
      <alignment horizontal="center" vertical="center"/>
      <protection hidden="1"/>
    </xf>
    <xf numFmtId="9" fontId="7" fillId="4" borderId="2" xfId="61" applyFont="1" applyFill="1" applyBorder="1" applyAlignment="1" applyProtection="1">
      <alignment horizontal="center" vertical="center"/>
      <protection hidden="1"/>
    </xf>
    <xf numFmtId="9" fontId="7" fillId="4" borderId="2" xfId="61" applyNumberFormat="1" applyFont="1" applyFill="1" applyBorder="1" applyAlignment="1" applyProtection="1">
      <alignment horizontal="center" vertical="center"/>
      <protection hidden="1"/>
    </xf>
    <xf numFmtId="0" fontId="7" fillId="2" borderId="0" xfId="3" applyFont="1" applyFill="1" applyAlignment="1" applyProtection="1">
      <alignment horizontal="center" vertical="center"/>
      <protection hidden="1"/>
    </xf>
    <xf numFmtId="164" fontId="29" fillId="2" borderId="23" xfId="3" applyNumberFormat="1" applyFont="1" applyFill="1" applyBorder="1" applyAlignment="1" applyProtection="1">
      <alignment horizontal="center" vertical="center"/>
      <protection hidden="1"/>
    </xf>
    <xf numFmtId="164" fontId="29" fillId="2" borderId="24" xfId="3" applyNumberFormat="1" applyFont="1" applyFill="1" applyBorder="1" applyAlignment="1" applyProtection="1">
      <alignment horizontal="center" vertical="center"/>
      <protection hidden="1"/>
    </xf>
    <xf numFmtId="164" fontId="29" fillId="2" borderId="25" xfId="3" applyNumberFormat="1" applyFont="1" applyFill="1" applyBorder="1" applyAlignment="1" applyProtection="1">
      <alignment horizontal="center" vertical="center"/>
      <protection hidden="1"/>
    </xf>
    <xf numFmtId="0" fontId="0" fillId="0" borderId="0" xfId="0" applyFill="1" applyProtection="1">
      <protection hidden="1"/>
    </xf>
    <xf numFmtId="9" fontId="0" fillId="0" borderId="0" xfId="62" applyFont="1" applyProtection="1">
      <protection hidden="1"/>
    </xf>
    <xf numFmtId="0" fontId="0" fillId="0" borderId="0" xfId="0" applyAlignment="1" applyProtection="1">
      <alignment horizontal="left" vertical="top"/>
      <protection hidden="1"/>
    </xf>
    <xf numFmtId="0" fontId="0" fillId="0" borderId="0" xfId="0" applyFill="1" applyAlignment="1" applyProtection="1">
      <alignment horizontal="left" vertical="top"/>
      <protection hidden="1"/>
    </xf>
    <xf numFmtId="0" fontId="32" fillId="12" borderId="29" xfId="0" applyFont="1" applyFill="1" applyBorder="1" applyAlignment="1" applyProtection="1">
      <alignment vertical="center"/>
      <protection hidden="1"/>
    </xf>
    <xf numFmtId="0" fontId="0" fillId="12" borderId="29" xfId="0" applyFill="1" applyBorder="1" applyProtection="1">
      <protection hidden="1"/>
    </xf>
    <xf numFmtId="0" fontId="33" fillId="12" borderId="29" xfId="0" applyFont="1" applyFill="1" applyBorder="1" applyAlignment="1" applyProtection="1">
      <alignment vertical="center"/>
      <protection hidden="1"/>
    </xf>
    <xf numFmtId="0" fontId="32" fillId="12" borderId="0" xfId="0" applyFont="1" applyFill="1" applyBorder="1" applyAlignment="1" applyProtection="1">
      <alignment vertical="center"/>
      <protection hidden="1"/>
    </xf>
    <xf numFmtId="0" fontId="32" fillId="13" borderId="0" xfId="0" applyFont="1" applyFill="1" applyBorder="1" applyAlignment="1" applyProtection="1">
      <alignment vertical="center"/>
      <protection hidden="1"/>
    </xf>
    <xf numFmtId="0" fontId="0" fillId="13" borderId="0" xfId="0" applyFill="1" applyBorder="1" applyProtection="1">
      <protection hidden="1"/>
    </xf>
    <xf numFmtId="0" fontId="33" fillId="13" borderId="0" xfId="0" applyFont="1" applyFill="1" applyBorder="1" applyAlignment="1" applyProtection="1">
      <alignment vertical="center"/>
      <protection hidden="1"/>
    </xf>
    <xf numFmtId="0" fontId="34" fillId="13" borderId="0" xfId="0" applyFont="1" applyFill="1" applyBorder="1" applyProtection="1">
      <protection hidden="1"/>
    </xf>
    <xf numFmtId="10" fontId="34" fillId="13" borderId="30" xfId="0" applyNumberFormat="1" applyFont="1" applyFill="1" applyBorder="1" applyAlignment="1" applyProtection="1">
      <alignment vertical="center"/>
      <protection hidden="1"/>
    </xf>
    <xf numFmtId="10" fontId="0" fillId="0" borderId="0" xfId="0" applyNumberFormat="1"/>
    <xf numFmtId="10" fontId="34" fillId="13" borderId="0" xfId="0" applyNumberFormat="1" applyFont="1" applyFill="1" applyBorder="1" applyAlignment="1" applyProtection="1">
      <alignment vertical="center"/>
      <protection hidden="1"/>
    </xf>
    <xf numFmtId="0" fontId="32" fillId="14" borderId="0" xfId="0" applyFont="1" applyFill="1" applyBorder="1" applyAlignment="1" applyProtection="1">
      <alignment vertical="center"/>
      <protection hidden="1"/>
    </xf>
    <xf numFmtId="0" fontId="34" fillId="14" borderId="0" xfId="0" applyFont="1" applyFill="1" applyBorder="1" applyProtection="1">
      <protection hidden="1"/>
    </xf>
    <xf numFmtId="0" fontId="0" fillId="14" borderId="0" xfId="0" applyFill="1" applyBorder="1" applyProtection="1">
      <protection hidden="1"/>
    </xf>
    <xf numFmtId="0" fontId="33" fillId="14" borderId="0" xfId="0" applyFont="1" applyFill="1" applyBorder="1" applyAlignment="1" applyProtection="1">
      <alignment vertical="center"/>
      <protection hidden="1"/>
    </xf>
    <xf numFmtId="10" fontId="34" fillId="14" borderId="0" xfId="0" applyNumberFormat="1" applyFont="1" applyFill="1" applyBorder="1" applyAlignment="1" applyProtection="1">
      <alignment vertical="center"/>
      <protection hidden="1"/>
    </xf>
    <xf numFmtId="0" fontId="0" fillId="12" borderId="0" xfId="0" applyFill="1" applyBorder="1" applyProtection="1">
      <protection hidden="1"/>
    </xf>
    <xf numFmtId="0" fontId="35" fillId="12" borderId="0" xfId="0" applyFont="1" applyFill="1" applyBorder="1" applyProtection="1">
      <protection hidden="1"/>
    </xf>
    <xf numFmtId="2" fontId="22" fillId="4" borderId="34" xfId="0" applyNumberFormat="1" applyFont="1" applyFill="1" applyBorder="1" applyProtection="1">
      <protection locked="0" hidden="1"/>
    </xf>
    <xf numFmtId="4" fontId="22" fillId="4" borderId="34" xfId="0" applyNumberFormat="1" applyFont="1" applyFill="1" applyBorder="1" applyProtection="1">
      <protection locked="0" hidden="1"/>
    </xf>
    <xf numFmtId="9" fontId="0" fillId="0" borderId="0" xfId="0" applyNumberFormat="1"/>
    <xf numFmtId="0" fontId="22" fillId="4" borderId="34" xfId="0" applyFont="1" applyFill="1" applyBorder="1" applyAlignment="1" applyProtection="1">
      <alignment horizontal="center" vertical="center"/>
      <protection locked="0" hidden="1"/>
    </xf>
    <xf numFmtId="10" fontId="22" fillId="4" borderId="34" xfId="0" applyNumberFormat="1" applyFont="1" applyFill="1" applyBorder="1" applyProtection="1">
      <protection locked="0" hidden="1"/>
    </xf>
    <xf numFmtId="0" fontId="22" fillId="12" borderId="0" xfId="0" applyFont="1" applyFill="1" applyBorder="1" applyAlignment="1" applyProtection="1">
      <alignment horizontal="center" vertical="center"/>
      <protection hidden="1"/>
    </xf>
    <xf numFmtId="10" fontId="22" fillId="13" borderId="34" xfId="0" applyNumberFormat="1" applyFont="1" applyFill="1" applyBorder="1" applyProtection="1">
      <protection hidden="1"/>
    </xf>
    <xf numFmtId="3" fontId="37" fillId="12" borderId="0" xfId="0" applyNumberFormat="1" applyFont="1" applyFill="1" applyBorder="1" applyProtection="1">
      <protection hidden="1"/>
    </xf>
    <xf numFmtId="169" fontId="22" fillId="4" borderId="34" xfId="0" applyNumberFormat="1" applyFont="1" applyFill="1" applyBorder="1" applyProtection="1">
      <protection locked="0" hidden="1"/>
    </xf>
    <xf numFmtId="4" fontId="22" fillId="13" borderId="34" xfId="0" applyNumberFormat="1" applyFont="1" applyFill="1" applyBorder="1" applyProtection="1">
      <protection hidden="1"/>
    </xf>
    <xf numFmtId="0" fontId="38" fillId="12" borderId="0" xfId="0" applyFont="1" applyFill="1" applyBorder="1" applyProtection="1">
      <protection hidden="1"/>
    </xf>
    <xf numFmtId="0" fontId="22" fillId="4" borderId="34" xfId="0" applyFont="1" applyFill="1" applyBorder="1" applyProtection="1">
      <protection locked="0" hidden="1"/>
    </xf>
    <xf numFmtId="4" fontId="0" fillId="0" borderId="0" xfId="0" applyNumberFormat="1"/>
    <xf numFmtId="3" fontId="39" fillId="12" borderId="0" xfId="0" applyNumberFormat="1" applyFont="1" applyFill="1" applyBorder="1" applyProtection="1">
      <protection hidden="1"/>
    </xf>
    <xf numFmtId="2" fontId="0" fillId="0" borderId="0" xfId="0" applyNumberFormat="1"/>
    <xf numFmtId="0" fontId="40" fillId="13" borderId="34" xfId="0" applyFont="1" applyFill="1" applyBorder="1" applyAlignment="1" applyProtection="1">
      <alignment horizontal="center"/>
      <protection hidden="1"/>
    </xf>
    <xf numFmtId="0" fontId="0" fillId="12" borderId="35" xfId="0" applyFill="1" applyBorder="1" applyProtection="1">
      <protection hidden="1"/>
    </xf>
    <xf numFmtId="0" fontId="36" fillId="12" borderId="0" xfId="0" applyFont="1" applyFill="1" applyBorder="1" applyAlignment="1" applyProtection="1">
      <alignment vertical="center" wrapText="1"/>
      <protection hidden="1"/>
    </xf>
    <xf numFmtId="0" fontId="0" fillId="12" borderId="38" xfId="0" applyFill="1" applyBorder="1" applyProtection="1">
      <protection hidden="1"/>
    </xf>
    <xf numFmtId="0" fontId="41" fillId="12" borderId="0" xfId="0" applyFont="1" applyFill="1" applyBorder="1" applyProtection="1">
      <protection hidden="1"/>
    </xf>
    <xf numFmtId="3" fontId="0" fillId="0" borderId="0" xfId="0" applyNumberFormat="1"/>
    <xf numFmtId="0" fontId="22" fillId="13" borderId="34" xfId="0" applyFont="1" applyFill="1" applyBorder="1" applyProtection="1">
      <protection hidden="1"/>
    </xf>
    <xf numFmtId="14" fontId="0" fillId="0" borderId="0" xfId="0" applyNumberFormat="1" applyFill="1" applyBorder="1" applyProtection="1">
      <protection hidden="1"/>
    </xf>
    <xf numFmtId="4" fontId="0" fillId="0" borderId="0" xfId="0" applyNumberFormat="1" applyFill="1" applyBorder="1" applyProtection="1">
      <protection hidden="1"/>
    </xf>
    <xf numFmtId="14" fontId="0" fillId="0" borderId="0" xfId="0" applyNumberFormat="1"/>
    <xf numFmtId="165" fontId="0" fillId="0" borderId="0" xfId="0" applyNumberFormat="1"/>
    <xf numFmtId="170" fontId="0" fillId="0" borderId="0" xfId="0" applyNumberFormat="1"/>
    <xf numFmtId="0" fontId="0" fillId="0" borderId="0" xfId="0" applyFill="1" applyBorder="1" applyProtection="1">
      <protection hidden="1"/>
    </xf>
    <xf numFmtId="0" fontId="40" fillId="13" borderId="34" xfId="0" applyFont="1" applyFill="1" applyBorder="1" applyAlignment="1" applyProtection="1">
      <alignment horizontal="center" vertical="center" wrapText="1"/>
      <protection hidden="1"/>
    </xf>
    <xf numFmtId="0" fontId="42" fillId="13" borderId="34" xfId="0" applyFont="1" applyFill="1" applyBorder="1" applyAlignment="1" applyProtection="1">
      <alignment horizontal="center" vertical="center" wrapText="1"/>
      <protection hidden="1"/>
    </xf>
    <xf numFmtId="0" fontId="23" fillId="0" borderId="0" xfId="0" applyFont="1" applyFill="1" applyBorder="1" applyProtection="1">
      <protection hidden="1"/>
    </xf>
    <xf numFmtId="0" fontId="40" fillId="13" borderId="42" xfId="0" applyFont="1" applyFill="1" applyBorder="1" applyAlignment="1" applyProtection="1">
      <alignment horizontal="center" vertical="center" wrapText="1"/>
      <protection hidden="1"/>
    </xf>
    <xf numFmtId="0" fontId="40" fillId="13" borderId="43" xfId="0" applyFont="1" applyFill="1" applyBorder="1" applyAlignment="1" applyProtection="1">
      <alignment horizontal="center" vertical="center" wrapText="1"/>
      <protection hidden="1"/>
    </xf>
    <xf numFmtId="0" fontId="40" fillId="13" borderId="44" xfId="0" applyFont="1" applyFill="1" applyBorder="1" applyAlignment="1" applyProtection="1">
      <alignment horizontal="center" vertical="center" wrapText="1"/>
      <protection hidden="1"/>
    </xf>
    <xf numFmtId="0" fontId="0" fillId="0" borderId="29" xfId="0" applyBorder="1"/>
    <xf numFmtId="0" fontId="40" fillId="13" borderId="36" xfId="0" applyFont="1" applyFill="1" applyBorder="1" applyAlignment="1" applyProtection="1">
      <alignment horizontal="center" vertical="center" wrapText="1"/>
      <protection hidden="1"/>
    </xf>
    <xf numFmtId="0" fontId="43" fillId="13" borderId="0" xfId="0" applyFont="1" applyFill="1" applyAlignment="1" applyProtection="1">
      <alignment horizontal="center" vertical="center" wrapText="1"/>
    </xf>
    <xf numFmtId="0" fontId="44" fillId="13" borderId="0" xfId="0" applyFont="1" applyFill="1" applyAlignment="1" applyProtection="1">
      <alignment horizontal="center" vertical="center" wrapText="1"/>
    </xf>
    <xf numFmtId="0" fontId="44" fillId="11" borderId="0" xfId="0" applyFont="1" applyFill="1" applyAlignment="1" applyProtection="1">
      <alignment horizontal="center" vertical="center" wrapText="1"/>
    </xf>
    <xf numFmtId="0" fontId="0" fillId="13" borderId="16" xfId="0" applyFill="1" applyBorder="1" applyAlignment="1">
      <alignment vertical="center"/>
    </xf>
    <xf numFmtId="0" fontId="0" fillId="13" borderId="26" xfId="0" applyFill="1" applyBorder="1"/>
    <xf numFmtId="0" fontId="0" fillId="13" borderId="17" xfId="0" applyFill="1" applyBorder="1"/>
    <xf numFmtId="0" fontId="37" fillId="6" borderId="34" xfId="0" applyFont="1" applyFill="1" applyBorder="1" applyProtection="1">
      <protection hidden="1"/>
    </xf>
    <xf numFmtId="14" fontId="37" fillId="6" borderId="34" xfId="0" applyNumberFormat="1" applyFont="1" applyFill="1" applyBorder="1" applyProtection="1">
      <protection hidden="1"/>
    </xf>
    <xf numFmtId="4" fontId="37" fillId="6" borderId="34" xfId="0" applyNumberFormat="1" applyFont="1" applyFill="1" applyBorder="1" applyProtection="1">
      <protection hidden="1"/>
    </xf>
    <xf numFmtId="4" fontId="37" fillId="6" borderId="34" xfId="0" applyNumberFormat="1" applyFont="1" applyFill="1" applyBorder="1" applyAlignment="1" applyProtection="1">
      <alignment horizontal="right"/>
      <protection hidden="1"/>
    </xf>
    <xf numFmtId="3" fontId="37" fillId="4" borderId="45" xfId="0" applyNumberFormat="1" applyFont="1" applyFill="1" applyBorder="1" applyProtection="1">
      <protection hidden="1"/>
    </xf>
    <xf numFmtId="14" fontId="37" fillId="4" borderId="34" xfId="0" applyNumberFormat="1" applyFont="1" applyFill="1" applyBorder="1" applyProtection="1">
      <protection hidden="1"/>
    </xf>
    <xf numFmtId="4" fontId="37" fillId="4" borderId="34" xfId="0" applyNumberFormat="1" applyFont="1" applyFill="1" applyBorder="1" applyProtection="1">
      <protection hidden="1"/>
    </xf>
    <xf numFmtId="4" fontId="37" fillId="4" borderId="46" xfId="0" applyNumberFormat="1" applyFont="1" applyFill="1" applyBorder="1" applyProtection="1">
      <protection hidden="1"/>
    </xf>
    <xf numFmtId="4" fontId="37" fillId="4" borderId="45" xfId="0" applyNumberFormat="1" applyFont="1" applyFill="1" applyBorder="1" applyProtection="1">
      <protection hidden="1"/>
    </xf>
    <xf numFmtId="0" fontId="0" fillId="0" borderId="0" xfId="0" applyBorder="1"/>
    <xf numFmtId="171" fontId="37" fillId="4" borderId="45" xfId="0" applyNumberFormat="1" applyFont="1" applyFill="1" applyBorder="1" applyProtection="1">
      <protection hidden="1"/>
    </xf>
    <xf numFmtId="171" fontId="37" fillId="4" borderId="34" xfId="0" applyNumberFormat="1" applyFont="1" applyFill="1" applyBorder="1" applyProtection="1">
      <protection hidden="1"/>
    </xf>
    <xf numFmtId="4" fontId="0" fillId="0" borderId="0" xfId="0" applyNumberFormat="1" applyBorder="1"/>
    <xf numFmtId="9" fontId="5" fillId="0" borderId="47" xfId="0" applyNumberFormat="1" applyFont="1" applyBorder="1" applyAlignment="1" applyProtection="1">
      <alignment horizontal="center"/>
    </xf>
    <xf numFmtId="172" fontId="5" fillId="0" borderId="47" xfId="0" applyNumberFormat="1" applyFont="1" applyBorder="1" applyAlignment="1" applyProtection="1">
      <alignment horizontal="center"/>
    </xf>
    <xf numFmtId="0" fontId="5" fillId="0" borderId="47" xfId="0" applyNumberFormat="1" applyFont="1" applyBorder="1" applyAlignment="1" applyProtection="1">
      <alignment horizontal="center"/>
    </xf>
    <xf numFmtId="0" fontId="0" fillId="11" borderId="0" xfId="0" applyFill="1"/>
    <xf numFmtId="173" fontId="0" fillId="0" borderId="0" xfId="0" applyNumberFormat="1"/>
    <xf numFmtId="0" fontId="22" fillId="0" borderId="0" xfId="0" applyFont="1"/>
    <xf numFmtId="0" fontId="6" fillId="0" borderId="0" xfId="0" applyFont="1"/>
    <xf numFmtId="49" fontId="0" fillId="0" borderId="0" xfId="0" applyNumberFormat="1"/>
    <xf numFmtId="4" fontId="0" fillId="0" borderId="42" xfId="0" applyNumberFormat="1" applyBorder="1"/>
    <xf numFmtId="4" fontId="0" fillId="0" borderId="43" xfId="0" applyNumberFormat="1" applyBorder="1"/>
    <xf numFmtId="4" fontId="0" fillId="0" borderId="44" xfId="0" applyNumberFormat="1" applyBorder="1"/>
    <xf numFmtId="14" fontId="23" fillId="0" borderId="0" xfId="0" applyNumberFormat="1" applyFont="1" applyFill="1" applyBorder="1" applyProtection="1">
      <protection hidden="1"/>
    </xf>
    <xf numFmtId="0" fontId="37" fillId="4" borderId="34" xfId="0" applyFont="1" applyFill="1" applyBorder="1" applyProtection="1">
      <protection locked="0" hidden="1"/>
    </xf>
    <xf numFmtId="174" fontId="0" fillId="0" borderId="0" xfId="0" applyNumberFormat="1"/>
    <xf numFmtId="4" fontId="0" fillId="0" borderId="45" xfId="0" applyNumberFormat="1" applyBorder="1"/>
    <xf numFmtId="4" fontId="0" fillId="0" borderId="34" xfId="0" applyNumberFormat="1" applyBorder="1"/>
    <xf numFmtId="4" fontId="0" fillId="0" borderId="46" xfId="0" applyNumberFormat="1" applyBorder="1"/>
    <xf numFmtId="0" fontId="6" fillId="11" borderId="0" xfId="0" applyFont="1" applyFill="1"/>
    <xf numFmtId="10" fontId="0" fillId="11" borderId="0" xfId="0" applyNumberFormat="1" applyFill="1"/>
    <xf numFmtId="0" fontId="30" fillId="0" borderId="0" xfId="0" applyFont="1" applyBorder="1"/>
    <xf numFmtId="0" fontId="23" fillId="0" borderId="0" xfId="0" applyFont="1" applyBorder="1" applyProtection="1">
      <protection hidden="1"/>
    </xf>
    <xf numFmtId="0" fontId="0" fillId="0" borderId="0" xfId="0" applyBorder="1" applyProtection="1">
      <protection hidden="1"/>
    </xf>
    <xf numFmtId="0" fontId="30" fillId="0" borderId="0" xfId="0" applyFont="1"/>
    <xf numFmtId="0" fontId="0" fillId="0" borderId="0" xfId="0" applyFont="1"/>
    <xf numFmtId="3" fontId="37" fillId="4" borderId="48" xfId="0" applyNumberFormat="1" applyFont="1" applyFill="1" applyBorder="1" applyProtection="1">
      <protection hidden="1"/>
    </xf>
    <xf numFmtId="14" fontId="37" fillId="4" borderId="49" xfId="0" applyNumberFormat="1" applyFont="1" applyFill="1" applyBorder="1" applyProtection="1">
      <protection hidden="1"/>
    </xf>
    <xf numFmtId="4" fontId="37" fillId="4" borderId="49" xfId="0" applyNumberFormat="1" applyFont="1" applyFill="1" applyBorder="1" applyProtection="1">
      <protection hidden="1"/>
    </xf>
    <xf numFmtId="4" fontId="37" fillId="4" borderId="50" xfId="0" applyNumberFormat="1" applyFont="1" applyFill="1" applyBorder="1" applyProtection="1">
      <protection hidden="1"/>
    </xf>
    <xf numFmtId="4" fontId="37" fillId="4" borderId="48" xfId="0" applyNumberFormat="1" applyFont="1" applyFill="1" applyBorder="1" applyProtection="1">
      <protection hidden="1"/>
    </xf>
    <xf numFmtId="0" fontId="0" fillId="0" borderId="51" xfId="0" applyBorder="1"/>
    <xf numFmtId="171" fontId="37" fillId="4" borderId="48" xfId="0" applyNumberFormat="1" applyFont="1" applyFill="1" applyBorder="1" applyProtection="1">
      <protection hidden="1"/>
    </xf>
    <xf numFmtId="171" fontId="37" fillId="4" borderId="49" xfId="0" applyNumberFormat="1" applyFont="1" applyFill="1" applyBorder="1" applyProtection="1">
      <protection hidden="1"/>
    </xf>
    <xf numFmtId="4" fontId="0" fillId="0" borderId="48" xfId="0" applyNumberFormat="1" applyBorder="1"/>
    <xf numFmtId="4" fontId="0" fillId="0" borderId="49" xfId="0" applyNumberFormat="1" applyBorder="1"/>
    <xf numFmtId="4" fontId="0" fillId="0" borderId="50" xfId="0" applyNumberFormat="1" applyBorder="1"/>
    <xf numFmtId="3" fontId="37" fillId="3" borderId="0" xfId="0" applyNumberFormat="1" applyFont="1" applyFill="1" applyBorder="1" applyProtection="1">
      <protection hidden="1"/>
    </xf>
    <xf numFmtId="14" fontId="37" fillId="3" borderId="0" xfId="0" applyNumberFormat="1" applyFont="1" applyFill="1" applyBorder="1" applyProtection="1">
      <protection hidden="1"/>
    </xf>
    <xf numFmtId="4" fontId="37" fillId="3" borderId="0" xfId="0" applyNumberFormat="1" applyFont="1" applyFill="1" applyBorder="1" applyProtection="1">
      <protection hidden="1"/>
    </xf>
    <xf numFmtId="0" fontId="0" fillId="3" borderId="0" xfId="0" applyFill="1" applyBorder="1"/>
    <xf numFmtId="172" fontId="5" fillId="0" borderId="0" xfId="0" applyNumberFormat="1" applyFont="1" applyBorder="1" applyAlignment="1" applyProtection="1">
      <alignment horizontal="center"/>
    </xf>
    <xf numFmtId="0" fontId="5" fillId="2" borderId="0" xfId="0" applyFont="1" applyFill="1" applyBorder="1" applyAlignment="1" applyProtection="1">
      <alignment vertical="center"/>
      <protection hidden="1"/>
    </xf>
    <xf numFmtId="0" fontId="24" fillId="2" borderId="6" xfId="0" applyFont="1" applyFill="1" applyBorder="1" applyAlignment="1" applyProtection="1">
      <alignment horizontal="right" vertical="center"/>
      <protection hidden="1"/>
    </xf>
    <xf numFmtId="0" fontId="24" fillId="2" borderId="6" xfId="0" applyFont="1" applyFill="1" applyBorder="1" applyAlignment="1" applyProtection="1">
      <alignment horizontal="right" vertical="center" wrapText="1"/>
      <protection hidden="1"/>
    </xf>
    <xf numFmtId="0" fontId="5" fillId="2" borderId="0" xfId="0" applyFont="1" applyFill="1" applyAlignment="1" applyProtection="1">
      <alignment vertical="center"/>
      <protection hidden="1"/>
    </xf>
    <xf numFmtId="168" fontId="5" fillId="2" borderId="0" xfId="0" applyNumberFormat="1" applyFont="1" applyFill="1" applyBorder="1" applyAlignment="1" applyProtection="1">
      <alignment vertical="center"/>
      <protection hidden="1"/>
    </xf>
    <xf numFmtId="168" fontId="5" fillId="2" borderId="0" xfId="0" applyNumberFormat="1" applyFont="1" applyFill="1" applyBorder="1" applyAlignment="1" applyProtection="1">
      <alignment horizontal="center" vertical="center"/>
      <protection hidden="1"/>
    </xf>
    <xf numFmtId="0" fontId="26" fillId="2" borderId="4" xfId="0" applyFont="1" applyFill="1" applyBorder="1" applyAlignment="1" applyProtection="1">
      <alignment horizontal="right" vertical="center"/>
      <protection hidden="1"/>
    </xf>
    <xf numFmtId="0" fontId="25" fillId="2" borderId="7" xfId="0" applyFont="1" applyFill="1" applyBorder="1" applyAlignment="1" applyProtection="1">
      <alignment horizontal="right" vertical="center"/>
      <protection hidden="1"/>
    </xf>
    <xf numFmtId="0" fontId="5" fillId="2" borderId="0" xfId="0" applyNumberFormat="1" applyFont="1" applyFill="1" applyBorder="1" applyAlignment="1" applyProtection="1">
      <alignment vertical="center"/>
      <protection hidden="1"/>
    </xf>
    <xf numFmtId="0" fontId="25" fillId="2" borderId="0" xfId="0" applyFont="1" applyFill="1" applyAlignment="1" applyProtection="1">
      <alignment horizontal="right" vertical="center"/>
      <protection hidden="1"/>
    </xf>
    <xf numFmtId="0" fontId="0" fillId="0" borderId="0" xfId="0" applyAlignment="1">
      <alignment horizontal="center" vertical="center"/>
    </xf>
    <xf numFmtId="0" fontId="0" fillId="0" borderId="0" xfId="0" applyAlignment="1" applyProtection="1">
      <alignment horizontal="center" vertical="center"/>
      <protection hidden="1"/>
    </xf>
    <xf numFmtId="167" fontId="31" fillId="2" borderId="0" xfId="0" applyNumberFormat="1" applyFont="1" applyFill="1" applyBorder="1" applyAlignment="1" applyProtection="1">
      <alignment vertical="center"/>
      <protection hidden="1"/>
    </xf>
    <xf numFmtId="0" fontId="25" fillId="2" borderId="0" xfId="0" applyFont="1" applyFill="1" applyAlignment="1" applyProtection="1">
      <alignment horizontal="center" vertical="center"/>
      <protection hidden="1"/>
    </xf>
    <xf numFmtId="164" fontId="5" fillId="2" borderId="0" xfId="0" applyNumberFormat="1" applyFont="1" applyFill="1" applyBorder="1" applyAlignment="1" applyProtection="1">
      <alignment vertical="center"/>
      <protection hidden="1"/>
    </xf>
    <xf numFmtId="43" fontId="5" fillId="2" borderId="0" xfId="0" applyNumberFormat="1" applyFont="1" applyFill="1" applyBorder="1" applyAlignment="1" applyProtection="1">
      <alignment vertical="center"/>
      <protection hidden="1"/>
    </xf>
    <xf numFmtId="0" fontId="45" fillId="2" borderId="0" xfId="0" applyFont="1" applyFill="1" applyAlignment="1" applyProtection="1">
      <alignment horizontal="center" vertical="center"/>
      <protection hidden="1"/>
    </xf>
    <xf numFmtId="167" fontId="45" fillId="2" borderId="0" xfId="0" applyNumberFormat="1" applyFont="1" applyFill="1" applyAlignment="1" applyProtection="1">
      <alignment horizontal="center" vertical="center"/>
      <protection hidden="1"/>
    </xf>
    <xf numFmtId="0" fontId="31" fillId="2" borderId="0" xfId="0" applyNumberFormat="1" applyFont="1" applyFill="1" applyBorder="1" applyAlignment="1" applyProtection="1">
      <alignment vertical="center"/>
      <protection hidden="1"/>
    </xf>
    <xf numFmtId="0" fontId="31" fillId="2" borderId="0" xfId="0" applyNumberFormat="1" applyFont="1" applyFill="1" applyBorder="1" applyAlignment="1" applyProtection="1">
      <alignment horizontal="center" vertical="center"/>
      <protection hidden="1"/>
    </xf>
    <xf numFmtId="0" fontId="5" fillId="2" borderId="0" xfId="0" applyNumberFormat="1" applyFont="1" applyFill="1" applyBorder="1" applyAlignment="1" applyProtection="1">
      <alignment horizontal="center" vertical="center"/>
      <protection hidden="1"/>
    </xf>
    <xf numFmtId="0" fontId="29" fillId="2" borderId="0" xfId="0" applyNumberFormat="1" applyFont="1" applyFill="1" applyBorder="1" applyAlignment="1" applyProtection="1">
      <alignment vertical="center"/>
      <protection hidden="1"/>
    </xf>
    <xf numFmtId="0" fontId="30" fillId="2" borderId="0" xfId="0" applyNumberFormat="1" applyFont="1" applyFill="1" applyProtection="1">
      <protection hidden="1"/>
    </xf>
    <xf numFmtId="43" fontId="29" fillId="2" borderId="0" xfId="2" applyNumberFormat="1" applyFont="1" applyFill="1" applyBorder="1" applyAlignment="1" applyProtection="1">
      <alignment vertical="center"/>
      <protection hidden="1"/>
    </xf>
    <xf numFmtId="0" fontId="31" fillId="2" borderId="0" xfId="0" applyFont="1" applyFill="1" applyAlignment="1" applyProtection="1">
      <alignment horizontal="center" vertical="center"/>
      <protection hidden="1"/>
    </xf>
    <xf numFmtId="4" fontId="44" fillId="2" borderId="0" xfId="0" applyNumberFormat="1" applyFont="1" applyFill="1" applyAlignment="1" applyProtection="1">
      <alignment horizontal="center" vertical="center"/>
      <protection hidden="1"/>
    </xf>
    <xf numFmtId="4" fontId="45" fillId="2" borderId="0" xfId="0" applyNumberFormat="1" applyFont="1" applyFill="1" applyAlignment="1" applyProtection="1">
      <alignment horizontal="center" vertical="center"/>
      <protection hidden="1"/>
    </xf>
    <xf numFmtId="4" fontId="46" fillId="2" borderId="0" xfId="0" applyNumberFormat="1" applyFont="1" applyFill="1" applyAlignment="1" applyProtection="1">
      <alignment horizontal="center" vertical="center"/>
      <protection hidden="1"/>
    </xf>
    <xf numFmtId="10" fontId="0" fillId="0" borderId="0" xfId="0" applyNumberFormat="1" applyAlignment="1" applyProtection="1">
      <alignment horizontal="center" vertical="center"/>
      <protection hidden="1"/>
    </xf>
    <xf numFmtId="10" fontId="0" fillId="0" borderId="0" xfId="0" applyNumberFormat="1" applyProtection="1">
      <protection hidden="1"/>
    </xf>
    <xf numFmtId="0" fontId="47" fillId="18" borderId="5" xfId="0" applyFont="1" applyFill="1" applyBorder="1" applyAlignment="1" applyProtection="1">
      <alignment horizontal="center" vertical="center"/>
      <protection hidden="1"/>
    </xf>
    <xf numFmtId="0" fontId="48" fillId="0" borderId="0" xfId="0" applyFont="1" applyAlignment="1" applyProtection="1">
      <alignment vertical="center"/>
      <protection hidden="1"/>
    </xf>
    <xf numFmtId="10" fontId="0" fillId="0" borderId="0" xfId="62" applyNumberFormat="1" applyFont="1" applyProtection="1">
      <protection hidden="1"/>
    </xf>
    <xf numFmtId="164" fontId="29" fillId="2" borderId="0" xfId="2" applyNumberFormat="1" applyFont="1" applyFill="1" applyBorder="1" applyAlignment="1" applyProtection="1">
      <alignment vertical="center"/>
      <protection hidden="1"/>
    </xf>
    <xf numFmtId="0" fontId="0" fillId="0" borderId="0" xfId="0" applyAlignment="1" applyProtection="1">
      <protection locked="0"/>
    </xf>
    <xf numFmtId="0" fontId="1" fillId="3" borderId="59" xfId="0" applyFont="1" applyFill="1" applyBorder="1" applyAlignment="1" applyProtection="1">
      <alignment vertical="center"/>
      <protection locked="0"/>
    </xf>
    <xf numFmtId="4" fontId="7" fillId="4" borderId="2" xfId="60" applyNumberFormat="1" applyFont="1" applyFill="1" applyBorder="1" applyAlignment="1" applyProtection="1">
      <alignment horizontal="right" vertical="center"/>
      <protection hidden="1"/>
    </xf>
    <xf numFmtId="4" fontId="7" fillId="2" borderId="0" xfId="3" applyNumberFormat="1" applyFont="1" applyFill="1" applyAlignment="1" applyProtection="1">
      <alignment horizontal="right" vertical="center"/>
      <protection hidden="1"/>
    </xf>
    <xf numFmtId="0" fontId="7" fillId="19" borderId="2" xfId="3" applyFont="1" applyFill="1" applyBorder="1" applyProtection="1">
      <protection hidden="1"/>
    </xf>
    <xf numFmtId="0" fontId="7" fillId="19" borderId="2" xfId="3" applyFont="1" applyFill="1" applyBorder="1" applyAlignment="1" applyProtection="1">
      <alignment horizontal="left"/>
      <protection hidden="1"/>
    </xf>
    <xf numFmtId="2" fontId="7" fillId="4" borderId="2" xfId="60" applyNumberFormat="1" applyFont="1" applyFill="1" applyBorder="1" applyAlignment="1" applyProtection="1">
      <alignment horizontal="right" vertical="center"/>
      <protection hidden="1"/>
    </xf>
    <xf numFmtId="2" fontId="7" fillId="2" borderId="0" xfId="3" applyNumberFormat="1" applyFont="1" applyFill="1" applyAlignment="1" applyProtection="1">
      <alignment horizontal="right" vertical="center"/>
      <protection hidden="1"/>
    </xf>
    <xf numFmtId="0" fontId="55" fillId="10" borderId="2" xfId="0" applyNumberFormat="1" applyFont="1" applyFill="1" applyBorder="1" applyAlignment="1" applyProtection="1">
      <alignment horizontal="center" vertical="center" wrapText="1"/>
      <protection hidden="1"/>
    </xf>
    <xf numFmtId="0" fontId="0" fillId="6" borderId="2" xfId="0" applyFill="1" applyBorder="1" applyAlignment="1" applyProtection="1">
      <alignment horizontal="center" vertical="center"/>
      <protection hidden="1"/>
    </xf>
    <xf numFmtId="0" fontId="56" fillId="0" borderId="0" xfId="0" applyFont="1" applyAlignment="1" applyProtection="1">
      <alignment vertical="center" wrapText="1"/>
      <protection hidden="1"/>
    </xf>
    <xf numFmtId="0" fontId="0" fillId="6" borderId="0" xfId="0" applyFill="1" applyProtection="1">
      <protection hidden="1"/>
    </xf>
    <xf numFmtId="0" fontId="0" fillId="6" borderId="0" xfId="0" applyFill="1" applyAlignment="1" applyProtection="1">
      <alignment horizontal="center" vertical="center"/>
      <protection hidden="1"/>
    </xf>
    <xf numFmtId="10" fontId="56" fillId="6" borderId="0" xfId="0" applyNumberFormat="1" applyFont="1" applyFill="1" applyProtection="1">
      <protection hidden="1"/>
    </xf>
    <xf numFmtId="37" fontId="0" fillId="6" borderId="2" xfId="0" applyNumberFormat="1" applyFill="1" applyBorder="1" applyAlignment="1" applyProtection="1">
      <alignment horizontal="center" vertical="center"/>
      <protection hidden="1"/>
    </xf>
    <xf numFmtId="10" fontId="0" fillId="6" borderId="2" xfId="0" applyNumberFormat="1" applyFill="1" applyBorder="1" applyProtection="1">
      <protection hidden="1"/>
    </xf>
    <xf numFmtId="0" fontId="0" fillId="6" borderId="84" xfId="0" applyFill="1" applyBorder="1" applyProtection="1">
      <protection hidden="1"/>
    </xf>
    <xf numFmtId="0" fontId="56" fillId="0" borderId="0" xfId="0" applyFont="1" applyProtection="1">
      <protection hidden="1"/>
    </xf>
    <xf numFmtId="49" fontId="0" fillId="6" borderId="0" xfId="0" applyNumberFormat="1" applyFill="1" applyAlignment="1" applyProtection="1">
      <alignment horizontal="center" vertical="center"/>
      <protection hidden="1"/>
    </xf>
    <xf numFmtId="0" fontId="0" fillId="6" borderId="15" xfId="0" applyFill="1" applyBorder="1" applyProtection="1">
      <protection hidden="1"/>
    </xf>
    <xf numFmtId="10" fontId="0" fillId="6" borderId="0" xfId="0" applyNumberFormat="1" applyFill="1" applyProtection="1">
      <protection hidden="1"/>
    </xf>
    <xf numFmtId="10" fontId="0" fillId="6" borderId="2" xfId="0" applyNumberFormat="1" applyFill="1" applyBorder="1" applyAlignment="1" applyProtection="1">
      <alignment horizontal="center" vertical="center"/>
      <protection hidden="1"/>
    </xf>
    <xf numFmtId="0" fontId="0" fillId="6" borderId="85" xfId="0" applyFill="1" applyBorder="1" applyAlignment="1" applyProtection="1">
      <alignment wrapText="1"/>
      <protection hidden="1"/>
    </xf>
    <xf numFmtId="0" fontId="2" fillId="0" borderId="64" xfId="0" applyFont="1" applyFill="1" applyBorder="1" applyAlignment="1" applyProtection="1">
      <alignment horizontal="left" vertical="center" wrapText="1"/>
      <protection locked="0"/>
    </xf>
    <xf numFmtId="10" fontId="2" fillId="0" borderId="64" xfId="0" applyNumberFormat="1" applyFont="1" applyFill="1" applyBorder="1" applyAlignment="1" applyProtection="1">
      <alignment horizontal="center" vertical="center" wrapText="1"/>
      <protection locked="0"/>
    </xf>
    <xf numFmtId="175" fontId="5" fillId="0" borderId="73" xfId="0" applyNumberFormat="1" applyFont="1" applyFill="1" applyBorder="1" applyAlignment="1" applyProtection="1">
      <alignment horizontal="center" vertical="center"/>
      <protection locked="0"/>
    </xf>
    <xf numFmtId="3" fontId="49" fillId="6" borderId="2" xfId="3" applyNumberFormat="1" applyFont="1" applyFill="1" applyBorder="1" applyAlignment="1" applyProtection="1">
      <alignment horizontal="center" vertical="center"/>
      <protection hidden="1"/>
    </xf>
    <xf numFmtId="0" fontId="57" fillId="12" borderId="0" xfId="0" applyFont="1" applyFill="1" applyBorder="1" applyProtection="1">
      <protection hidden="1"/>
    </xf>
    <xf numFmtId="4" fontId="58" fillId="13" borderId="34" xfId="0" applyNumberFormat="1" applyFont="1" applyFill="1" applyBorder="1" applyProtection="1">
      <protection hidden="1"/>
    </xf>
    <xf numFmtId="174" fontId="0" fillId="0" borderId="0" xfId="0" applyNumberFormat="1" applyBorder="1"/>
    <xf numFmtId="4" fontId="0" fillId="0" borderId="0" xfId="0" applyNumberFormat="1" applyFill="1" applyBorder="1" applyAlignment="1" applyProtection="1">
      <alignment horizontal="center" vertical="center"/>
      <protection hidden="1"/>
    </xf>
    <xf numFmtId="0" fontId="0" fillId="0" borderId="0" xfId="0" applyFill="1" applyBorder="1" applyAlignment="1" applyProtection="1">
      <alignment horizontal="center" vertical="center" wrapText="1"/>
      <protection hidden="1"/>
    </xf>
    <xf numFmtId="0" fontId="55" fillId="10" borderId="18" xfId="0" applyNumberFormat="1" applyFont="1" applyFill="1" applyBorder="1" applyAlignment="1" applyProtection="1">
      <alignment horizontal="center" vertical="center" wrapText="1"/>
      <protection hidden="1"/>
    </xf>
    <xf numFmtId="41" fontId="48" fillId="6" borderId="14" xfId="0" applyNumberFormat="1" applyFont="1" applyFill="1" applyBorder="1" applyAlignment="1" applyProtection="1">
      <alignment horizontal="center" vertical="center"/>
      <protection hidden="1"/>
    </xf>
    <xf numFmtId="41" fontId="48" fillId="6" borderId="86" xfId="0" applyNumberFormat="1" applyFont="1" applyFill="1" applyBorder="1" applyAlignment="1" applyProtection="1">
      <alignment horizontal="center" vertical="center"/>
      <protection hidden="1"/>
    </xf>
    <xf numFmtId="10" fontId="49" fillId="6" borderId="2" xfId="37" applyNumberFormat="1" applyFont="1" applyFill="1" applyBorder="1" applyAlignment="1" applyProtection="1">
      <alignment horizontal="center" vertical="center"/>
      <protection hidden="1"/>
    </xf>
    <xf numFmtId="10" fontId="0" fillId="6" borderId="2" xfId="0" applyNumberFormat="1" applyFill="1" applyBorder="1" applyAlignment="1" applyProtection="1">
      <alignment horizontal="center" vertical="center"/>
      <protection hidden="1"/>
    </xf>
    <xf numFmtId="3" fontId="49" fillId="6" borderId="14" xfId="3" applyNumberFormat="1" applyFont="1" applyFill="1" applyBorder="1" applyAlignment="1" applyProtection="1">
      <alignment horizontal="center" vertical="center"/>
      <protection hidden="1"/>
    </xf>
    <xf numFmtId="0" fontId="1" fillId="0" borderId="100" xfId="0" applyNumberFormat="1" applyFont="1" applyFill="1" applyBorder="1" applyAlignment="1" applyProtection="1">
      <alignment horizontal="center" vertical="center"/>
      <protection locked="0"/>
    </xf>
    <xf numFmtId="10" fontId="49" fillId="6" borderId="18" xfId="3" applyNumberFormat="1" applyFont="1" applyFill="1" applyBorder="1" applyAlignment="1" applyProtection="1">
      <alignment horizontal="center" vertical="center" wrapText="1"/>
      <protection hidden="1"/>
    </xf>
    <xf numFmtId="0" fontId="1" fillId="0" borderId="73" xfId="0" applyNumberFormat="1" applyFont="1" applyFill="1" applyBorder="1" applyAlignment="1" applyProtection="1">
      <alignment horizontal="center" vertical="center"/>
      <protection locked="0"/>
    </xf>
    <xf numFmtId="176" fontId="2" fillId="0" borderId="64" xfId="0" applyNumberFormat="1" applyFont="1" applyFill="1" applyBorder="1" applyAlignment="1" applyProtection="1">
      <alignment horizontal="center" vertical="center" wrapText="1"/>
      <protection locked="0"/>
    </xf>
    <xf numFmtId="3" fontId="1" fillId="0" borderId="73" xfId="0" applyNumberFormat="1" applyFont="1" applyFill="1" applyBorder="1" applyAlignment="1" applyProtection="1">
      <alignment horizontal="center" vertical="center"/>
      <protection locked="0"/>
    </xf>
    <xf numFmtId="9" fontId="49" fillId="6" borderId="2" xfId="3" applyNumberFormat="1" applyFont="1" applyFill="1" applyBorder="1" applyAlignment="1" applyProtection="1">
      <alignment horizontal="center" vertical="center"/>
      <protection hidden="1"/>
    </xf>
    <xf numFmtId="9" fontId="49" fillId="6" borderId="14" xfId="3" applyNumberFormat="1" applyFont="1" applyFill="1" applyBorder="1" applyAlignment="1" applyProtection="1">
      <alignment horizontal="center" vertical="center"/>
      <protection hidden="1"/>
    </xf>
    <xf numFmtId="9" fontId="1" fillId="0" borderId="73" xfId="0" applyNumberFormat="1" applyFont="1" applyFill="1" applyBorder="1" applyAlignment="1" applyProtection="1">
      <alignment horizontal="center" vertical="center"/>
      <protection locked="0"/>
    </xf>
    <xf numFmtId="176" fontId="49" fillId="6" borderId="86" xfId="3" applyNumberFormat="1" applyFont="1" applyFill="1" applyBorder="1" applyAlignment="1" applyProtection="1">
      <alignment horizontal="center" vertical="center"/>
      <protection hidden="1"/>
    </xf>
    <xf numFmtId="3" fontId="49" fillId="10" borderId="2" xfId="3" applyNumberFormat="1" applyFont="1" applyFill="1" applyBorder="1" applyAlignment="1" applyProtection="1">
      <alignment horizontal="center" vertical="center"/>
      <protection hidden="1"/>
    </xf>
    <xf numFmtId="2" fontId="1" fillId="0" borderId="28" xfId="0" applyNumberFormat="1" applyFont="1" applyFill="1" applyBorder="1" applyAlignment="1" applyProtection="1">
      <alignment horizontal="center" vertical="center"/>
      <protection locked="0"/>
    </xf>
    <xf numFmtId="2" fontId="1" fillId="0" borderId="73" xfId="0" applyNumberFormat="1" applyFont="1" applyFill="1" applyBorder="1" applyAlignment="1" applyProtection="1">
      <alignment horizontal="center" vertical="center"/>
      <protection locked="0"/>
    </xf>
    <xf numFmtId="0" fontId="62" fillId="0" borderId="28" xfId="0" applyFont="1" applyFill="1" applyBorder="1" applyAlignment="1" applyProtection="1">
      <alignment horizontal="center" vertical="center"/>
      <protection locked="0"/>
    </xf>
    <xf numFmtId="43" fontId="50" fillId="10" borderId="18" xfId="3" applyNumberFormat="1" applyFont="1" applyFill="1" applyBorder="1" applyAlignment="1" applyProtection="1">
      <alignment horizontal="center" vertical="center"/>
      <protection hidden="1"/>
    </xf>
    <xf numFmtId="2" fontId="1" fillId="3" borderId="73" xfId="1" applyNumberFormat="1" applyFont="1" applyFill="1" applyBorder="1" applyAlignment="1" applyProtection="1">
      <alignment horizontal="center" vertical="center" wrapText="1"/>
      <protection locked="0"/>
    </xf>
    <xf numFmtId="4" fontId="49" fillId="6" borderId="2" xfId="3" applyNumberFormat="1" applyFont="1" applyFill="1" applyBorder="1" applyAlignment="1" applyProtection="1">
      <alignment horizontal="center" vertical="center"/>
      <protection hidden="1"/>
    </xf>
    <xf numFmtId="41" fontId="48" fillId="6" borderId="2" xfId="0" applyNumberFormat="1" applyFont="1" applyFill="1" applyBorder="1" applyAlignment="1" applyProtection="1">
      <alignment horizontal="center" vertical="center"/>
      <protection hidden="1"/>
    </xf>
    <xf numFmtId="41" fontId="48" fillId="6" borderId="18" xfId="0" applyNumberFormat="1" applyFont="1" applyFill="1" applyBorder="1" applyAlignment="1" applyProtection="1">
      <alignment horizontal="center" vertical="center"/>
      <protection hidden="1"/>
    </xf>
    <xf numFmtId="3" fontId="50" fillId="10" borderId="18" xfId="3" applyNumberFormat="1" applyFont="1" applyFill="1" applyBorder="1" applyAlignment="1" applyProtection="1">
      <alignment horizontal="center" vertical="center"/>
      <protection hidden="1"/>
    </xf>
    <xf numFmtId="0" fontId="0" fillId="10" borderId="13" xfId="0" applyFill="1" applyBorder="1" applyAlignment="1" applyProtection="1">
      <alignment horizontal="left" vertical="center" wrapText="1"/>
      <protection hidden="1"/>
    </xf>
    <xf numFmtId="0" fontId="0" fillId="10" borderId="2" xfId="0" applyFill="1" applyBorder="1" applyAlignment="1" applyProtection="1">
      <alignment horizontal="left" vertical="center" wrapText="1"/>
      <protection hidden="1"/>
    </xf>
    <xf numFmtId="176" fontId="0" fillId="0" borderId="2" xfId="0" applyNumberFormat="1" applyFill="1" applyBorder="1" applyAlignment="1" applyProtection="1">
      <alignment horizontal="left" vertical="center" wrapText="1"/>
      <protection locked="0"/>
    </xf>
    <xf numFmtId="0" fontId="48" fillId="0" borderId="0" xfId="0" applyFont="1" applyAlignment="1" applyProtection="1">
      <alignment horizontal="left" vertical="center"/>
      <protection hidden="1"/>
    </xf>
    <xf numFmtId="0" fontId="0" fillId="10" borderId="63" xfId="0" applyFill="1" applyBorder="1" applyAlignment="1" applyProtection="1">
      <alignment horizontal="left" vertical="center" wrapText="1"/>
      <protection hidden="1"/>
    </xf>
    <xf numFmtId="0" fontId="0" fillId="10" borderId="18" xfId="0" applyFill="1" applyBorder="1" applyAlignment="1" applyProtection="1">
      <alignment horizontal="left" vertical="center" wrapText="1"/>
      <protection hidden="1"/>
    </xf>
    <xf numFmtId="176" fontId="0" fillId="0" borderId="18" xfId="0" applyNumberFormat="1" applyFill="1" applyBorder="1" applyAlignment="1" applyProtection="1">
      <alignment horizontal="left" vertical="center" wrapText="1"/>
      <protection locked="0"/>
    </xf>
    <xf numFmtId="43" fontId="50" fillId="10" borderId="86" xfId="3" applyNumberFormat="1" applyFont="1" applyFill="1" applyBorder="1" applyAlignment="1" applyProtection="1">
      <alignment horizontal="center" vertical="center"/>
      <protection hidden="1"/>
    </xf>
    <xf numFmtId="0" fontId="44" fillId="13" borderId="0" xfId="0" applyFont="1" applyFill="1" applyAlignment="1" applyProtection="1">
      <alignment horizontal="center" vertical="center" wrapText="1"/>
    </xf>
    <xf numFmtId="0" fontId="1" fillId="0" borderId="28" xfId="0" applyFont="1" applyFill="1" applyBorder="1" applyAlignment="1" applyProtection="1">
      <alignment horizontal="center" vertical="center"/>
      <protection locked="0"/>
    </xf>
    <xf numFmtId="0" fontId="1" fillId="3" borderId="28" xfId="0" applyFont="1" applyFill="1" applyBorder="1" applyAlignment="1" applyProtection="1">
      <alignment horizontal="center" vertical="center"/>
      <protection locked="0"/>
    </xf>
    <xf numFmtId="49" fontId="1" fillId="3" borderId="28" xfId="0" applyNumberFormat="1" applyFont="1" applyFill="1" applyBorder="1" applyAlignment="1" applyProtection="1">
      <alignment horizontal="center" vertical="center"/>
      <protection locked="0"/>
    </xf>
    <xf numFmtId="0" fontId="2" fillId="0" borderId="64" xfId="0" applyFont="1" applyFill="1" applyBorder="1" applyAlignment="1" applyProtection="1">
      <alignment horizontal="center" vertical="center" wrapText="1"/>
      <protection locked="0"/>
    </xf>
    <xf numFmtId="10" fontId="1" fillId="0" borderId="104" xfId="0" applyNumberFormat="1" applyFont="1" applyFill="1" applyBorder="1" applyAlignment="1" applyProtection="1">
      <alignment horizontal="center" vertical="center"/>
      <protection locked="0"/>
    </xf>
    <xf numFmtId="2" fontId="0" fillId="0" borderId="0" xfId="0" applyNumberFormat="1" applyFill="1" applyBorder="1" applyProtection="1">
      <protection hidden="1"/>
    </xf>
    <xf numFmtId="0" fontId="47" fillId="18" borderId="5" xfId="0" applyFont="1" applyFill="1" applyBorder="1" applyAlignment="1" applyProtection="1">
      <alignment horizontal="center" vertical="center"/>
    </xf>
    <xf numFmtId="0" fontId="5" fillId="2" borderId="0" xfId="0" applyFont="1" applyFill="1" applyBorder="1" applyAlignment="1" applyProtection="1">
      <alignment vertical="center"/>
    </xf>
    <xf numFmtId="0" fontId="24" fillId="2" borderId="6" xfId="0" applyFont="1" applyFill="1" applyBorder="1" applyAlignment="1" applyProtection="1">
      <alignment horizontal="right" vertical="center"/>
    </xf>
    <xf numFmtId="0" fontId="5" fillId="2" borderId="0" xfId="0" applyFont="1" applyFill="1" applyAlignment="1" applyProtection="1">
      <alignment vertical="center"/>
    </xf>
    <xf numFmtId="0" fontId="30" fillId="15" borderId="2" xfId="0" applyNumberFormat="1" applyFont="1" applyFill="1" applyBorder="1" applyAlignment="1" applyProtection="1">
      <alignment vertical="center"/>
    </xf>
    <xf numFmtId="4" fontId="30" fillId="15" borderId="2" xfId="0" applyNumberFormat="1" applyFont="1" applyFill="1" applyBorder="1" applyAlignment="1" applyProtection="1">
      <alignment vertical="center"/>
    </xf>
    <xf numFmtId="0" fontId="29" fillId="15" borderId="2" xfId="0" applyNumberFormat="1" applyFont="1" applyFill="1" applyBorder="1" applyAlignment="1" applyProtection="1">
      <alignment vertical="center"/>
    </xf>
    <xf numFmtId="0" fontId="24" fillId="2" borderId="6" xfId="0" applyFont="1" applyFill="1" applyBorder="1" applyAlignment="1" applyProtection="1">
      <alignment horizontal="right" vertical="center" wrapText="1"/>
    </xf>
    <xf numFmtId="0" fontId="29" fillId="2" borderId="0" xfId="0" applyNumberFormat="1" applyFont="1" applyFill="1" applyBorder="1" applyAlignment="1" applyProtection="1">
      <alignment vertical="center"/>
    </xf>
    <xf numFmtId="4" fontId="30" fillId="2" borderId="0" xfId="0" applyNumberFormat="1" applyFont="1" applyFill="1" applyBorder="1" applyAlignment="1" applyProtection="1">
      <alignment vertical="center"/>
    </xf>
    <xf numFmtId="0" fontId="25" fillId="2" borderId="0" xfId="0" applyFont="1" applyFill="1" applyBorder="1" applyAlignment="1" applyProtection="1">
      <alignment horizontal="right" vertical="center"/>
    </xf>
    <xf numFmtId="0" fontId="25" fillId="2" borderId="6" xfId="0" applyFont="1" applyFill="1" applyBorder="1" applyAlignment="1" applyProtection="1">
      <alignment horizontal="right" vertical="center"/>
    </xf>
    <xf numFmtId="10" fontId="1" fillId="15" borderId="104" xfId="0" applyNumberFormat="1" applyFont="1" applyFill="1" applyBorder="1" applyAlignment="1" applyProtection="1">
      <alignment horizontal="center" vertical="center"/>
    </xf>
    <xf numFmtId="0" fontId="5" fillId="21" borderId="0" xfId="0" applyFont="1" applyFill="1" applyBorder="1" applyAlignment="1" applyProtection="1">
      <alignment vertical="center"/>
    </xf>
    <xf numFmtId="10" fontId="1" fillId="15" borderId="59" xfId="0" applyNumberFormat="1" applyFont="1" applyFill="1" applyBorder="1" applyAlignment="1" applyProtection="1">
      <alignment horizontal="center" vertical="center"/>
    </xf>
    <xf numFmtId="0" fontId="5" fillId="21" borderId="0" xfId="0" applyFont="1" applyFill="1" applyAlignment="1" applyProtection="1">
      <alignment vertical="center"/>
    </xf>
    <xf numFmtId="10" fontId="1" fillId="15" borderId="28" xfId="0" applyNumberFormat="1" applyFont="1" applyFill="1" applyBorder="1" applyAlignment="1" applyProtection="1">
      <alignment horizontal="center" vertical="center"/>
    </xf>
    <xf numFmtId="167" fontId="5" fillId="2" borderId="0" xfId="0" applyNumberFormat="1" applyFont="1" applyFill="1" applyAlignment="1" applyProtection="1">
      <alignment vertical="center"/>
    </xf>
    <xf numFmtId="167" fontId="5" fillId="2" borderId="0" xfId="0" applyNumberFormat="1" applyFont="1" applyFill="1" applyBorder="1" applyAlignment="1" applyProtection="1">
      <alignment vertical="center"/>
    </xf>
    <xf numFmtId="0" fontId="24" fillId="2" borderId="60" xfId="0" applyFont="1" applyFill="1" applyBorder="1" applyAlignment="1" applyProtection="1">
      <alignment horizontal="right" vertical="center"/>
    </xf>
    <xf numFmtId="0" fontId="24" fillId="2" borderId="89" xfId="0" applyFont="1" applyFill="1" applyBorder="1" applyAlignment="1" applyProtection="1">
      <alignment horizontal="right" vertical="center"/>
    </xf>
    <xf numFmtId="0" fontId="1" fillId="15" borderId="73" xfId="0" applyNumberFormat="1" applyFont="1" applyFill="1" applyBorder="1" applyAlignment="1" applyProtection="1">
      <alignment horizontal="center" vertical="center" wrapText="1"/>
    </xf>
    <xf numFmtId="0" fontId="1" fillId="15" borderId="90" xfId="0" applyNumberFormat="1" applyFont="1" applyFill="1" applyBorder="1" applyAlignment="1" applyProtection="1">
      <alignment horizontal="center" vertical="center" wrapText="1"/>
    </xf>
    <xf numFmtId="43" fontId="1" fillId="15" borderId="90" xfId="0" applyNumberFormat="1" applyFont="1" applyFill="1" applyBorder="1" applyAlignment="1" applyProtection="1">
      <alignment horizontal="center" vertical="center"/>
    </xf>
    <xf numFmtId="0" fontId="24" fillId="2" borderId="91" xfId="0" applyFont="1" applyFill="1" applyBorder="1" applyAlignment="1" applyProtection="1">
      <alignment horizontal="right" vertical="center"/>
    </xf>
    <xf numFmtId="43" fontId="1" fillId="15" borderId="99" xfId="0" applyNumberFormat="1" applyFont="1" applyFill="1" applyBorder="1" applyAlignment="1" applyProtection="1">
      <alignment horizontal="center" vertical="center"/>
    </xf>
    <xf numFmtId="0" fontId="4" fillId="9" borderId="21" xfId="0" applyFont="1" applyFill="1" applyBorder="1" applyAlignment="1" applyProtection="1">
      <alignment horizontal="center" vertical="center"/>
    </xf>
    <xf numFmtId="0" fontId="4" fillId="9" borderId="0" xfId="0" applyFont="1" applyFill="1" applyBorder="1" applyAlignment="1" applyProtection="1">
      <alignment horizontal="center" vertical="center"/>
    </xf>
    <xf numFmtId="0" fontId="36" fillId="2" borderId="96" xfId="0" applyFont="1" applyFill="1" applyBorder="1" applyAlignment="1" applyProtection="1">
      <alignment horizontal="right" vertical="center" wrapText="1"/>
    </xf>
    <xf numFmtId="0" fontId="1" fillId="15" borderId="97" xfId="0" applyNumberFormat="1" applyFont="1" applyFill="1" applyBorder="1" applyAlignment="1" applyProtection="1">
      <alignment horizontal="center" vertical="center"/>
    </xf>
    <xf numFmtId="9" fontId="1" fillId="15" borderId="97" xfId="0" applyNumberFormat="1" applyFont="1" applyFill="1" applyBorder="1" applyAlignment="1" applyProtection="1">
      <alignment horizontal="center" vertical="center"/>
    </xf>
    <xf numFmtId="4" fontId="1" fillId="15" borderId="94" xfId="0" applyNumberFormat="1" applyFont="1" applyFill="1" applyBorder="1" applyAlignment="1" applyProtection="1">
      <alignment horizontal="center" vertical="center"/>
    </xf>
    <xf numFmtId="0" fontId="1" fillId="15" borderId="93" xfId="0" applyNumberFormat="1" applyFont="1" applyFill="1" applyBorder="1" applyAlignment="1" applyProtection="1">
      <alignment horizontal="center" vertical="center"/>
    </xf>
    <xf numFmtId="1" fontId="5" fillId="2" borderId="0" xfId="0" applyNumberFormat="1" applyFont="1" applyFill="1" applyAlignment="1" applyProtection="1">
      <alignment vertical="center"/>
    </xf>
    <xf numFmtId="167" fontId="31" fillId="2" borderId="0" xfId="0" applyNumberFormat="1" applyFont="1" applyFill="1" applyBorder="1" applyAlignment="1" applyProtection="1">
      <alignment vertical="center"/>
    </xf>
    <xf numFmtId="0" fontId="31" fillId="2" borderId="0" xfId="0" applyNumberFormat="1" applyFont="1" applyFill="1" applyBorder="1" applyAlignment="1" applyProtection="1">
      <alignment horizontal="center" vertical="center"/>
    </xf>
    <xf numFmtId="0" fontId="5" fillId="2" borderId="0" xfId="0" applyNumberFormat="1" applyFont="1" applyFill="1" applyBorder="1" applyAlignment="1" applyProtection="1">
      <alignment horizontal="center" vertical="center"/>
    </xf>
    <xf numFmtId="168" fontId="5" fillId="2" borderId="0" xfId="0" applyNumberFormat="1" applyFont="1" applyFill="1" applyBorder="1" applyAlignment="1" applyProtection="1">
      <alignment horizontal="center" vertical="center"/>
    </xf>
    <xf numFmtId="0" fontId="31" fillId="2" borderId="0" xfId="0" applyNumberFormat="1" applyFont="1" applyFill="1" applyBorder="1" applyAlignment="1" applyProtection="1">
      <alignment vertical="center"/>
    </xf>
    <xf numFmtId="0" fontId="31" fillId="16" borderId="0" xfId="0" applyNumberFormat="1" applyFont="1" applyFill="1" applyBorder="1" applyAlignment="1" applyProtection="1">
      <alignment horizontal="center" vertical="center"/>
    </xf>
    <xf numFmtId="0" fontId="31" fillId="16" borderId="0" xfId="0" applyNumberFormat="1" applyFont="1" applyFill="1" applyBorder="1" applyAlignment="1" applyProtection="1">
      <alignment vertical="center"/>
    </xf>
    <xf numFmtId="0" fontId="5" fillId="2" borderId="0" xfId="0" applyNumberFormat="1" applyFont="1" applyFill="1" applyBorder="1" applyAlignment="1" applyProtection="1">
      <alignment vertical="center"/>
    </xf>
    <xf numFmtId="168" fontId="5" fillId="2" borderId="0" xfId="0" applyNumberFormat="1" applyFont="1" applyFill="1" applyBorder="1" applyAlignment="1" applyProtection="1">
      <alignment vertical="center"/>
    </xf>
    <xf numFmtId="0" fontId="26" fillId="2" borderId="4" xfId="0" applyFont="1" applyFill="1" applyBorder="1" applyAlignment="1" applyProtection="1">
      <alignment horizontal="right" vertical="center"/>
    </xf>
    <xf numFmtId="0" fontId="5" fillId="16" borderId="0" xfId="0" applyFont="1" applyFill="1" applyBorder="1" applyAlignment="1" applyProtection="1">
      <alignment vertical="center"/>
    </xf>
    <xf numFmtId="168" fontId="5" fillId="16" borderId="0" xfId="0" applyNumberFormat="1" applyFont="1" applyFill="1" applyBorder="1" applyAlignment="1" applyProtection="1">
      <alignment vertical="center"/>
    </xf>
    <xf numFmtId="164" fontId="5" fillId="2" borderId="0" xfId="0" applyNumberFormat="1" applyFont="1" applyFill="1" applyBorder="1" applyAlignment="1" applyProtection="1">
      <alignment vertical="center"/>
    </xf>
    <xf numFmtId="43" fontId="5" fillId="2" borderId="0" xfId="0" applyNumberFormat="1" applyFont="1" applyFill="1" applyBorder="1" applyAlignment="1" applyProtection="1">
      <alignment vertical="center"/>
    </xf>
    <xf numFmtId="0" fontId="25" fillId="2" borderId="7" xfId="0" applyFont="1" applyFill="1" applyBorder="1" applyAlignment="1" applyProtection="1">
      <alignment horizontal="right" vertical="center"/>
    </xf>
    <xf numFmtId="43" fontId="29" fillId="2" borderId="0" xfId="2" applyNumberFormat="1" applyFont="1" applyFill="1" applyBorder="1" applyAlignment="1" applyProtection="1">
      <alignment vertical="center"/>
    </xf>
    <xf numFmtId="0" fontId="25" fillId="2" borderId="7" xfId="0" applyFont="1" applyFill="1" applyBorder="1" applyAlignment="1" applyProtection="1">
      <alignment horizontal="right" vertical="center" wrapText="1"/>
    </xf>
    <xf numFmtId="0" fontId="30" fillId="2" borderId="0" xfId="0" applyNumberFormat="1" applyFont="1" applyFill="1" applyProtection="1"/>
    <xf numFmtId="0" fontId="31" fillId="2" borderId="0" xfId="0" applyFont="1" applyFill="1" applyAlignment="1" applyProtection="1">
      <alignment vertical="center"/>
    </xf>
    <xf numFmtId="10" fontId="31" fillId="2" borderId="0" xfId="0" applyNumberFormat="1" applyFont="1" applyFill="1" applyAlignment="1" applyProtection="1">
      <alignment vertical="center"/>
    </xf>
    <xf numFmtId="2" fontId="5" fillId="2" borderId="0" xfId="0" applyNumberFormat="1" applyFont="1" applyFill="1" applyAlignment="1" applyProtection="1">
      <alignment vertical="center"/>
    </xf>
    <xf numFmtId="2" fontId="66" fillId="24" borderId="0" xfId="0" applyNumberFormat="1" applyFont="1" applyFill="1" applyBorder="1" applyAlignment="1" applyProtection="1">
      <alignment horizontal="center" vertical="center"/>
    </xf>
    <xf numFmtId="0" fontId="66" fillId="24" borderId="0" xfId="0" applyFont="1" applyFill="1" applyBorder="1" applyAlignment="1" applyProtection="1">
      <alignment vertical="center"/>
    </xf>
    <xf numFmtId="0" fontId="66" fillId="24" borderId="0" xfId="0" applyFont="1" applyFill="1" applyAlignment="1" applyProtection="1">
      <alignment vertical="center"/>
    </xf>
    <xf numFmtId="4" fontId="66" fillId="24" borderId="0" xfId="0" applyNumberFormat="1" applyFont="1" applyFill="1" applyAlignment="1" applyProtection="1">
      <alignment horizontal="left" vertical="center"/>
    </xf>
    <xf numFmtId="0" fontId="66" fillId="24" borderId="0" xfId="0" applyFont="1" applyFill="1" applyBorder="1" applyAlignment="1" applyProtection="1">
      <alignment vertical="center" wrapText="1"/>
    </xf>
    <xf numFmtId="0" fontId="66" fillId="24" borderId="0" xfId="0" applyFont="1" applyFill="1" applyBorder="1" applyAlignment="1" applyProtection="1">
      <alignment horizontal="left" vertical="center"/>
    </xf>
    <xf numFmtId="10" fontId="66" fillId="24" borderId="0" xfId="0" applyNumberFormat="1" applyFont="1" applyFill="1" applyBorder="1" applyAlignment="1" applyProtection="1">
      <alignment horizontal="center" vertical="center"/>
    </xf>
    <xf numFmtId="0" fontId="23" fillId="24" borderId="0" xfId="0" applyFont="1" applyFill="1" applyAlignment="1" applyProtection="1">
      <alignment horizontal="center" vertical="center"/>
    </xf>
    <xf numFmtId="9" fontId="23" fillId="24" borderId="0" xfId="0" applyNumberFormat="1" applyFont="1" applyFill="1" applyAlignment="1" applyProtection="1">
      <alignment horizontal="center" vertical="center"/>
    </xf>
    <xf numFmtId="0" fontId="66" fillId="24" borderId="0" xfId="0" applyFont="1" applyFill="1" applyAlignment="1" applyProtection="1">
      <alignment horizontal="left" vertical="center"/>
    </xf>
    <xf numFmtId="4" fontId="66" fillId="24" borderId="0" xfId="0" applyNumberFormat="1" applyFont="1" applyFill="1" applyBorder="1" applyAlignment="1" applyProtection="1">
      <alignment horizontal="left" vertical="center"/>
    </xf>
    <xf numFmtId="0" fontId="66" fillId="24" borderId="0" xfId="0" applyFont="1" applyFill="1" applyBorder="1" applyAlignment="1" applyProtection="1">
      <alignment horizontal="left" vertical="center" wrapText="1"/>
    </xf>
    <xf numFmtId="40" fontId="66" fillId="24" borderId="0" xfId="0" applyNumberFormat="1" applyFont="1" applyFill="1" applyBorder="1" applyAlignment="1" applyProtection="1">
      <alignment horizontal="left" vertical="center"/>
    </xf>
    <xf numFmtId="2" fontId="66" fillId="24" borderId="0" xfId="0" applyNumberFormat="1" applyFont="1" applyFill="1" applyBorder="1" applyAlignment="1" applyProtection="1">
      <alignment horizontal="left" vertical="center"/>
    </xf>
    <xf numFmtId="10" fontId="66" fillId="24" borderId="0" xfId="0" applyNumberFormat="1" applyFont="1" applyFill="1" applyBorder="1" applyAlignment="1" applyProtection="1">
      <alignment horizontal="left" vertical="center"/>
    </xf>
    <xf numFmtId="0" fontId="66" fillId="24" borderId="0" xfId="0" applyFont="1" applyFill="1" applyAlignment="1" applyProtection="1">
      <alignment vertical="center" wrapText="1"/>
    </xf>
    <xf numFmtId="0" fontId="2" fillId="9" borderId="78" xfId="0" applyFont="1" applyFill="1" applyBorder="1" applyAlignment="1" applyProtection="1">
      <alignment horizontal="center" vertical="center" wrapText="1"/>
    </xf>
    <xf numFmtId="0" fontId="2" fillId="9" borderId="78" xfId="0" applyFont="1" applyFill="1" applyBorder="1" applyAlignment="1" applyProtection="1">
      <alignment vertical="center" wrapText="1"/>
    </xf>
    <xf numFmtId="0" fontId="5" fillId="2" borderId="0" xfId="0" applyFont="1" applyFill="1" applyAlignment="1" applyProtection="1">
      <alignment horizontal="center" vertical="center"/>
    </xf>
    <xf numFmtId="2" fontId="2" fillId="15" borderId="64" xfId="0" applyNumberFormat="1" applyFont="1" applyFill="1" applyBorder="1" applyAlignment="1" applyProtection="1">
      <alignment horizontal="center" vertical="center" wrapText="1"/>
    </xf>
    <xf numFmtId="4" fontId="5" fillId="2" borderId="0" xfId="0" applyNumberFormat="1" applyFont="1" applyFill="1" applyBorder="1" applyAlignment="1" applyProtection="1">
      <alignment vertical="center"/>
    </xf>
    <xf numFmtId="2" fontId="5" fillId="2" borderId="0" xfId="0" applyNumberFormat="1" applyFont="1" applyFill="1" applyBorder="1" applyAlignment="1" applyProtection="1">
      <alignment vertical="center"/>
    </xf>
    <xf numFmtId="2" fontId="5" fillId="2" borderId="0" xfId="0" applyNumberFormat="1" applyFont="1" applyFill="1" applyAlignment="1" applyProtection="1">
      <alignment horizontal="center" vertical="center"/>
    </xf>
    <xf numFmtId="0" fontId="2" fillId="9" borderId="64" xfId="0" applyFont="1" applyFill="1" applyBorder="1" applyAlignment="1" applyProtection="1">
      <alignment horizontal="center" vertical="center" wrapText="1"/>
    </xf>
    <xf numFmtId="0" fontId="2" fillId="9" borderId="64" xfId="0" applyFont="1" applyFill="1" applyBorder="1" applyAlignment="1" applyProtection="1">
      <alignment vertical="center" wrapText="1"/>
    </xf>
    <xf numFmtId="0" fontId="24" fillId="2" borderId="64" xfId="0" applyFont="1" applyFill="1" applyBorder="1" applyAlignment="1" applyProtection="1">
      <alignment horizontal="right" vertical="center"/>
    </xf>
    <xf numFmtId="0" fontId="24" fillId="2" borderId="77" xfId="0" applyFont="1" applyFill="1" applyBorder="1" applyAlignment="1" applyProtection="1">
      <alignment horizontal="right" vertical="center"/>
    </xf>
    <xf numFmtId="0" fontId="24" fillId="2" borderId="78" xfId="0" applyFont="1" applyFill="1" applyBorder="1" applyAlignment="1" applyProtection="1">
      <alignment horizontal="right" vertical="center"/>
    </xf>
    <xf numFmtId="0" fontId="5" fillId="2" borderId="0" xfId="0" applyFont="1" applyFill="1" applyBorder="1" applyAlignment="1" applyProtection="1">
      <alignment vertical="center" wrapText="1"/>
    </xf>
    <xf numFmtId="0" fontId="2" fillId="9" borderId="0" xfId="0" applyFont="1" applyFill="1" applyBorder="1" applyAlignment="1" applyProtection="1">
      <alignment horizontal="center" vertical="center" wrapText="1"/>
    </xf>
    <xf numFmtId="49" fontId="1" fillId="2" borderId="81" xfId="1" applyNumberFormat="1" applyFont="1" applyFill="1" applyBorder="1" applyAlignment="1" applyProtection="1">
      <alignment vertical="center" wrapText="1"/>
    </xf>
    <xf numFmtId="0" fontId="30" fillId="19" borderId="2" xfId="0" applyNumberFormat="1" applyFont="1" applyFill="1" applyBorder="1" applyAlignment="1" applyProtection="1">
      <alignment vertical="center"/>
    </xf>
    <xf numFmtId="4" fontId="30" fillId="19" borderId="2" xfId="0" applyNumberFormat="1" applyFont="1" applyFill="1" applyBorder="1" applyAlignment="1" applyProtection="1">
      <alignment vertical="center"/>
    </xf>
    <xf numFmtId="49" fontId="1" fillId="2" borderId="73" xfId="1" applyNumberFormat="1" applyFont="1" applyFill="1" applyBorder="1" applyAlignment="1" applyProtection="1">
      <alignment vertical="center" wrapText="1"/>
    </xf>
    <xf numFmtId="49" fontId="1" fillId="2" borderId="82" xfId="1" applyNumberFormat="1" applyFont="1" applyFill="1" applyBorder="1" applyAlignment="1" applyProtection="1">
      <alignment vertical="center" wrapText="1"/>
    </xf>
    <xf numFmtId="0" fontId="30" fillId="16" borderId="2" xfId="0" applyNumberFormat="1" applyFont="1" applyFill="1" applyBorder="1" applyAlignment="1" applyProtection="1">
      <alignment vertical="center"/>
    </xf>
    <xf numFmtId="4" fontId="30" fillId="16" borderId="2" xfId="0" applyNumberFormat="1" applyFont="1" applyFill="1" applyBorder="1" applyAlignment="1" applyProtection="1">
      <alignment vertical="center"/>
    </xf>
    <xf numFmtId="0" fontId="30" fillId="22" borderId="2" xfId="0" applyNumberFormat="1" applyFont="1" applyFill="1" applyBorder="1" applyAlignment="1" applyProtection="1">
      <alignment vertical="center"/>
    </xf>
    <xf numFmtId="4" fontId="30" fillId="22" borderId="2" xfId="0" applyNumberFormat="1" applyFont="1" applyFill="1" applyBorder="1" applyAlignment="1" applyProtection="1">
      <alignment vertical="center"/>
    </xf>
    <xf numFmtId="0" fontId="5" fillId="23" borderId="2" xfId="0" applyFont="1" applyFill="1" applyBorder="1" applyAlignment="1" applyProtection="1">
      <alignment vertical="center"/>
    </xf>
    <xf numFmtId="0" fontId="5" fillId="23" borderId="2" xfId="0" applyFont="1" applyFill="1" applyBorder="1" applyAlignment="1" applyProtection="1">
      <alignment horizontal="center" vertical="center"/>
    </xf>
    <xf numFmtId="2" fontId="5" fillId="23" borderId="2" xfId="0" applyNumberFormat="1" applyFont="1" applyFill="1" applyBorder="1" applyAlignment="1" applyProtection="1">
      <alignment horizontal="center" vertical="center"/>
    </xf>
    <xf numFmtId="0" fontId="25" fillId="2" borderId="0" xfId="0" applyFont="1" applyFill="1" applyAlignment="1" applyProtection="1">
      <alignment horizontal="center" vertical="center"/>
    </xf>
    <xf numFmtId="0" fontId="31" fillId="23" borderId="2" xfId="0" applyFont="1" applyFill="1" applyBorder="1" applyAlignment="1" applyProtection="1">
      <alignment vertical="center"/>
    </xf>
    <xf numFmtId="2" fontId="31" fillId="23" borderId="2" xfId="0" applyNumberFormat="1" applyFont="1" applyFill="1" applyBorder="1" applyAlignment="1" applyProtection="1">
      <alignment horizontal="center" vertical="center"/>
    </xf>
    <xf numFmtId="0" fontId="64" fillId="10" borderId="2" xfId="0" applyFont="1" applyFill="1" applyBorder="1" applyAlignment="1" applyProtection="1">
      <alignment vertical="center" wrapText="1"/>
    </xf>
    <xf numFmtId="2" fontId="64" fillId="10" borderId="2" xfId="0" applyNumberFormat="1" applyFont="1" applyFill="1" applyBorder="1" applyAlignment="1" applyProtection="1">
      <alignment horizontal="center" vertical="center"/>
    </xf>
    <xf numFmtId="49" fontId="1" fillId="2" borderId="83" xfId="1" applyNumberFormat="1" applyFont="1" applyFill="1" applyBorder="1" applyAlignment="1" applyProtection="1">
      <alignment vertical="center" wrapText="1"/>
    </xf>
    <xf numFmtId="0" fontId="25" fillId="2" borderId="0" xfId="0" applyFont="1" applyFill="1" applyAlignment="1" applyProtection="1">
      <alignment horizontal="right" vertical="center"/>
    </xf>
    <xf numFmtId="0" fontId="0" fillId="0" borderId="0" xfId="0" applyProtection="1"/>
    <xf numFmtId="0" fontId="53" fillId="15" borderId="67" xfId="3" applyFont="1" applyFill="1" applyBorder="1" applyAlignment="1" applyProtection="1">
      <alignment horizontal="left" vertical="center"/>
    </xf>
    <xf numFmtId="37" fontId="53" fillId="15" borderId="67" xfId="2" applyNumberFormat="1" applyFont="1" applyFill="1" applyBorder="1" applyAlignment="1" applyProtection="1">
      <alignment horizontal="center" vertical="center"/>
    </xf>
    <xf numFmtId="0" fontId="53" fillId="15" borderId="67" xfId="3" applyFont="1" applyFill="1" applyBorder="1" applyAlignment="1" applyProtection="1">
      <alignment horizontal="left" vertical="center" wrapText="1"/>
    </xf>
    <xf numFmtId="1" fontId="53" fillId="15" borderId="67" xfId="2" applyNumberFormat="1" applyFont="1" applyFill="1" applyBorder="1" applyAlignment="1" applyProtection="1">
      <alignment horizontal="center" vertical="center"/>
    </xf>
    <xf numFmtId="0" fontId="54" fillId="15" borderId="67" xfId="3" applyFont="1" applyFill="1" applyBorder="1" applyAlignment="1" applyProtection="1">
      <alignment horizontal="left" vertical="center"/>
    </xf>
    <xf numFmtId="2" fontId="54" fillId="15" borderId="67" xfId="2" applyNumberFormat="1" applyFont="1" applyFill="1" applyBorder="1" applyAlignment="1" applyProtection="1">
      <alignment horizontal="center" vertical="center"/>
    </xf>
    <xf numFmtId="43" fontId="54" fillId="15" borderId="67" xfId="2" applyNumberFormat="1" applyFont="1" applyFill="1" applyBorder="1" applyAlignment="1" applyProtection="1">
      <alignment horizontal="center" vertical="center"/>
    </xf>
    <xf numFmtId="0" fontId="36" fillId="2" borderId="56" xfId="0" applyFont="1" applyFill="1" applyBorder="1" applyAlignment="1" applyProtection="1">
      <alignment horizontal="right" vertical="center" wrapText="1"/>
    </xf>
    <xf numFmtId="37" fontId="1" fillId="15" borderId="92" xfId="0" applyNumberFormat="1" applyFont="1" applyFill="1" applyBorder="1" applyAlignment="1" applyProtection="1">
      <alignment vertical="center"/>
    </xf>
    <xf numFmtId="37" fontId="31" fillId="15" borderId="94" xfId="0" applyNumberFormat="1" applyFont="1" applyFill="1" applyBorder="1" applyAlignment="1" applyProtection="1">
      <alignment horizontal="center" vertical="center"/>
    </xf>
    <xf numFmtId="37" fontId="31" fillId="15" borderId="94" xfId="0" applyNumberFormat="1" applyFont="1" applyFill="1" applyBorder="1" applyAlignment="1" applyProtection="1">
      <alignment horizontal="center" vertical="center" wrapText="1"/>
    </xf>
    <xf numFmtId="176" fontId="1" fillId="15" borderId="97" xfId="0" applyNumberFormat="1" applyFont="1" applyFill="1" applyBorder="1" applyAlignment="1" applyProtection="1">
      <alignment horizontal="center" vertical="center"/>
    </xf>
    <xf numFmtId="9" fontId="5" fillId="2" borderId="0" xfId="62" applyFont="1" applyFill="1" applyAlignment="1" applyProtection="1">
      <alignment vertical="center"/>
    </xf>
    <xf numFmtId="49" fontId="1" fillId="3" borderId="73" xfId="1" applyNumberFormat="1" applyFont="1" applyFill="1" applyBorder="1" applyAlignment="1" applyProtection="1">
      <alignment horizontal="center" vertical="center" wrapText="1"/>
      <protection locked="0"/>
    </xf>
    <xf numFmtId="1" fontId="1" fillId="3" borderId="73" xfId="1" applyNumberFormat="1" applyFont="1" applyFill="1" applyBorder="1" applyAlignment="1" applyProtection="1">
      <alignment horizontal="center" vertical="center" wrapText="1"/>
      <protection locked="0"/>
    </xf>
    <xf numFmtId="0" fontId="5" fillId="19" borderId="2" xfId="0" applyFont="1" applyFill="1" applyBorder="1" applyAlignment="1" applyProtection="1">
      <alignment vertical="center"/>
    </xf>
    <xf numFmtId="0" fontId="5" fillId="16" borderId="2" xfId="0" applyFont="1" applyFill="1" applyBorder="1" applyAlignment="1" applyProtection="1">
      <alignment vertical="center"/>
    </xf>
    <xf numFmtId="0" fontId="5" fillId="22" borderId="2" xfId="0" applyFont="1" applyFill="1" applyBorder="1" applyAlignment="1" applyProtection="1">
      <alignment vertical="center"/>
    </xf>
    <xf numFmtId="0" fontId="50" fillId="10" borderId="106" xfId="3" applyFont="1" applyFill="1" applyBorder="1" applyAlignment="1" applyProtection="1">
      <alignment vertical="center"/>
      <protection hidden="1"/>
    </xf>
    <xf numFmtId="1" fontId="22" fillId="6" borderId="107" xfId="0" applyNumberFormat="1" applyFont="1" applyFill="1" applyBorder="1" applyAlignment="1" applyProtection="1">
      <alignment horizontal="center" vertical="center"/>
      <protection hidden="1"/>
    </xf>
    <xf numFmtId="43" fontId="49" fillId="6" borderId="107" xfId="3" applyNumberFormat="1" applyFont="1" applyFill="1" applyBorder="1" applyAlignment="1" applyProtection="1">
      <alignment horizontal="center" vertical="center" wrapText="1"/>
      <protection hidden="1"/>
    </xf>
    <xf numFmtId="3" fontId="50" fillId="10" borderId="107" xfId="3" applyNumberFormat="1" applyFont="1" applyFill="1" applyBorder="1" applyAlignment="1" applyProtection="1">
      <alignment horizontal="center" vertical="center"/>
      <protection hidden="1"/>
    </xf>
    <xf numFmtId="0" fontId="0" fillId="6" borderId="107" xfId="0" applyFill="1" applyBorder="1" applyAlignment="1" applyProtection="1">
      <alignment horizontal="center" vertical="center"/>
      <protection hidden="1"/>
    </xf>
    <xf numFmtId="167" fontId="49" fillId="6" borderId="108" xfId="3" applyNumberFormat="1" applyFont="1" applyFill="1" applyBorder="1" applyAlignment="1" applyProtection="1">
      <alignment horizontal="center" vertical="center"/>
      <protection hidden="1"/>
    </xf>
    <xf numFmtId="2" fontId="1" fillId="3" borderId="93" xfId="0" applyNumberFormat="1" applyFont="1" applyFill="1" applyBorder="1" applyAlignment="1" applyProtection="1">
      <alignment horizontal="center" vertical="center"/>
      <protection locked="0"/>
    </xf>
    <xf numFmtId="1" fontId="1" fillId="0" borderId="73" xfId="0" applyNumberFormat="1" applyFont="1" applyFill="1" applyBorder="1" applyAlignment="1" applyProtection="1">
      <alignment horizontal="center" vertical="center"/>
      <protection locked="0"/>
    </xf>
    <xf numFmtId="0" fontId="24" fillId="2" borderId="101" xfId="0" applyFont="1" applyFill="1" applyBorder="1" applyAlignment="1" applyProtection="1">
      <alignment horizontal="center" vertical="center" wrapText="1"/>
      <protection hidden="1"/>
    </xf>
    <xf numFmtId="10" fontId="1" fillId="6" borderId="104" xfId="0" applyNumberFormat="1" applyFont="1" applyFill="1" applyBorder="1" applyAlignment="1" applyProtection="1">
      <alignment horizontal="center" vertical="center"/>
    </xf>
    <xf numFmtId="0" fontId="31" fillId="0" borderId="0" xfId="0" applyFont="1" applyFill="1" applyBorder="1" applyAlignment="1" applyProtection="1">
      <alignment vertical="center"/>
    </xf>
    <xf numFmtId="0" fontId="24" fillId="2" borderId="101" xfId="0" applyFont="1" applyFill="1" applyBorder="1" applyAlignment="1" applyProtection="1">
      <alignment horizontal="right" vertical="center"/>
    </xf>
    <xf numFmtId="0" fontId="25" fillId="21" borderId="21" xfId="0" applyFont="1" applyFill="1" applyBorder="1" applyAlignment="1" applyProtection="1">
      <alignment horizontal="right" vertical="center"/>
      <protection hidden="1"/>
    </xf>
    <xf numFmtId="0" fontId="25" fillId="21" borderId="21" xfId="0" applyFont="1" applyFill="1" applyBorder="1" applyAlignment="1" applyProtection="1">
      <alignment horizontal="center" vertical="center" wrapText="1"/>
      <protection hidden="1"/>
    </xf>
    <xf numFmtId="10" fontId="5" fillId="15" borderId="73" xfId="0" applyNumberFormat="1" applyFont="1" applyFill="1" applyBorder="1" applyAlignment="1" applyProtection="1">
      <alignment horizontal="center" vertical="center"/>
      <protection hidden="1"/>
    </xf>
    <xf numFmtId="10" fontId="5" fillId="19" borderId="90" xfId="0" applyNumberFormat="1" applyFont="1" applyFill="1" applyBorder="1" applyAlignment="1" applyProtection="1">
      <alignment horizontal="center" vertical="center"/>
      <protection hidden="1"/>
    </xf>
    <xf numFmtId="0" fontId="25" fillId="21" borderId="21" xfId="0" applyFont="1" applyFill="1" applyBorder="1" applyAlignment="1" applyProtection="1">
      <alignment horizontal="right" vertical="center" wrapText="1"/>
      <protection hidden="1"/>
    </xf>
    <xf numFmtId="39" fontId="5" fillId="21" borderId="73" xfId="0" applyNumberFormat="1" applyFont="1" applyFill="1" applyBorder="1" applyAlignment="1" applyProtection="1">
      <alignment horizontal="center" vertical="center"/>
      <protection hidden="1"/>
    </xf>
    <xf numFmtId="39" fontId="5" fillId="21" borderId="90" xfId="0" applyNumberFormat="1" applyFont="1" applyFill="1" applyBorder="1" applyAlignment="1" applyProtection="1">
      <alignment horizontal="center" vertical="center"/>
      <protection hidden="1"/>
    </xf>
    <xf numFmtId="2" fontId="5" fillId="21" borderId="73" xfId="0" applyNumberFormat="1" applyFont="1" applyFill="1" applyBorder="1" applyAlignment="1" applyProtection="1">
      <alignment horizontal="center" vertical="center"/>
      <protection hidden="1"/>
    </xf>
    <xf numFmtId="2" fontId="5" fillId="21" borderId="90" xfId="0" applyNumberFormat="1" applyFont="1" applyFill="1" applyBorder="1" applyAlignment="1" applyProtection="1">
      <alignment horizontal="center" vertical="center"/>
      <protection hidden="1"/>
    </xf>
    <xf numFmtId="0" fontId="67" fillId="21" borderId="115" xfId="0" applyFont="1" applyFill="1" applyBorder="1" applyAlignment="1" applyProtection="1">
      <alignment horizontal="center" vertical="center" wrapText="1"/>
      <protection hidden="1"/>
    </xf>
    <xf numFmtId="2" fontId="1" fillId="15" borderId="27" xfId="0" applyNumberFormat="1" applyFont="1" applyFill="1" applyBorder="1" applyAlignment="1" applyProtection="1">
      <alignment horizontal="center" vertical="center" wrapText="1"/>
      <protection hidden="1"/>
    </xf>
    <xf numFmtId="2" fontId="1" fillId="15" borderId="61" xfId="0" applyNumberFormat="1" applyFont="1" applyFill="1" applyBorder="1" applyAlignment="1" applyProtection="1">
      <alignment horizontal="center" vertical="center" wrapText="1"/>
      <protection hidden="1"/>
    </xf>
    <xf numFmtId="2" fontId="1" fillId="15" borderId="28" xfId="0" applyNumberFormat="1" applyFont="1" applyFill="1" applyBorder="1" applyAlignment="1" applyProtection="1">
      <alignment horizontal="center" vertical="center" wrapText="1"/>
      <protection hidden="1"/>
    </xf>
    <xf numFmtId="2" fontId="1" fillId="15" borderId="73" xfId="0" applyNumberFormat="1" applyFont="1" applyFill="1" applyBorder="1" applyAlignment="1" applyProtection="1">
      <alignment horizontal="center" vertical="center" wrapText="1"/>
      <protection hidden="1"/>
    </xf>
    <xf numFmtId="10" fontId="5" fillId="19" borderId="73" xfId="0" applyNumberFormat="1" applyFont="1" applyFill="1" applyBorder="1" applyAlignment="1" applyProtection="1">
      <alignment horizontal="center" vertical="center" wrapText="1"/>
      <protection hidden="1"/>
    </xf>
    <xf numFmtId="10" fontId="5" fillId="15" borderId="73" xfId="0" applyNumberFormat="1" applyFont="1" applyFill="1" applyBorder="1" applyAlignment="1" applyProtection="1">
      <alignment horizontal="center" vertical="center"/>
      <protection hidden="1"/>
    </xf>
    <xf numFmtId="0" fontId="5" fillId="15" borderId="73" xfId="0" applyFont="1" applyFill="1" applyBorder="1" applyAlignment="1" applyProtection="1">
      <alignment horizontal="center" vertical="center"/>
      <protection hidden="1"/>
    </xf>
    <xf numFmtId="0" fontId="5" fillId="19" borderId="73" xfId="0" applyFont="1" applyFill="1" applyBorder="1" applyAlignment="1" applyProtection="1">
      <alignment horizontal="center" vertical="center"/>
      <protection hidden="1"/>
    </xf>
    <xf numFmtId="0" fontId="5" fillId="19" borderId="90" xfId="0" applyFont="1" applyFill="1" applyBorder="1" applyAlignment="1" applyProtection="1">
      <alignment horizontal="center" vertical="center"/>
      <protection hidden="1"/>
    </xf>
    <xf numFmtId="0" fontId="24" fillId="2" borderId="60" xfId="0" applyFont="1" applyFill="1" applyBorder="1" applyAlignment="1" applyProtection="1">
      <alignment horizontal="center" wrapText="1"/>
    </xf>
    <xf numFmtId="0" fontId="24" fillId="2" borderId="88" xfId="0" applyFont="1" applyFill="1" applyBorder="1" applyAlignment="1" applyProtection="1">
      <alignment horizontal="center" wrapText="1"/>
    </xf>
    <xf numFmtId="0" fontId="68" fillId="2" borderId="116" xfId="0" applyFont="1" applyFill="1" applyBorder="1" applyAlignment="1" applyProtection="1">
      <alignment horizontal="center" vertical="center" wrapText="1"/>
    </xf>
    <xf numFmtId="0" fontId="68" fillId="2" borderId="117" xfId="0" applyFont="1" applyFill="1" applyBorder="1" applyAlignment="1" applyProtection="1">
      <alignment horizontal="center" vertical="center" wrapText="1"/>
    </xf>
    <xf numFmtId="0" fontId="62" fillId="15" borderId="27" xfId="0" applyFont="1" applyFill="1" applyBorder="1" applyAlignment="1" applyProtection="1">
      <alignment horizontal="center" vertical="center"/>
      <protection locked="0"/>
    </xf>
    <xf numFmtId="0" fontId="62" fillId="15" borderId="105" xfId="0" applyFont="1" applyFill="1" applyBorder="1" applyAlignment="1" applyProtection="1">
      <alignment horizontal="center" vertical="center"/>
      <protection locked="0"/>
    </xf>
    <xf numFmtId="176" fontId="1" fillId="3" borderId="27" xfId="0" applyNumberFormat="1" applyFont="1" applyFill="1" applyBorder="1" applyAlignment="1" applyProtection="1">
      <alignment horizontal="center" vertical="center"/>
      <protection locked="0"/>
    </xf>
    <xf numFmtId="176" fontId="1" fillId="3" borderId="61" xfId="0" applyNumberFormat="1" applyFont="1" applyFill="1" applyBorder="1" applyAlignment="1" applyProtection="1">
      <alignment horizontal="center" vertical="center"/>
      <protection locked="0"/>
    </xf>
    <xf numFmtId="176" fontId="1" fillId="3" borderId="92" xfId="0" applyNumberFormat="1" applyFont="1" applyFill="1" applyBorder="1" applyAlignment="1" applyProtection="1">
      <alignment horizontal="center" vertical="center"/>
      <protection locked="0"/>
    </xf>
    <xf numFmtId="176" fontId="1" fillId="3" borderId="93" xfId="0" applyNumberFormat="1" applyFont="1" applyFill="1" applyBorder="1" applyAlignment="1" applyProtection="1">
      <alignment horizontal="center" vertical="center"/>
      <protection locked="0"/>
    </xf>
    <xf numFmtId="0" fontId="62" fillId="0" borderId="27" xfId="0" applyFont="1" applyFill="1" applyBorder="1" applyAlignment="1" applyProtection="1">
      <alignment horizontal="center" vertical="center"/>
      <protection locked="0"/>
    </xf>
    <xf numFmtId="0" fontId="62" fillId="0" borderId="28" xfId="0" applyFont="1" applyFill="1" applyBorder="1" applyAlignment="1" applyProtection="1">
      <alignment horizontal="center" vertical="center"/>
      <protection locked="0"/>
    </xf>
    <xf numFmtId="0" fontId="62" fillId="0" borderId="92" xfId="0" applyFont="1" applyFill="1" applyBorder="1" applyAlignment="1" applyProtection="1">
      <alignment horizontal="center" vertical="center"/>
      <protection locked="0"/>
    </xf>
    <xf numFmtId="0" fontId="62" fillId="0" borderId="94" xfId="0" applyFont="1" applyFill="1" applyBorder="1" applyAlignment="1" applyProtection="1">
      <alignment horizontal="center" vertical="center"/>
      <protection locked="0"/>
    </xf>
    <xf numFmtId="0" fontId="62" fillId="0" borderId="105" xfId="0" applyFont="1" applyFill="1" applyBorder="1" applyAlignment="1" applyProtection="1">
      <alignment horizontal="center" vertical="center"/>
      <protection locked="0"/>
    </xf>
    <xf numFmtId="0" fontId="62" fillId="0" borderId="95" xfId="0" applyFont="1" applyFill="1" applyBorder="1" applyAlignment="1" applyProtection="1">
      <alignment horizontal="center" vertical="center"/>
      <protection locked="0"/>
    </xf>
    <xf numFmtId="4" fontId="5" fillId="0" borderId="27" xfId="0" applyNumberFormat="1" applyFont="1" applyFill="1" applyBorder="1" applyAlignment="1" applyProtection="1">
      <alignment horizontal="center" vertical="center"/>
      <protection locked="0"/>
    </xf>
    <xf numFmtId="4" fontId="5" fillId="0" borderId="61" xfId="0" applyNumberFormat="1" applyFont="1" applyFill="1" applyBorder="1" applyAlignment="1" applyProtection="1">
      <alignment horizontal="center" vertical="center"/>
      <protection locked="0"/>
    </xf>
    <xf numFmtId="4" fontId="5" fillId="0" borderId="28" xfId="0" applyNumberFormat="1" applyFont="1" applyFill="1" applyBorder="1" applyAlignment="1" applyProtection="1">
      <alignment horizontal="center" vertical="center"/>
      <protection locked="0"/>
    </xf>
    <xf numFmtId="4" fontId="7" fillId="15" borderId="57" xfId="2" applyNumberFormat="1" applyFont="1" applyFill="1" applyBorder="1" applyAlignment="1" applyProtection="1">
      <alignment horizontal="center" vertical="center"/>
    </xf>
    <xf numFmtId="4" fontId="7" fillId="15" borderId="58" xfId="2" applyNumberFormat="1" applyFont="1" applyFill="1" applyBorder="1" applyAlignment="1" applyProtection="1">
      <alignment horizontal="center" vertical="center"/>
    </xf>
    <xf numFmtId="4" fontId="7" fillId="15" borderId="59" xfId="2" applyNumberFormat="1" applyFont="1" applyFill="1" applyBorder="1" applyAlignment="1" applyProtection="1">
      <alignment horizontal="center" vertical="center"/>
    </xf>
    <xf numFmtId="4" fontId="7" fillId="15" borderId="27" xfId="2" applyNumberFormat="1" applyFont="1" applyFill="1" applyBorder="1" applyAlignment="1" applyProtection="1">
      <alignment horizontal="center" vertical="center"/>
    </xf>
    <xf numFmtId="4" fontId="7" fillId="15" borderId="61" xfId="2" applyNumberFormat="1" applyFont="1" applyFill="1" applyBorder="1" applyAlignment="1" applyProtection="1">
      <alignment horizontal="center" vertical="center"/>
    </xf>
    <xf numFmtId="4" fontId="7" fillId="15" borderId="28" xfId="2" applyNumberFormat="1" applyFont="1" applyFill="1" applyBorder="1" applyAlignment="1" applyProtection="1">
      <alignment horizontal="center" vertical="center"/>
    </xf>
    <xf numFmtId="43" fontId="1" fillId="0" borderId="27" xfId="2" applyNumberFormat="1" applyFont="1" applyFill="1" applyBorder="1" applyAlignment="1" applyProtection="1">
      <alignment horizontal="center" vertical="center"/>
      <protection locked="0"/>
    </xf>
    <xf numFmtId="43" fontId="1" fillId="0" borderId="28" xfId="2" applyNumberFormat="1" applyFont="1" applyFill="1" applyBorder="1" applyAlignment="1" applyProtection="1">
      <alignment horizontal="center" vertical="center"/>
      <protection locked="0"/>
    </xf>
    <xf numFmtId="49" fontId="5" fillId="0" borderId="52" xfId="2" applyNumberFormat="1" applyFont="1" applyFill="1" applyBorder="1" applyAlignment="1" applyProtection="1">
      <alignment horizontal="center" vertical="center" wrapText="1"/>
      <protection locked="0"/>
    </xf>
    <xf numFmtId="49" fontId="5" fillId="0" borderId="53" xfId="2" applyNumberFormat="1" applyFont="1" applyFill="1" applyBorder="1" applyAlignment="1" applyProtection="1">
      <alignment horizontal="center" vertical="center" wrapText="1"/>
      <protection locked="0"/>
    </xf>
    <xf numFmtId="49" fontId="5" fillId="0" borderId="54" xfId="2" applyNumberFormat="1" applyFont="1" applyFill="1" applyBorder="1" applyAlignment="1" applyProtection="1">
      <alignment horizontal="center" vertical="center" wrapText="1"/>
      <protection locked="0"/>
    </xf>
    <xf numFmtId="49" fontId="5" fillId="0" borderId="57" xfId="2" applyNumberFormat="1" applyFont="1" applyFill="1" applyBorder="1" applyAlignment="1" applyProtection="1">
      <alignment horizontal="center" vertical="center" wrapText="1"/>
      <protection locked="0"/>
    </xf>
    <xf numFmtId="49" fontId="5" fillId="0" borderId="58" xfId="2" applyNumberFormat="1" applyFont="1" applyFill="1" applyBorder="1" applyAlignment="1" applyProtection="1">
      <alignment horizontal="center" vertical="center" wrapText="1"/>
      <protection locked="0"/>
    </xf>
    <xf numFmtId="49" fontId="5" fillId="0" borderId="59" xfId="2" applyNumberFormat="1" applyFont="1" applyFill="1" applyBorder="1" applyAlignment="1" applyProtection="1">
      <alignment horizontal="center" vertical="center" wrapText="1"/>
      <protection locked="0"/>
    </xf>
    <xf numFmtId="49" fontId="65" fillId="0" borderId="52" xfId="1" applyNumberFormat="1" applyFont="1" applyFill="1" applyBorder="1" applyAlignment="1" applyProtection="1">
      <alignment horizontal="center" vertical="center" wrapText="1"/>
      <protection locked="0"/>
    </xf>
    <xf numFmtId="49" fontId="65" fillId="0" borderId="53" xfId="1" applyNumberFormat="1" applyFont="1" applyFill="1" applyBorder="1" applyAlignment="1" applyProtection="1">
      <alignment horizontal="center" vertical="center" wrapText="1"/>
      <protection locked="0"/>
    </xf>
    <xf numFmtId="49" fontId="65" fillId="0" borderId="54" xfId="1" applyNumberFormat="1" applyFont="1" applyFill="1" applyBorder="1" applyAlignment="1" applyProtection="1">
      <alignment horizontal="center" vertical="center" wrapText="1"/>
      <protection locked="0"/>
    </xf>
    <xf numFmtId="49" fontId="65" fillId="0" borderId="55" xfId="1" applyNumberFormat="1" applyFont="1" applyFill="1" applyBorder="1" applyAlignment="1" applyProtection="1">
      <alignment horizontal="center" vertical="center" wrapText="1"/>
      <protection locked="0"/>
    </xf>
    <xf numFmtId="49" fontId="65" fillId="0" borderId="0" xfId="1" applyNumberFormat="1" applyFont="1" applyFill="1" applyBorder="1" applyAlignment="1" applyProtection="1">
      <alignment horizontal="center" vertical="center" wrapText="1"/>
      <protection locked="0"/>
    </xf>
    <xf numFmtId="49" fontId="65" fillId="0" borderId="56" xfId="1" applyNumberFormat="1" applyFont="1" applyFill="1" applyBorder="1" applyAlignment="1" applyProtection="1">
      <alignment horizontal="center" vertical="center" wrapText="1"/>
      <protection locked="0"/>
    </xf>
    <xf numFmtId="49" fontId="65" fillId="0" borderId="57" xfId="1" applyNumberFormat="1" applyFont="1" applyFill="1" applyBorder="1" applyAlignment="1" applyProtection="1">
      <alignment horizontal="center" vertical="center" wrapText="1"/>
      <protection locked="0"/>
    </xf>
    <xf numFmtId="49" fontId="65" fillId="0" borderId="58" xfId="1" applyNumberFormat="1" applyFont="1" applyFill="1" applyBorder="1" applyAlignment="1" applyProtection="1">
      <alignment horizontal="center" vertical="center" wrapText="1"/>
      <protection locked="0"/>
    </xf>
    <xf numFmtId="49" fontId="65" fillId="0" borderId="59" xfId="1" applyNumberFormat="1" applyFont="1" applyFill="1" applyBorder="1" applyAlignment="1" applyProtection="1">
      <alignment horizontal="center" vertical="center" wrapText="1"/>
      <protection locked="0"/>
    </xf>
    <xf numFmtId="49" fontId="1" fillId="3" borderId="27" xfId="1" applyNumberFormat="1" applyFont="1" applyFill="1" applyBorder="1" applyAlignment="1" applyProtection="1">
      <alignment horizontal="center" vertical="center" wrapText="1"/>
      <protection locked="0"/>
    </xf>
    <xf numFmtId="49" fontId="1" fillId="3" borderId="61" xfId="1" applyNumberFormat="1" applyFont="1" applyFill="1" applyBorder="1" applyAlignment="1" applyProtection="1">
      <alignment horizontal="center" vertical="center" wrapText="1"/>
      <protection locked="0"/>
    </xf>
    <xf numFmtId="49" fontId="1" fillId="3" borderId="28" xfId="1" applyNumberFormat="1" applyFont="1" applyFill="1" applyBorder="1" applyAlignment="1" applyProtection="1">
      <alignment horizontal="center" vertical="center" wrapText="1"/>
      <protection locked="0"/>
    </xf>
    <xf numFmtId="0" fontId="2" fillId="9" borderId="58" xfId="0" applyFont="1" applyFill="1" applyBorder="1" applyAlignment="1" applyProtection="1">
      <alignment horizontal="center" vertical="center" wrapText="1"/>
    </xf>
    <xf numFmtId="39" fontId="1" fillId="15" borderId="27" xfId="1" applyNumberFormat="1" applyFont="1" applyFill="1" applyBorder="1" applyAlignment="1" applyProtection="1">
      <alignment horizontal="center" vertical="center" wrapText="1"/>
    </xf>
    <xf numFmtId="39" fontId="1" fillId="15" borderId="61" xfId="1" applyNumberFormat="1" applyFont="1" applyFill="1" applyBorder="1" applyAlignment="1" applyProtection="1">
      <alignment horizontal="center" vertical="center" wrapText="1"/>
    </xf>
    <xf numFmtId="39" fontId="1" fillId="15" borderId="28" xfId="1" applyNumberFormat="1" applyFont="1" applyFill="1" applyBorder="1" applyAlignment="1" applyProtection="1">
      <alignment horizontal="center" vertical="center" wrapText="1"/>
    </xf>
    <xf numFmtId="2" fontId="1" fillId="15" borderId="27" xfId="1" applyNumberFormat="1" applyFont="1" applyFill="1" applyBorder="1" applyAlignment="1" applyProtection="1">
      <alignment horizontal="center" vertical="center" wrapText="1"/>
    </xf>
    <xf numFmtId="2" fontId="1" fillId="15" borderId="61" xfId="1" applyNumberFormat="1" applyFont="1" applyFill="1" applyBorder="1" applyAlignment="1" applyProtection="1">
      <alignment horizontal="center" vertical="center" wrapText="1"/>
    </xf>
    <xf numFmtId="2" fontId="1" fillId="15" borderId="28" xfId="1" applyNumberFormat="1" applyFont="1" applyFill="1" applyBorder="1" applyAlignment="1" applyProtection="1">
      <alignment horizontal="center" vertical="center" wrapText="1"/>
    </xf>
    <xf numFmtId="1" fontId="1" fillId="20" borderId="27" xfId="1" applyNumberFormat="1" applyFont="1" applyFill="1" applyBorder="1" applyAlignment="1" applyProtection="1">
      <alignment horizontal="center" vertical="center" wrapText="1"/>
      <protection locked="0"/>
    </xf>
    <xf numFmtId="1" fontId="1" fillId="20" borderId="61" xfId="1" applyNumberFormat="1" applyFont="1" applyFill="1" applyBorder="1" applyAlignment="1" applyProtection="1">
      <alignment horizontal="center" vertical="center" wrapText="1"/>
      <protection locked="0"/>
    </xf>
    <xf numFmtId="1" fontId="1" fillId="20" borderId="28" xfId="1" applyNumberFormat="1" applyFont="1" applyFill="1" applyBorder="1" applyAlignment="1" applyProtection="1">
      <alignment horizontal="center" vertical="center" wrapText="1"/>
      <protection locked="0"/>
    </xf>
    <xf numFmtId="4" fontId="1" fillId="15" borderId="27" xfId="1" applyNumberFormat="1" applyFont="1" applyFill="1" applyBorder="1" applyAlignment="1" applyProtection="1">
      <alignment horizontal="center" vertical="center" wrapText="1"/>
    </xf>
    <xf numFmtId="4" fontId="1" fillId="15" borderId="61" xfId="1" applyNumberFormat="1" applyFont="1" applyFill="1" applyBorder="1" applyAlignment="1" applyProtection="1">
      <alignment horizontal="center" vertical="center" wrapText="1"/>
    </xf>
    <xf numFmtId="4" fontId="1" fillId="15" borderId="28" xfId="1" applyNumberFormat="1" applyFont="1" applyFill="1" applyBorder="1" applyAlignment="1" applyProtection="1">
      <alignment horizontal="center" vertical="center" wrapText="1"/>
    </xf>
    <xf numFmtId="0" fontId="5" fillId="15" borderId="102" xfId="0" applyFont="1" applyFill="1" applyBorder="1" applyAlignment="1" applyProtection="1">
      <alignment horizontal="center" vertical="center"/>
    </xf>
    <xf numFmtId="0" fontId="5" fillId="15" borderId="15"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2" fillId="9" borderId="27" xfId="0" applyFont="1" applyFill="1" applyBorder="1" applyAlignment="1" applyProtection="1">
      <alignment horizontal="center" vertical="center" wrapText="1"/>
    </xf>
    <xf numFmtId="0" fontId="2" fillId="9" borderId="61" xfId="0" applyFont="1" applyFill="1" applyBorder="1" applyAlignment="1" applyProtection="1">
      <alignment horizontal="center" vertical="center" wrapText="1"/>
    </xf>
    <xf numFmtId="0" fontId="2" fillId="9" borderId="28" xfId="0" applyFont="1" applyFill="1" applyBorder="1" applyAlignment="1" applyProtection="1">
      <alignment horizontal="center" vertical="center" wrapText="1"/>
    </xf>
    <xf numFmtId="49" fontId="1" fillId="20" borderId="27" xfId="1" applyNumberFormat="1" applyFont="1" applyFill="1" applyBorder="1" applyAlignment="1" applyProtection="1">
      <alignment horizontal="center" vertical="center" wrapText="1"/>
      <protection locked="0"/>
    </xf>
    <xf numFmtId="49" fontId="1" fillId="20" borderId="61" xfId="1" applyNumberFormat="1" applyFont="1" applyFill="1" applyBorder="1" applyAlignment="1" applyProtection="1">
      <alignment horizontal="center" vertical="center" wrapText="1"/>
      <protection locked="0"/>
    </xf>
    <xf numFmtId="49" fontId="1" fillId="20" borderId="28" xfId="1" applyNumberFormat="1" applyFont="1" applyFill="1" applyBorder="1" applyAlignment="1" applyProtection="1">
      <alignment horizontal="center" vertical="center" wrapText="1"/>
      <protection locked="0"/>
    </xf>
    <xf numFmtId="9" fontId="1" fillId="15" borderId="27" xfId="0" applyNumberFormat="1" applyFont="1" applyFill="1" applyBorder="1" applyAlignment="1" applyProtection="1">
      <alignment horizontal="center" vertical="center" wrapText="1"/>
    </xf>
    <xf numFmtId="9" fontId="1" fillId="15" borderId="28" xfId="0" applyNumberFormat="1" applyFont="1" applyFill="1" applyBorder="1" applyAlignment="1" applyProtection="1">
      <alignment horizontal="center" vertical="center" wrapText="1"/>
    </xf>
    <xf numFmtId="176" fontId="1" fillId="15" borderId="61" xfId="0" applyNumberFormat="1" applyFont="1" applyFill="1" applyBorder="1" applyAlignment="1" applyProtection="1">
      <alignment horizontal="center" vertical="center"/>
    </xf>
    <xf numFmtId="176" fontId="1" fillId="15" borderId="28" xfId="0" applyNumberFormat="1" applyFont="1" applyFill="1" applyBorder="1" applyAlignment="1" applyProtection="1">
      <alignment horizontal="center" vertical="center"/>
    </xf>
    <xf numFmtId="0" fontId="24" fillId="2" borderId="76" xfId="0" applyFont="1" applyFill="1" applyBorder="1" applyAlignment="1" applyProtection="1">
      <alignment horizontal="center" vertical="center"/>
    </xf>
    <xf numFmtId="0" fontId="24" fillId="2" borderId="80" xfId="0" applyFont="1" applyFill="1" applyBorder="1" applyAlignment="1" applyProtection="1">
      <alignment horizontal="center" vertical="center"/>
    </xf>
    <xf numFmtId="43" fontId="24" fillId="2" borderId="52" xfId="0" applyNumberFormat="1" applyFont="1" applyFill="1" applyBorder="1" applyAlignment="1" applyProtection="1">
      <alignment horizontal="center" vertical="center"/>
    </xf>
    <xf numFmtId="43" fontId="24" fillId="2" borderId="53" xfId="0" applyNumberFormat="1" applyFont="1" applyFill="1" applyBorder="1" applyAlignment="1" applyProtection="1">
      <alignment horizontal="center" vertical="center"/>
    </xf>
    <xf numFmtId="43" fontId="24" fillId="2" borderId="54" xfId="0" applyNumberFormat="1" applyFont="1" applyFill="1" applyBorder="1" applyAlignment="1" applyProtection="1">
      <alignment horizontal="center" vertical="center"/>
    </xf>
    <xf numFmtId="43" fontId="24" fillId="2" borderId="57" xfId="0" applyNumberFormat="1" applyFont="1" applyFill="1" applyBorder="1" applyAlignment="1" applyProtection="1">
      <alignment horizontal="center" vertical="center"/>
    </xf>
    <xf numFmtId="43" fontId="24" fillId="2" borderId="58" xfId="0" applyNumberFormat="1" applyFont="1" applyFill="1" applyBorder="1" applyAlignment="1" applyProtection="1">
      <alignment horizontal="center" vertical="center"/>
    </xf>
    <xf numFmtId="43" fontId="24" fillId="2" borderId="59" xfId="0" applyNumberFormat="1" applyFont="1" applyFill="1" applyBorder="1" applyAlignment="1" applyProtection="1">
      <alignment horizontal="center" vertical="center"/>
    </xf>
    <xf numFmtId="49" fontId="1" fillId="3" borderId="52" xfId="1" applyNumberFormat="1" applyFont="1" applyFill="1" applyBorder="1" applyAlignment="1" applyProtection="1">
      <alignment horizontal="center" vertical="center" wrapText="1"/>
      <protection locked="0"/>
    </xf>
    <xf numFmtId="49" fontId="1" fillId="3" borderId="53" xfId="1" applyNumberFormat="1" applyFont="1" applyFill="1" applyBorder="1" applyAlignment="1" applyProtection="1">
      <alignment horizontal="center" vertical="center" wrapText="1"/>
      <protection locked="0"/>
    </xf>
    <xf numFmtId="49" fontId="1" fillId="3" borderId="54" xfId="1" applyNumberFormat="1" applyFont="1" applyFill="1" applyBorder="1" applyAlignment="1" applyProtection="1">
      <alignment horizontal="center" vertical="center" wrapText="1"/>
      <protection locked="0"/>
    </xf>
    <xf numFmtId="49" fontId="1" fillId="3" borderId="55" xfId="1" applyNumberFormat="1" applyFont="1" applyFill="1" applyBorder="1" applyAlignment="1" applyProtection="1">
      <alignment horizontal="center" vertical="center" wrapText="1"/>
      <protection locked="0"/>
    </xf>
    <xf numFmtId="49" fontId="1" fillId="3" borderId="0" xfId="1" applyNumberFormat="1" applyFont="1" applyFill="1" applyBorder="1" applyAlignment="1" applyProtection="1">
      <alignment horizontal="center" vertical="center" wrapText="1"/>
      <protection locked="0"/>
    </xf>
    <xf numFmtId="49" fontId="1" fillId="3" borderId="56" xfId="1" applyNumberFormat="1" applyFont="1" applyFill="1" applyBorder="1" applyAlignment="1" applyProtection="1">
      <alignment horizontal="center" vertical="center" wrapText="1"/>
      <protection locked="0"/>
    </xf>
    <xf numFmtId="49" fontId="1" fillId="3" borderId="57" xfId="1" applyNumberFormat="1" applyFont="1" applyFill="1" applyBorder="1" applyAlignment="1" applyProtection="1">
      <alignment horizontal="center" vertical="center" wrapText="1"/>
      <protection locked="0"/>
    </xf>
    <xf numFmtId="49" fontId="1" fillId="3" borderId="58" xfId="1" applyNumberFormat="1" applyFont="1" applyFill="1" applyBorder="1" applyAlignment="1" applyProtection="1">
      <alignment horizontal="center" vertical="center" wrapText="1"/>
      <protection locked="0"/>
    </xf>
    <xf numFmtId="49" fontId="1" fillId="3" borderId="59" xfId="1" applyNumberFormat="1" applyFont="1" applyFill="1" applyBorder="1" applyAlignment="1" applyProtection="1">
      <alignment horizontal="center" vertical="center" wrapText="1"/>
      <protection locked="0"/>
    </xf>
    <xf numFmtId="0" fontId="24" fillId="2" borderId="71" xfId="0" applyFont="1" applyFill="1" applyBorder="1" applyAlignment="1" applyProtection="1">
      <alignment horizontal="right" vertical="center"/>
    </xf>
    <xf numFmtId="0" fontId="24" fillId="2" borderId="72" xfId="0" applyFont="1" applyFill="1" applyBorder="1" applyAlignment="1" applyProtection="1">
      <alignment horizontal="right" vertical="center"/>
    </xf>
    <xf numFmtId="0" fontId="24" fillId="2" borderId="75" xfId="0" applyFont="1" applyFill="1" applyBorder="1" applyAlignment="1" applyProtection="1">
      <alignment horizontal="right" vertical="center"/>
    </xf>
    <xf numFmtId="4" fontId="1" fillId="0" borderId="79" xfId="0" applyNumberFormat="1" applyFont="1" applyFill="1" applyBorder="1" applyAlignment="1" applyProtection="1">
      <alignment horizontal="center" vertical="center"/>
      <protection locked="0"/>
    </xf>
    <xf numFmtId="4" fontId="1" fillId="0" borderId="61" xfId="0" applyNumberFormat="1" applyFont="1" applyFill="1" applyBorder="1" applyAlignment="1" applyProtection="1">
      <alignment horizontal="center" vertical="center"/>
      <protection locked="0"/>
    </xf>
    <xf numFmtId="4" fontId="1" fillId="0" borderId="28" xfId="0" applyNumberFormat="1" applyFont="1" applyFill="1" applyBorder="1" applyAlignment="1" applyProtection="1">
      <alignment horizontal="center" vertical="center"/>
      <protection locked="0"/>
    </xf>
    <xf numFmtId="43" fontId="24" fillId="2" borderId="27" xfId="0" applyNumberFormat="1" applyFont="1" applyFill="1" applyBorder="1" applyAlignment="1" applyProtection="1">
      <alignment horizontal="right" vertical="center"/>
    </xf>
    <xf numFmtId="43" fontId="24" fillId="2" borderId="28" xfId="0" applyNumberFormat="1" applyFont="1" applyFill="1" applyBorder="1" applyAlignment="1" applyProtection="1">
      <alignment horizontal="right" vertical="center"/>
    </xf>
    <xf numFmtId="4" fontId="1" fillId="0" borderId="27" xfId="0" applyNumberFormat="1" applyFont="1" applyFill="1" applyBorder="1" applyAlignment="1" applyProtection="1">
      <alignment horizontal="center" vertical="center"/>
      <protection locked="0"/>
    </xf>
    <xf numFmtId="10" fontId="5" fillId="21" borderId="73" xfId="0" applyNumberFormat="1" applyFont="1" applyFill="1" applyBorder="1" applyAlignment="1" applyProtection="1">
      <alignment horizontal="center" vertical="center" wrapText="1"/>
      <protection hidden="1"/>
    </xf>
    <xf numFmtId="4" fontId="1" fillId="0" borderId="71" xfId="0" applyNumberFormat="1" applyFont="1" applyFill="1" applyBorder="1" applyAlignment="1" applyProtection="1">
      <alignment horizontal="center" vertical="center"/>
      <protection locked="0"/>
    </xf>
    <xf numFmtId="4" fontId="1" fillId="0" borderId="75" xfId="0" applyNumberFormat="1" applyFont="1" applyFill="1" applyBorder="1" applyAlignment="1" applyProtection="1">
      <alignment horizontal="center" vertical="center"/>
      <protection locked="0"/>
    </xf>
    <xf numFmtId="0" fontId="2" fillId="9" borderId="78" xfId="0" applyFont="1" applyFill="1" applyBorder="1" applyAlignment="1" applyProtection="1">
      <alignment horizontal="center" vertical="center" wrapText="1"/>
    </xf>
    <xf numFmtId="0" fontId="2" fillId="0" borderId="64" xfId="0" applyFont="1" applyFill="1" applyBorder="1" applyAlignment="1" applyProtection="1">
      <alignment horizontal="center" vertical="center" wrapText="1"/>
      <protection locked="0"/>
    </xf>
    <xf numFmtId="0" fontId="25" fillId="21" borderId="118" xfId="0" applyFont="1" applyFill="1" applyBorder="1" applyAlignment="1" applyProtection="1">
      <alignment horizontal="center" vertical="center" wrapText="1"/>
      <protection hidden="1"/>
    </xf>
    <xf numFmtId="4" fontId="1" fillId="0" borderId="72" xfId="0" applyNumberFormat="1" applyFont="1" applyFill="1" applyBorder="1" applyAlignment="1" applyProtection="1">
      <alignment horizontal="center" vertical="center"/>
      <protection locked="0"/>
    </xf>
    <xf numFmtId="4" fontId="5" fillId="15" borderId="27" xfId="0" applyNumberFormat="1" applyFont="1" applyFill="1" applyBorder="1" applyAlignment="1" applyProtection="1">
      <alignment horizontal="center" vertical="center"/>
    </xf>
    <xf numFmtId="4" fontId="5" fillId="15" borderId="61" xfId="0" applyNumberFormat="1" applyFont="1" applyFill="1" applyBorder="1" applyAlignment="1" applyProtection="1">
      <alignment horizontal="center" vertical="center"/>
    </xf>
    <xf numFmtId="4" fontId="5" fillId="15" borderId="28" xfId="0" applyNumberFormat="1" applyFont="1" applyFill="1" applyBorder="1" applyAlignment="1" applyProtection="1">
      <alignment horizontal="center" vertical="center"/>
    </xf>
    <xf numFmtId="0" fontId="2" fillId="9" borderId="8" xfId="0" applyFont="1" applyFill="1" applyBorder="1" applyAlignment="1" applyProtection="1">
      <alignment horizontal="center" vertical="center" wrapText="1"/>
    </xf>
    <xf numFmtId="0" fontId="2" fillId="9" borderId="0" xfId="0" applyFont="1" applyFill="1" applyBorder="1" applyAlignment="1" applyProtection="1">
      <alignment horizontal="center" vertical="center" wrapText="1"/>
    </xf>
    <xf numFmtId="4" fontId="5" fillId="15" borderId="52" xfId="0" applyNumberFormat="1" applyFont="1" applyFill="1" applyBorder="1" applyAlignment="1" applyProtection="1">
      <alignment horizontal="center" vertical="center"/>
    </xf>
    <xf numFmtId="4" fontId="5" fillId="15" borderId="53" xfId="0" applyNumberFormat="1" applyFont="1" applyFill="1" applyBorder="1" applyAlignment="1" applyProtection="1">
      <alignment horizontal="center" vertical="center"/>
    </xf>
    <xf numFmtId="4" fontId="5" fillId="15" borderId="54" xfId="0" applyNumberFormat="1" applyFont="1" applyFill="1" applyBorder="1" applyAlignment="1" applyProtection="1">
      <alignment horizontal="center" vertical="center"/>
    </xf>
    <xf numFmtId="164" fontId="1" fillId="17" borderId="27" xfId="2" applyNumberFormat="1" applyFont="1" applyFill="1" applyBorder="1" applyAlignment="1" applyProtection="1">
      <alignment horizontal="left" vertical="center" wrapText="1"/>
    </xf>
    <xf numFmtId="164" fontId="1" fillId="17" borderId="61" xfId="2" applyNumberFormat="1" applyFont="1" applyFill="1" applyBorder="1" applyAlignment="1" applyProtection="1">
      <alignment horizontal="left" vertical="center" wrapText="1"/>
    </xf>
    <xf numFmtId="164" fontId="1" fillId="17" borderId="28" xfId="2" applyNumberFormat="1" applyFont="1" applyFill="1" applyBorder="1" applyAlignment="1" applyProtection="1">
      <alignment horizontal="left" vertical="center" wrapText="1"/>
    </xf>
    <xf numFmtId="164" fontId="1" fillId="17" borderId="27" xfId="2" applyNumberFormat="1" applyFont="1" applyFill="1" applyBorder="1" applyAlignment="1" applyProtection="1">
      <alignment horizontal="center" vertical="center"/>
      <protection locked="0"/>
    </xf>
    <xf numFmtId="164" fontId="1" fillId="17" borderId="61" xfId="2" applyNumberFormat="1" applyFont="1" applyFill="1" applyBorder="1" applyAlignment="1" applyProtection="1">
      <alignment horizontal="center" vertical="center"/>
      <protection locked="0"/>
    </xf>
    <xf numFmtId="0" fontId="1" fillId="0" borderId="81" xfId="0" applyFont="1" applyFill="1" applyBorder="1" applyAlignment="1" applyProtection="1">
      <alignment horizontal="center" vertical="center"/>
      <protection locked="0"/>
    </xf>
    <xf numFmtId="0" fontId="1" fillId="0" borderId="83" xfId="0" applyFont="1" applyFill="1" applyBorder="1" applyAlignment="1" applyProtection="1">
      <alignment horizontal="center" vertical="center"/>
      <protection locked="0"/>
    </xf>
    <xf numFmtId="0" fontId="1" fillId="15" borderId="52" xfId="0" applyFont="1" applyFill="1" applyBorder="1" applyAlignment="1" applyProtection="1">
      <alignment horizontal="center" vertical="center" wrapText="1"/>
    </xf>
    <xf numFmtId="0" fontId="1" fillId="15" borderId="53" xfId="0" applyFont="1" applyFill="1" applyBorder="1" applyAlignment="1" applyProtection="1">
      <alignment horizontal="center" vertical="center" wrapText="1"/>
    </xf>
    <xf numFmtId="0" fontId="1" fillId="15" borderId="54" xfId="0" applyFont="1" applyFill="1" applyBorder="1" applyAlignment="1" applyProtection="1">
      <alignment horizontal="center" vertical="center" wrapText="1"/>
    </xf>
    <xf numFmtId="0" fontId="1" fillId="15" borderId="57" xfId="0" applyFont="1" applyFill="1" applyBorder="1" applyAlignment="1" applyProtection="1">
      <alignment horizontal="center" vertical="center" wrapText="1"/>
    </xf>
    <xf numFmtId="0" fontId="1" fillId="15" borderId="58" xfId="0" applyFont="1" applyFill="1" applyBorder="1" applyAlignment="1" applyProtection="1">
      <alignment horizontal="center" vertical="center" wrapText="1"/>
    </xf>
    <xf numFmtId="0" fontId="1" fillId="15" borderId="59" xfId="0" applyFont="1" applyFill="1" applyBorder="1" applyAlignment="1" applyProtection="1">
      <alignment horizontal="center" vertical="center" wrapText="1"/>
    </xf>
    <xf numFmtId="0" fontId="1" fillId="0" borderId="27" xfId="0" applyFont="1" applyFill="1" applyBorder="1" applyAlignment="1" applyProtection="1">
      <alignment horizontal="center" vertical="center"/>
      <protection locked="0"/>
    </xf>
    <xf numFmtId="0" fontId="1" fillId="0" borderId="61" xfId="0" applyFont="1" applyFill="1" applyBorder="1" applyAlignment="1" applyProtection="1">
      <alignment horizontal="center" vertical="center"/>
      <protection locked="0"/>
    </xf>
    <xf numFmtId="0" fontId="1" fillId="0" borderId="28" xfId="0" applyFont="1" applyFill="1" applyBorder="1" applyAlignment="1" applyProtection="1">
      <alignment horizontal="center" vertical="center"/>
      <protection locked="0"/>
    </xf>
    <xf numFmtId="164" fontId="1" fillId="17" borderId="27" xfId="2" applyNumberFormat="1" applyFont="1" applyFill="1" applyBorder="1" applyAlignment="1" applyProtection="1">
      <alignment horizontal="left" vertical="center"/>
    </xf>
    <xf numFmtId="164" fontId="1" fillId="17" borderId="61" xfId="2" applyNumberFormat="1" applyFont="1" applyFill="1" applyBorder="1" applyAlignment="1" applyProtection="1">
      <alignment horizontal="left" vertical="center"/>
    </xf>
    <xf numFmtId="164" fontId="1" fillId="17" borderId="28" xfId="2" applyNumberFormat="1" applyFont="1" applyFill="1" applyBorder="1" applyAlignment="1" applyProtection="1">
      <alignment horizontal="left" vertical="center"/>
    </xf>
    <xf numFmtId="0" fontId="28" fillId="2" borderId="62" xfId="0" applyFont="1" applyFill="1" applyBorder="1" applyAlignment="1" applyProtection="1">
      <alignment horizontal="center" vertical="center"/>
    </xf>
    <xf numFmtId="0" fontId="28" fillId="2" borderId="87" xfId="0" applyFont="1" applyFill="1" applyBorder="1" applyAlignment="1" applyProtection="1">
      <alignment horizontal="center" vertical="center"/>
    </xf>
    <xf numFmtId="0" fontId="1" fillId="15" borderId="27" xfId="0" applyFont="1" applyFill="1" applyBorder="1" applyAlignment="1" applyProtection="1">
      <alignment horizontal="center" vertical="center"/>
    </xf>
    <xf numFmtId="0" fontId="1" fillId="15" borderId="28" xfId="0" applyFont="1" applyFill="1" applyBorder="1" applyAlignment="1" applyProtection="1">
      <alignment horizontal="center" vertical="center"/>
    </xf>
    <xf numFmtId="49" fontId="1" fillId="0" borderId="27" xfId="0" applyNumberFormat="1" applyFont="1" applyFill="1" applyBorder="1" applyAlignment="1" applyProtection="1">
      <alignment horizontal="center" vertical="center"/>
      <protection locked="0"/>
    </xf>
    <xf numFmtId="49" fontId="1" fillId="0" borderId="28" xfId="0" applyNumberFormat="1" applyFont="1" applyFill="1" applyBorder="1" applyAlignment="1" applyProtection="1">
      <alignment horizontal="center" vertical="center"/>
      <protection locked="0"/>
    </xf>
    <xf numFmtId="0" fontId="1" fillId="3" borderId="27" xfId="0" applyFont="1" applyFill="1" applyBorder="1" applyAlignment="1" applyProtection="1">
      <alignment horizontal="center" vertical="center"/>
      <protection locked="0"/>
    </xf>
    <xf numFmtId="0" fontId="1" fillId="3" borderId="61" xfId="0" applyFont="1" applyFill="1" applyBorder="1" applyAlignment="1" applyProtection="1">
      <alignment horizontal="center" vertical="center"/>
      <protection locked="0"/>
    </xf>
    <xf numFmtId="0" fontId="1" fillId="3" borderId="28" xfId="0" applyFont="1" applyFill="1" applyBorder="1" applyAlignment="1" applyProtection="1">
      <alignment horizontal="center" vertical="center"/>
      <protection locked="0"/>
    </xf>
    <xf numFmtId="0" fontId="4" fillId="9" borderId="8" xfId="0" applyFont="1" applyFill="1" applyBorder="1" applyAlignment="1" applyProtection="1">
      <alignment horizontal="center" vertical="center"/>
    </xf>
    <xf numFmtId="0" fontId="4" fillId="9" borderId="0" xfId="0" applyFont="1" applyFill="1" applyBorder="1" applyAlignment="1" applyProtection="1">
      <alignment horizontal="center" vertical="center"/>
    </xf>
    <xf numFmtId="2" fontId="1" fillId="0" borderId="81" xfId="0" applyNumberFormat="1" applyFont="1" applyFill="1" applyBorder="1" applyAlignment="1" applyProtection="1">
      <alignment horizontal="center" vertical="center"/>
      <protection locked="0"/>
    </xf>
    <xf numFmtId="2" fontId="1" fillId="0" borderId="83" xfId="0" applyNumberFormat="1" applyFont="1" applyFill="1" applyBorder="1" applyAlignment="1" applyProtection="1">
      <alignment horizontal="center" vertical="center"/>
      <protection locked="0"/>
    </xf>
    <xf numFmtId="0" fontId="25" fillId="2" borderId="101" xfId="0" applyFont="1" applyFill="1" applyBorder="1" applyAlignment="1" applyProtection="1">
      <alignment horizontal="center" vertical="center" wrapText="1"/>
    </xf>
    <xf numFmtId="0" fontId="25" fillId="2" borderId="7" xfId="0" applyFont="1" applyFill="1" applyBorder="1" applyAlignment="1" applyProtection="1">
      <alignment horizontal="center" vertical="center" wrapText="1"/>
    </xf>
    <xf numFmtId="0" fontId="28" fillId="2" borderId="58" xfId="0" applyFont="1" applyFill="1" applyBorder="1" applyAlignment="1" applyProtection="1">
      <alignment horizontal="center" vertical="center"/>
    </xf>
    <xf numFmtId="0" fontId="59" fillId="2" borderId="62" xfId="0" applyFont="1" applyFill="1" applyBorder="1" applyAlignment="1" applyProtection="1">
      <alignment horizontal="center" vertical="center"/>
    </xf>
    <xf numFmtId="0" fontId="59" fillId="2" borderId="58" xfId="0" applyFont="1" applyFill="1" applyBorder="1" applyAlignment="1" applyProtection="1">
      <alignment horizontal="center" vertical="center"/>
    </xf>
    <xf numFmtId="0" fontId="1" fillId="15" borderId="61" xfId="0" applyFont="1" applyFill="1" applyBorder="1" applyAlignment="1" applyProtection="1">
      <alignment horizontal="center" vertical="center"/>
    </xf>
    <xf numFmtId="0" fontId="27" fillId="9" borderId="62" xfId="0" applyFont="1" applyFill="1" applyBorder="1" applyAlignment="1" applyProtection="1">
      <alignment horizontal="center" vertical="center"/>
    </xf>
    <xf numFmtId="0" fontId="27" fillId="9" borderId="58" xfId="0" applyFont="1" applyFill="1" applyBorder="1" applyAlignment="1" applyProtection="1">
      <alignment horizontal="center" vertical="center"/>
    </xf>
    <xf numFmtId="49" fontId="1" fillId="3" borderId="27" xfId="0" applyNumberFormat="1" applyFont="1" applyFill="1" applyBorder="1" applyAlignment="1" applyProtection="1">
      <alignment horizontal="center" vertical="center"/>
      <protection locked="0"/>
    </xf>
    <xf numFmtId="49" fontId="1" fillId="3" borderId="61" xfId="0" applyNumberFormat="1" applyFont="1" applyFill="1" applyBorder="1" applyAlignment="1" applyProtection="1">
      <alignment horizontal="center" vertical="center"/>
      <protection locked="0"/>
    </xf>
    <xf numFmtId="49" fontId="1" fillId="3" borderId="28" xfId="0" applyNumberFormat="1" applyFont="1" applyFill="1" applyBorder="1" applyAlignment="1" applyProtection="1">
      <alignment horizontal="center" vertical="center"/>
      <protection locked="0"/>
    </xf>
    <xf numFmtId="49" fontId="1" fillId="3" borderId="27" xfId="0" applyNumberFormat="1" applyFont="1" applyFill="1" applyBorder="1" applyAlignment="1" applyProtection="1">
      <alignment horizontal="center" vertical="center" wrapText="1"/>
      <protection locked="0"/>
    </xf>
    <xf numFmtId="167" fontId="1" fillId="3" borderId="27" xfId="0" applyNumberFormat="1" applyFont="1" applyFill="1" applyBorder="1" applyAlignment="1" applyProtection="1">
      <alignment horizontal="center" vertical="center"/>
      <protection locked="0"/>
    </xf>
    <xf numFmtId="167" fontId="1" fillId="3" borderId="61" xfId="0" applyNumberFormat="1" applyFont="1" applyFill="1" applyBorder="1" applyAlignment="1" applyProtection="1">
      <alignment horizontal="center" vertical="center"/>
      <protection locked="0"/>
    </xf>
    <xf numFmtId="49" fontId="1" fillId="0" borderId="55"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56" xfId="0" applyNumberFormat="1" applyFont="1" applyFill="1" applyBorder="1" applyAlignment="1" applyProtection="1">
      <alignment horizontal="center" vertical="center"/>
      <protection locked="0"/>
    </xf>
    <xf numFmtId="0" fontId="24" fillId="2" borderId="101" xfId="0" applyFont="1" applyFill="1" applyBorder="1" applyAlignment="1" applyProtection="1">
      <alignment horizontal="center" vertical="center" wrapText="1"/>
    </xf>
    <xf numFmtId="0" fontId="24" fillId="2" borderId="8" xfId="0" applyFont="1" applyFill="1" applyBorder="1" applyAlignment="1" applyProtection="1">
      <alignment horizontal="center" vertical="center" wrapText="1"/>
    </xf>
    <xf numFmtId="0" fontId="62" fillId="15" borderId="27" xfId="0" applyFont="1" applyFill="1" applyBorder="1" applyAlignment="1" applyProtection="1">
      <alignment horizontal="center" vertical="center" wrapText="1"/>
    </xf>
    <xf numFmtId="0" fontId="62" fillId="15" borderId="61" xfId="0" applyFont="1" applyFill="1" applyBorder="1" applyAlignment="1" applyProtection="1">
      <alignment horizontal="center" vertical="center" wrapText="1"/>
    </xf>
    <xf numFmtId="0" fontId="62" fillId="15" borderId="28" xfId="0" applyFont="1" applyFill="1" applyBorder="1" applyAlignment="1" applyProtection="1">
      <alignment horizontal="center" vertical="center" wrapText="1"/>
    </xf>
    <xf numFmtId="4" fontId="5" fillId="15" borderId="27" xfId="2" applyNumberFormat="1" applyFont="1" applyFill="1" applyBorder="1" applyAlignment="1" applyProtection="1">
      <alignment horizontal="center" vertical="center"/>
    </xf>
    <xf numFmtId="4" fontId="5" fillId="15" borderId="61" xfId="2" applyNumberFormat="1" applyFont="1" applyFill="1" applyBorder="1" applyAlignment="1" applyProtection="1">
      <alignment horizontal="center" vertical="center"/>
    </xf>
    <xf numFmtId="4" fontId="5" fillId="15" borderId="28" xfId="2" applyNumberFormat="1" applyFont="1" applyFill="1" applyBorder="1" applyAlignment="1" applyProtection="1">
      <alignment horizontal="center" vertical="center"/>
    </xf>
    <xf numFmtId="0" fontId="1" fillId="15" borderId="27" xfId="0" applyNumberFormat="1" applyFont="1" applyFill="1" applyBorder="1" applyAlignment="1" applyProtection="1">
      <alignment horizontal="center" vertical="center" wrapText="1"/>
    </xf>
    <xf numFmtId="0" fontId="1" fillId="15" borderId="28" xfId="0" applyNumberFormat="1" applyFont="1" applyFill="1" applyBorder="1" applyAlignment="1" applyProtection="1">
      <alignment horizontal="center" vertical="center" wrapText="1"/>
    </xf>
    <xf numFmtId="0" fontId="1" fillId="0" borderId="27" xfId="0" applyNumberFormat="1" applyFont="1" applyFill="1" applyBorder="1" applyAlignment="1" applyProtection="1">
      <alignment horizontal="center" vertical="center"/>
      <protection locked="0"/>
    </xf>
    <xf numFmtId="0" fontId="1" fillId="0" borderId="61" xfId="0" applyNumberFormat="1" applyFont="1" applyFill="1" applyBorder="1" applyAlignment="1" applyProtection="1">
      <alignment horizontal="center" vertical="center"/>
      <protection locked="0"/>
    </xf>
    <xf numFmtId="0" fontId="1" fillId="0" borderId="28" xfId="0" applyNumberFormat="1" applyFont="1" applyFill="1" applyBorder="1" applyAlignment="1" applyProtection="1">
      <alignment horizontal="center" vertical="center"/>
      <protection locked="0"/>
    </xf>
    <xf numFmtId="0" fontId="1" fillId="0" borderId="52" xfId="0" applyFont="1" applyFill="1" applyBorder="1" applyAlignment="1" applyProtection="1">
      <alignment horizontal="center" vertical="center"/>
      <protection locked="0"/>
    </xf>
    <xf numFmtId="0" fontId="1" fillId="0" borderId="53" xfId="0" applyFont="1" applyFill="1" applyBorder="1" applyAlignment="1" applyProtection="1">
      <alignment horizontal="center" vertical="center"/>
      <protection locked="0"/>
    </xf>
    <xf numFmtId="0" fontId="1" fillId="0" borderId="54" xfId="0" applyFont="1" applyFill="1" applyBorder="1" applyAlignment="1" applyProtection="1">
      <alignment horizontal="center" vertical="center"/>
      <protection locked="0"/>
    </xf>
    <xf numFmtId="0" fontId="4" fillId="9" borderId="19" xfId="0" applyFont="1" applyFill="1" applyBorder="1" applyAlignment="1" applyProtection="1">
      <alignment horizontal="center" vertical="center"/>
    </xf>
    <xf numFmtId="0" fontId="4" fillId="9" borderId="29" xfId="0" applyFont="1" applyFill="1" applyBorder="1" applyAlignment="1" applyProtection="1">
      <alignment horizontal="center" vertical="center"/>
    </xf>
    <xf numFmtId="0" fontId="4" fillId="9" borderId="20" xfId="0" applyFont="1" applyFill="1" applyBorder="1" applyAlignment="1" applyProtection="1">
      <alignment horizontal="center" vertical="center"/>
    </xf>
    <xf numFmtId="0" fontId="1" fillId="15" borderId="61" xfId="0" applyNumberFormat="1" applyFont="1" applyFill="1" applyBorder="1" applyAlignment="1" applyProtection="1">
      <alignment horizontal="center" vertical="center" wrapText="1"/>
    </xf>
    <xf numFmtId="0" fontId="1" fillId="15" borderId="52" xfId="0" applyNumberFormat="1" applyFont="1" applyFill="1" applyBorder="1" applyAlignment="1" applyProtection="1">
      <alignment horizontal="center" vertical="center" wrapText="1"/>
    </xf>
    <xf numFmtId="0" fontId="1" fillId="15" borderId="54" xfId="0" applyNumberFormat="1" applyFont="1" applyFill="1" applyBorder="1" applyAlignment="1" applyProtection="1">
      <alignment horizontal="center" vertical="center" wrapText="1"/>
    </xf>
    <xf numFmtId="41" fontId="1" fillId="15" borderId="27" xfId="0" applyNumberFormat="1" applyFont="1" applyFill="1" applyBorder="1" applyAlignment="1" applyProtection="1">
      <alignment horizontal="center" vertical="center"/>
    </xf>
    <xf numFmtId="41" fontId="1" fillId="15" borderId="61" xfId="0" applyNumberFormat="1" applyFont="1" applyFill="1" applyBorder="1" applyAlignment="1" applyProtection="1">
      <alignment horizontal="center" vertical="center"/>
    </xf>
    <xf numFmtId="41" fontId="1" fillId="15" borderId="28" xfId="0" applyNumberFormat="1" applyFont="1" applyFill="1" applyBorder="1" applyAlignment="1" applyProtection="1">
      <alignment horizontal="center" vertical="center"/>
    </xf>
    <xf numFmtId="41" fontId="1" fillId="15" borderId="92" xfId="0" applyNumberFormat="1" applyFont="1" applyFill="1" applyBorder="1" applyAlignment="1" applyProtection="1">
      <alignment horizontal="center" vertical="center"/>
    </xf>
    <xf numFmtId="41" fontId="1" fillId="15" borderId="93" xfId="0" applyNumberFormat="1" applyFont="1" applyFill="1" applyBorder="1" applyAlignment="1" applyProtection="1">
      <alignment horizontal="center" vertical="center"/>
    </xf>
    <xf numFmtId="41" fontId="1" fillId="15" borderId="94" xfId="0" applyNumberFormat="1" applyFont="1" applyFill="1" applyBorder="1" applyAlignment="1" applyProtection="1">
      <alignment horizontal="center" vertical="center"/>
    </xf>
    <xf numFmtId="0" fontId="63" fillId="9" borderId="21" xfId="0" applyFont="1" applyFill="1" applyBorder="1" applyAlignment="1" applyProtection="1">
      <alignment horizontal="center" vertical="center"/>
    </xf>
    <xf numFmtId="0" fontId="63" fillId="9" borderId="0" xfId="0" applyFont="1" applyFill="1" applyBorder="1" applyAlignment="1" applyProtection="1">
      <alignment horizontal="center" vertical="center"/>
    </xf>
    <xf numFmtId="0" fontId="63" fillId="9" borderId="22" xfId="0" applyFont="1" applyFill="1" applyBorder="1" applyAlignment="1" applyProtection="1">
      <alignment horizontal="center" vertical="center"/>
    </xf>
    <xf numFmtId="0" fontId="63" fillId="9" borderId="19" xfId="0" applyFont="1" applyFill="1" applyBorder="1" applyAlignment="1" applyProtection="1">
      <alignment horizontal="center" vertical="center"/>
    </xf>
    <xf numFmtId="0" fontId="63" fillId="9" borderId="29" xfId="0" applyFont="1" applyFill="1" applyBorder="1" applyAlignment="1" applyProtection="1">
      <alignment horizontal="center" vertical="center"/>
    </xf>
    <xf numFmtId="0" fontId="63" fillId="9" borderId="20" xfId="0" applyFont="1" applyFill="1" applyBorder="1" applyAlignment="1" applyProtection="1">
      <alignment horizontal="center" vertical="center"/>
    </xf>
    <xf numFmtId="43" fontId="1" fillId="15" borderId="92" xfId="0" applyNumberFormat="1" applyFont="1" applyFill="1" applyBorder="1" applyAlignment="1" applyProtection="1">
      <alignment horizontal="center" vertical="center"/>
    </xf>
    <xf numFmtId="43" fontId="1" fillId="15" borderId="94" xfId="0" applyNumberFormat="1" applyFont="1" applyFill="1" applyBorder="1" applyAlignment="1" applyProtection="1">
      <alignment horizontal="center" vertical="center"/>
    </xf>
    <xf numFmtId="176" fontId="5" fillId="15" borderId="92" xfId="0" applyNumberFormat="1" applyFont="1" applyFill="1" applyBorder="1" applyAlignment="1" applyProtection="1">
      <alignment horizontal="center" vertical="center"/>
    </xf>
    <xf numFmtId="176" fontId="5" fillId="15" borderId="94" xfId="0" applyNumberFormat="1" applyFont="1" applyFill="1" applyBorder="1" applyAlignment="1" applyProtection="1">
      <alignment horizontal="center" vertical="center"/>
    </xf>
    <xf numFmtId="176" fontId="1" fillId="0" borderId="92" xfId="0" applyNumberFormat="1" applyFont="1" applyFill="1" applyBorder="1" applyAlignment="1" applyProtection="1">
      <alignment horizontal="center" vertical="center" wrapText="1"/>
      <protection locked="0"/>
    </xf>
    <xf numFmtId="176" fontId="1" fillId="0" borderId="94" xfId="0" applyNumberFormat="1" applyFont="1" applyFill="1" applyBorder="1" applyAlignment="1" applyProtection="1">
      <alignment horizontal="center" vertical="center" wrapText="1"/>
      <protection locked="0"/>
    </xf>
    <xf numFmtId="0" fontId="1" fillId="15" borderId="81" xfId="0" applyNumberFormat="1" applyFont="1" applyFill="1" applyBorder="1" applyAlignment="1" applyProtection="1">
      <alignment horizontal="center" vertical="center" wrapText="1"/>
    </xf>
    <xf numFmtId="0" fontId="1" fillId="15" borderId="83" xfId="0" applyNumberFormat="1" applyFont="1" applyFill="1" applyBorder="1" applyAlignment="1" applyProtection="1">
      <alignment horizontal="center" vertical="center" wrapText="1"/>
    </xf>
    <xf numFmtId="0" fontId="4" fillId="9" borderId="58" xfId="0" applyFont="1" applyFill="1" applyBorder="1" applyAlignment="1" applyProtection="1">
      <alignment horizontal="center" vertical="center"/>
    </xf>
    <xf numFmtId="0" fontId="4" fillId="9" borderId="98" xfId="0" applyFont="1" applyFill="1" applyBorder="1" applyAlignment="1" applyProtection="1">
      <alignment horizontal="center" vertical="center"/>
    </xf>
    <xf numFmtId="0" fontId="1" fillId="15" borderId="55" xfId="0" applyNumberFormat="1" applyFont="1" applyFill="1" applyBorder="1" applyAlignment="1" applyProtection="1">
      <alignment horizontal="center" vertical="center" wrapText="1"/>
    </xf>
    <xf numFmtId="0" fontId="1" fillId="15" borderId="56" xfId="0" applyNumberFormat="1" applyFont="1" applyFill="1" applyBorder="1" applyAlignment="1" applyProtection="1">
      <alignment horizontal="center" vertical="center" wrapText="1"/>
    </xf>
    <xf numFmtId="0" fontId="1" fillId="15" borderId="57" xfId="0" applyNumberFormat="1" applyFont="1" applyFill="1" applyBorder="1" applyAlignment="1" applyProtection="1">
      <alignment horizontal="center" vertical="center" wrapText="1"/>
    </xf>
    <xf numFmtId="0" fontId="1" fillId="15" borderId="59" xfId="0" applyNumberFormat="1" applyFont="1" applyFill="1" applyBorder="1" applyAlignment="1" applyProtection="1">
      <alignment horizontal="center" vertical="center" wrapText="1"/>
    </xf>
    <xf numFmtId="0" fontId="5" fillId="2" borderId="27" xfId="0" applyFont="1" applyFill="1" applyBorder="1" applyAlignment="1" applyProtection="1">
      <alignment horizontal="center" vertical="center"/>
    </xf>
    <xf numFmtId="0" fontId="5" fillId="2" borderId="28" xfId="0" applyFont="1" applyFill="1" applyBorder="1" applyAlignment="1" applyProtection="1">
      <alignment horizontal="center" vertical="center"/>
    </xf>
    <xf numFmtId="0" fontId="5" fillId="2" borderId="52" xfId="0" applyFont="1" applyFill="1" applyBorder="1" applyAlignment="1" applyProtection="1">
      <alignment horizontal="center" vertical="center" wrapText="1"/>
    </xf>
    <xf numFmtId="0" fontId="5" fillId="2" borderId="53"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57" xfId="0" applyFont="1" applyFill="1" applyBorder="1" applyAlignment="1" applyProtection="1">
      <alignment horizontal="center" vertical="center" wrapText="1"/>
    </xf>
    <xf numFmtId="0" fontId="5" fillId="2" borderId="58" xfId="0" applyFont="1" applyFill="1" applyBorder="1" applyAlignment="1" applyProtection="1">
      <alignment horizontal="center" vertical="center" wrapText="1"/>
    </xf>
    <xf numFmtId="0" fontId="5" fillId="2" borderId="59" xfId="0" applyFont="1" applyFill="1" applyBorder="1" applyAlignment="1" applyProtection="1">
      <alignment horizontal="center" vertical="center" wrapText="1"/>
    </xf>
    <xf numFmtId="176" fontId="1" fillId="0" borderId="27" xfId="0" applyNumberFormat="1" applyFont="1" applyFill="1" applyBorder="1" applyAlignment="1" applyProtection="1">
      <alignment horizontal="center" vertical="center"/>
      <protection locked="0"/>
    </xf>
    <xf numFmtId="176" fontId="1" fillId="0" borderId="61" xfId="0" applyNumberFormat="1" applyFont="1" applyFill="1" applyBorder="1" applyAlignment="1" applyProtection="1">
      <alignment horizontal="center" vertical="center"/>
      <protection locked="0"/>
    </xf>
    <xf numFmtId="176" fontId="1" fillId="0" borderId="28" xfId="0" applyNumberFormat="1" applyFont="1" applyFill="1" applyBorder="1" applyAlignment="1" applyProtection="1">
      <alignment horizontal="center" vertical="center"/>
      <protection locked="0"/>
    </xf>
    <xf numFmtId="39" fontId="62" fillId="15" borderId="57" xfId="0" applyNumberFormat="1" applyFont="1" applyFill="1" applyBorder="1" applyAlignment="1" applyProtection="1">
      <alignment horizontal="center" vertical="center" wrapText="1"/>
    </xf>
    <xf numFmtId="39" fontId="62" fillId="15" borderId="58" xfId="0" applyNumberFormat="1" applyFont="1" applyFill="1" applyBorder="1" applyAlignment="1" applyProtection="1">
      <alignment horizontal="center" vertical="center" wrapText="1"/>
    </xf>
    <xf numFmtId="39" fontId="1" fillId="15" borderId="57" xfId="0" applyNumberFormat="1" applyFont="1" applyFill="1" applyBorder="1" applyAlignment="1" applyProtection="1">
      <alignment horizontal="center" vertical="center"/>
    </xf>
    <xf numFmtId="39" fontId="1" fillId="15" borderId="58" xfId="0" applyNumberFormat="1" applyFont="1" applyFill="1" applyBorder="1" applyAlignment="1" applyProtection="1">
      <alignment horizontal="center" vertical="center"/>
    </xf>
    <xf numFmtId="39" fontId="1" fillId="15" borderId="59" xfId="0" applyNumberFormat="1" applyFont="1" applyFill="1" applyBorder="1" applyAlignment="1" applyProtection="1">
      <alignment horizontal="center" vertical="center"/>
    </xf>
    <xf numFmtId="10" fontId="44" fillId="6" borderId="104" xfId="0" applyNumberFormat="1" applyFont="1" applyFill="1" applyBorder="1" applyAlignment="1" applyProtection="1">
      <alignment horizontal="center" vertical="center"/>
    </xf>
    <xf numFmtId="176" fontId="1" fillId="15" borderId="55" xfId="0" applyNumberFormat="1" applyFont="1" applyFill="1" applyBorder="1" applyAlignment="1" applyProtection="1">
      <alignment horizontal="center" vertical="center"/>
    </xf>
    <xf numFmtId="176" fontId="1" fillId="15" borderId="0" xfId="0" applyNumberFormat="1" applyFont="1" applyFill="1" applyBorder="1" applyAlignment="1" applyProtection="1">
      <alignment horizontal="center" vertical="center"/>
    </xf>
    <xf numFmtId="176" fontId="1" fillId="15" borderId="56" xfId="0" applyNumberFormat="1" applyFont="1" applyFill="1" applyBorder="1" applyAlignment="1" applyProtection="1">
      <alignment horizontal="center" vertical="center"/>
    </xf>
    <xf numFmtId="49" fontId="1" fillId="15" borderId="27" xfId="0" applyNumberFormat="1" applyFont="1" applyFill="1" applyBorder="1" applyAlignment="1" applyProtection="1">
      <alignment horizontal="center" vertical="center"/>
    </xf>
    <xf numFmtId="49" fontId="1" fillId="15" borderId="61" xfId="0" applyNumberFormat="1" applyFont="1" applyFill="1" applyBorder="1" applyAlignment="1" applyProtection="1">
      <alignment horizontal="center" vertical="center"/>
    </xf>
    <xf numFmtId="49" fontId="1" fillId="15" borderId="28" xfId="0" applyNumberFormat="1" applyFont="1" applyFill="1" applyBorder="1" applyAlignment="1" applyProtection="1">
      <alignment horizontal="center" vertical="center"/>
    </xf>
    <xf numFmtId="0" fontId="5" fillId="2" borderId="104" xfId="0" applyFont="1" applyFill="1" applyBorder="1" applyAlignment="1" applyProtection="1">
      <alignment horizontal="center" vertical="center"/>
    </xf>
    <xf numFmtId="49" fontId="1" fillId="0" borderId="61" xfId="0" applyNumberFormat="1" applyFont="1" applyFill="1" applyBorder="1" applyAlignment="1" applyProtection="1">
      <alignment horizontal="center" vertical="center"/>
      <protection locked="0"/>
    </xf>
    <xf numFmtId="0" fontId="5" fillId="15" borderId="27" xfId="0" applyFont="1" applyFill="1" applyBorder="1" applyAlignment="1" applyProtection="1">
      <alignment horizontal="center" vertical="center"/>
    </xf>
    <xf numFmtId="0" fontId="5" fillId="15" borderId="61" xfId="0" applyFont="1" applyFill="1" applyBorder="1" applyAlignment="1" applyProtection="1">
      <alignment horizontal="center" vertical="center"/>
    </xf>
    <xf numFmtId="0" fontId="5" fillId="15" borderId="28" xfId="0" applyFont="1" applyFill="1" applyBorder="1" applyAlignment="1" applyProtection="1">
      <alignment horizontal="center" vertical="center"/>
    </xf>
    <xf numFmtId="0" fontId="2" fillId="16" borderId="21" xfId="0" applyFont="1" applyFill="1" applyBorder="1" applyAlignment="1" applyProtection="1">
      <alignment horizontal="center" vertical="center"/>
      <protection hidden="1"/>
    </xf>
    <xf numFmtId="0" fontId="2" fillId="16" borderId="0" xfId="0" applyFont="1" applyFill="1" applyBorder="1" applyAlignment="1" applyProtection="1">
      <alignment horizontal="center" vertical="center"/>
      <protection hidden="1"/>
    </xf>
    <xf numFmtId="0" fontId="2" fillId="16" borderId="22" xfId="0" applyFont="1" applyFill="1" applyBorder="1" applyAlignment="1" applyProtection="1">
      <alignment horizontal="center" vertical="center"/>
      <protection hidden="1"/>
    </xf>
    <xf numFmtId="0" fontId="5" fillId="23" borderId="103" xfId="0" applyFont="1" applyFill="1" applyBorder="1" applyAlignment="1" applyProtection="1">
      <alignment horizontal="center" vertical="center"/>
    </xf>
    <xf numFmtId="0" fontId="5" fillId="23" borderId="0" xfId="0" applyFont="1" applyFill="1" applyBorder="1" applyAlignment="1" applyProtection="1">
      <alignment horizontal="center" vertical="center"/>
    </xf>
    <xf numFmtId="0" fontId="66" fillId="24" borderId="0" xfId="0" applyFont="1" applyFill="1" applyBorder="1" applyAlignment="1" applyProtection="1">
      <alignment horizontal="left" vertical="center"/>
    </xf>
    <xf numFmtId="0" fontId="44" fillId="21" borderId="19" xfId="0" applyFont="1" applyFill="1" applyBorder="1" applyAlignment="1" applyProtection="1">
      <alignment horizontal="center" vertical="center" wrapText="1"/>
      <protection hidden="1"/>
    </xf>
    <xf numFmtId="0" fontId="44" fillId="21" borderId="29" xfId="0" applyFont="1" applyFill="1" applyBorder="1" applyAlignment="1" applyProtection="1">
      <alignment horizontal="center" vertical="center" wrapText="1"/>
      <protection hidden="1"/>
    </xf>
    <xf numFmtId="0" fontId="44" fillId="21" borderId="20" xfId="0" applyFont="1" applyFill="1" applyBorder="1" applyAlignment="1" applyProtection="1">
      <alignment horizontal="center" vertical="center" wrapText="1"/>
      <protection hidden="1"/>
    </xf>
    <xf numFmtId="10" fontId="5" fillId="21" borderId="73" xfId="0" applyNumberFormat="1" applyFont="1" applyFill="1" applyBorder="1" applyAlignment="1" applyProtection="1">
      <alignment horizontal="center" vertical="center"/>
      <protection hidden="1"/>
    </xf>
    <xf numFmtId="0" fontId="24" fillId="2" borderId="68" xfId="0" applyFont="1" applyFill="1" applyBorder="1" applyAlignment="1" applyProtection="1">
      <alignment horizontal="center" vertical="center"/>
    </xf>
    <xf numFmtId="0" fontId="24" fillId="2" borderId="74" xfId="0" applyFont="1" applyFill="1" applyBorder="1" applyAlignment="1" applyProtection="1">
      <alignment horizontal="center" vertical="center"/>
    </xf>
    <xf numFmtId="0" fontId="24" fillId="2" borderId="69" xfId="0" applyFont="1" applyFill="1" applyBorder="1" applyAlignment="1" applyProtection="1">
      <alignment horizontal="center" vertical="center"/>
    </xf>
    <xf numFmtId="0" fontId="24" fillId="2" borderId="70" xfId="0" applyFont="1" applyFill="1" applyBorder="1" applyAlignment="1" applyProtection="1">
      <alignment horizontal="center" vertical="center"/>
    </xf>
    <xf numFmtId="10" fontId="62" fillId="21" borderId="92" xfId="0" applyNumberFormat="1" applyFont="1" applyFill="1" applyBorder="1" applyAlignment="1" applyProtection="1">
      <alignment horizontal="center" vertical="center" wrapText="1"/>
      <protection hidden="1"/>
    </xf>
    <xf numFmtId="10" fontId="62" fillId="21" borderId="93" xfId="0" applyNumberFormat="1" applyFont="1" applyFill="1" applyBorder="1" applyAlignment="1" applyProtection="1">
      <alignment horizontal="center" vertical="center" wrapText="1"/>
      <protection hidden="1"/>
    </xf>
    <xf numFmtId="10" fontId="62" fillId="21" borderId="95" xfId="0" applyNumberFormat="1" applyFont="1" applyFill="1" applyBorder="1" applyAlignment="1" applyProtection="1">
      <alignment horizontal="center" vertical="center" wrapText="1"/>
      <protection hidden="1"/>
    </xf>
    <xf numFmtId="0" fontId="35" fillId="12" borderId="39" xfId="0" applyFont="1" applyFill="1" applyBorder="1" applyAlignment="1" applyProtection="1">
      <alignment horizontal="center" wrapText="1"/>
      <protection locked="0" hidden="1"/>
    </xf>
    <xf numFmtId="0" fontId="35" fillId="12" borderId="40" xfId="0" applyFont="1" applyFill="1" applyBorder="1" applyAlignment="1" applyProtection="1">
      <alignment horizontal="center" wrapText="1"/>
      <protection locked="0" hidden="1"/>
    </xf>
    <xf numFmtId="0" fontId="35" fillId="12" borderId="41" xfId="0" applyFont="1" applyFill="1" applyBorder="1" applyAlignment="1" applyProtection="1">
      <alignment horizontal="center" wrapText="1"/>
      <protection locked="0" hidden="1"/>
    </xf>
    <xf numFmtId="0" fontId="0" fillId="4" borderId="31" xfId="0" applyFill="1" applyBorder="1" applyAlignment="1" applyProtection="1">
      <alignment horizontal="center"/>
      <protection locked="0" hidden="1"/>
    </xf>
    <xf numFmtId="0" fontId="0" fillId="4" borderId="33" xfId="0" applyFill="1" applyBorder="1" applyAlignment="1" applyProtection="1">
      <alignment horizontal="center"/>
      <protection locked="0" hidden="1"/>
    </xf>
    <xf numFmtId="0" fontId="44" fillId="13" borderId="0" xfId="0" applyFont="1" applyFill="1" applyAlignment="1" applyProtection="1">
      <alignment horizontal="center" vertical="center" wrapText="1"/>
    </xf>
    <xf numFmtId="0" fontId="22" fillId="4" borderId="31" xfId="0" applyFont="1" applyFill="1" applyBorder="1" applyAlignment="1" applyProtection="1">
      <alignment horizontal="center"/>
      <protection locked="0" hidden="1"/>
    </xf>
    <xf numFmtId="0" fontId="22" fillId="4" borderId="32" xfId="0" applyFont="1" applyFill="1" applyBorder="1" applyAlignment="1" applyProtection="1">
      <alignment horizontal="center"/>
      <protection locked="0" hidden="1"/>
    </xf>
    <xf numFmtId="0" fontId="22" fillId="4" borderId="33" xfId="0" applyFont="1" applyFill="1" applyBorder="1" applyAlignment="1" applyProtection="1">
      <alignment horizontal="center"/>
      <protection locked="0" hidden="1"/>
    </xf>
    <xf numFmtId="0" fontId="36" fillId="12" borderId="0" xfId="0" applyFont="1" applyFill="1" applyBorder="1" applyAlignment="1" applyProtection="1">
      <alignment horizontal="center" vertical="center" wrapText="1"/>
      <protection hidden="1"/>
    </xf>
    <xf numFmtId="3" fontId="22" fillId="4" borderId="31" xfId="0" applyNumberFormat="1" applyFont="1" applyFill="1" applyBorder="1" applyAlignment="1" applyProtection="1">
      <alignment horizontal="center"/>
      <protection locked="0" hidden="1"/>
    </xf>
    <xf numFmtId="0" fontId="22" fillId="4" borderId="36" xfId="0" applyFont="1" applyFill="1" applyBorder="1" applyAlignment="1" applyProtection="1">
      <alignment horizontal="center"/>
      <protection locked="0" hidden="1"/>
    </xf>
    <xf numFmtId="0" fontId="22" fillId="4" borderId="0" xfId="0" applyFont="1" applyFill="1" applyBorder="1" applyAlignment="1" applyProtection="1">
      <alignment horizontal="center"/>
      <protection locked="0" hidden="1"/>
    </xf>
    <xf numFmtId="0" fontId="22" fillId="4" borderId="37" xfId="0" applyFont="1" applyFill="1" applyBorder="1" applyAlignment="1" applyProtection="1">
      <alignment horizontal="center"/>
      <protection locked="0" hidden="1"/>
    </xf>
    <xf numFmtId="0" fontId="0" fillId="4" borderId="34" xfId="0" applyFill="1" applyBorder="1" applyAlignment="1" applyProtection="1">
      <alignment horizontal="center"/>
      <protection locked="0" hidden="1"/>
    </xf>
    <xf numFmtId="4" fontId="49" fillId="6" borderId="2" xfId="3" applyNumberFormat="1" applyFont="1" applyFill="1" applyBorder="1" applyAlignment="1" applyProtection="1">
      <alignment horizontal="center" vertical="center"/>
      <protection hidden="1"/>
    </xf>
    <xf numFmtId="0" fontId="0" fillId="6" borderId="2" xfId="0" applyFill="1" applyBorder="1" applyAlignment="1" applyProtection="1">
      <alignment horizontal="center" vertical="center"/>
      <protection hidden="1"/>
    </xf>
    <xf numFmtId="0" fontId="0" fillId="6" borderId="14" xfId="0" applyFill="1" applyBorder="1" applyAlignment="1" applyProtection="1">
      <alignment horizontal="center" vertical="center"/>
      <protection hidden="1"/>
    </xf>
    <xf numFmtId="2" fontId="49" fillId="6" borderId="2" xfId="3" applyNumberFormat="1" applyFont="1" applyFill="1" applyBorder="1" applyAlignment="1" applyProtection="1">
      <alignment horizontal="center" vertical="center"/>
      <protection hidden="1"/>
    </xf>
    <xf numFmtId="2" fontId="49" fillId="6" borderId="14" xfId="3" applyNumberFormat="1" applyFont="1" applyFill="1" applyBorder="1" applyAlignment="1" applyProtection="1">
      <alignment horizontal="center" vertical="center"/>
      <protection hidden="1"/>
    </xf>
    <xf numFmtId="0" fontId="50" fillId="10" borderId="13" xfId="3" applyFont="1" applyFill="1" applyBorder="1" applyAlignment="1" applyProtection="1">
      <alignment vertical="center"/>
      <protection hidden="1"/>
    </xf>
    <xf numFmtId="0" fontId="22" fillId="10" borderId="2" xfId="0" applyFont="1" applyFill="1" applyBorder="1" applyAlignment="1" applyProtection="1">
      <alignment vertical="center"/>
      <protection hidden="1"/>
    </xf>
    <xf numFmtId="0" fontId="0" fillId="0" borderId="2" xfId="0" applyFill="1" applyBorder="1" applyAlignment="1" applyProtection="1">
      <alignment horizontal="left" vertical="center" wrapText="1"/>
      <protection locked="0"/>
    </xf>
    <xf numFmtId="0" fontId="0" fillId="0" borderId="14" xfId="0" applyFill="1" applyBorder="1" applyAlignment="1" applyProtection="1">
      <alignment horizontal="left" vertical="center" wrapText="1"/>
      <protection locked="0"/>
    </xf>
    <xf numFmtId="0" fontId="50" fillId="10" borderId="63" xfId="3" applyFont="1" applyFill="1" applyBorder="1" applyAlignment="1" applyProtection="1">
      <alignment vertical="center"/>
      <protection hidden="1"/>
    </xf>
    <xf numFmtId="0" fontId="22" fillId="10" borderId="18" xfId="0" applyFont="1" applyFill="1" applyBorder="1" applyAlignment="1" applyProtection="1">
      <alignment vertical="center"/>
      <protection hidden="1"/>
    </xf>
    <xf numFmtId="2" fontId="49" fillId="6" borderId="18" xfId="3" applyNumberFormat="1" applyFont="1" applyFill="1" applyBorder="1" applyAlignment="1" applyProtection="1">
      <alignment horizontal="center" vertical="center"/>
      <protection hidden="1"/>
    </xf>
    <xf numFmtId="0" fontId="61" fillId="13" borderId="10" xfId="3" applyFont="1" applyFill="1" applyBorder="1" applyAlignment="1" applyProtection="1">
      <alignment horizontal="center" vertical="center" wrapText="1"/>
      <protection hidden="1"/>
    </xf>
    <xf numFmtId="0" fontId="61" fillId="13" borderId="11" xfId="3" applyFont="1" applyFill="1" applyBorder="1" applyAlignment="1" applyProtection="1">
      <alignment horizontal="center" vertical="center" wrapText="1"/>
      <protection hidden="1"/>
    </xf>
    <xf numFmtId="0" fontId="61" fillId="13" borderId="12" xfId="3" applyFont="1" applyFill="1" applyBorder="1" applyAlignment="1" applyProtection="1">
      <alignment horizontal="center" vertical="center" wrapText="1"/>
      <protection hidden="1"/>
    </xf>
    <xf numFmtId="2" fontId="49" fillId="6" borderId="86" xfId="3" applyNumberFormat="1" applyFont="1" applyFill="1" applyBorder="1" applyAlignment="1" applyProtection="1">
      <alignment horizontal="center" vertical="center"/>
      <protection hidden="1"/>
    </xf>
    <xf numFmtId="43" fontId="48" fillId="6" borderId="2" xfId="0" applyNumberFormat="1" applyFont="1" applyFill="1" applyBorder="1" applyAlignment="1" applyProtection="1">
      <alignment horizontal="center" vertical="center" wrapText="1"/>
      <protection hidden="1"/>
    </xf>
    <xf numFmtId="43" fontId="48" fillId="6" borderId="14" xfId="0" applyNumberFormat="1" applyFont="1" applyFill="1" applyBorder="1" applyAlignment="1" applyProtection="1">
      <alignment horizontal="center" vertical="center" wrapText="1"/>
      <protection hidden="1"/>
    </xf>
    <xf numFmtId="0" fontId="51" fillId="13" borderId="11" xfId="3" applyFont="1" applyFill="1" applyBorder="1" applyAlignment="1" applyProtection="1">
      <alignment horizontal="center" vertical="center"/>
      <protection hidden="1"/>
    </xf>
    <xf numFmtId="0" fontId="51" fillId="13" borderId="12" xfId="3" applyFont="1" applyFill="1" applyBorder="1" applyAlignment="1" applyProtection="1">
      <alignment horizontal="center" vertical="center"/>
      <protection hidden="1"/>
    </xf>
    <xf numFmtId="0" fontId="51" fillId="13" borderId="10" xfId="3" applyFont="1" applyFill="1" applyBorder="1" applyAlignment="1" applyProtection="1">
      <alignment horizontal="center" vertical="center" wrapText="1"/>
      <protection hidden="1"/>
    </xf>
    <xf numFmtId="0" fontId="51" fillId="13" borderId="11" xfId="3" applyFont="1" applyFill="1" applyBorder="1" applyAlignment="1" applyProtection="1">
      <alignment horizontal="center" vertical="center" wrapText="1"/>
      <protection hidden="1"/>
    </xf>
    <xf numFmtId="0" fontId="59" fillId="10" borderId="10" xfId="3" applyFont="1" applyFill="1" applyBorder="1" applyAlignment="1" applyProtection="1">
      <alignment horizontal="center" vertical="center"/>
      <protection hidden="1"/>
    </xf>
    <xf numFmtId="0" fontId="59" fillId="10" borderId="11" xfId="3" applyFont="1" applyFill="1" applyBorder="1" applyAlignment="1" applyProtection="1">
      <alignment horizontal="center" vertical="center"/>
      <protection hidden="1"/>
    </xf>
    <xf numFmtId="0" fontId="59" fillId="10" borderId="12" xfId="3" applyFont="1" applyFill="1" applyBorder="1" applyAlignment="1" applyProtection="1">
      <alignment horizontal="center" vertical="center"/>
      <protection hidden="1"/>
    </xf>
    <xf numFmtId="0" fontId="50" fillId="10" borderId="2" xfId="3" applyFont="1" applyFill="1" applyBorder="1" applyAlignment="1" applyProtection="1">
      <alignment horizontal="center" vertical="center"/>
      <protection hidden="1"/>
    </xf>
    <xf numFmtId="0" fontId="50" fillId="10" borderId="14" xfId="3" applyFont="1" applyFill="1" applyBorder="1" applyAlignment="1" applyProtection="1">
      <alignment horizontal="center" vertical="center"/>
      <protection hidden="1"/>
    </xf>
    <xf numFmtId="41" fontId="49" fillId="6" borderId="2" xfId="3" applyNumberFormat="1" applyFont="1" applyFill="1" applyBorder="1" applyAlignment="1" applyProtection="1">
      <alignment horizontal="center" vertical="center"/>
      <protection hidden="1"/>
    </xf>
    <xf numFmtId="43" fontId="48" fillId="6" borderId="2" xfId="0" applyNumberFormat="1" applyFont="1" applyFill="1" applyBorder="1" applyAlignment="1" applyProtection="1">
      <alignment horizontal="center" vertical="center"/>
      <protection hidden="1"/>
    </xf>
    <xf numFmtId="0" fontId="50" fillId="10" borderId="2" xfId="3" applyFont="1" applyFill="1" applyBorder="1" applyAlignment="1" applyProtection="1">
      <alignment horizontal="left" vertical="center" wrapText="1"/>
      <protection hidden="1"/>
    </xf>
    <xf numFmtId="41" fontId="50" fillId="10" borderId="2" xfId="3" applyNumberFormat="1" applyFont="1" applyFill="1" applyBorder="1" applyAlignment="1" applyProtection="1">
      <alignment horizontal="left" vertical="center" wrapText="1"/>
      <protection hidden="1"/>
    </xf>
    <xf numFmtId="43" fontId="48" fillId="6" borderId="14" xfId="0" applyNumberFormat="1" applyFont="1" applyFill="1" applyBorder="1" applyAlignment="1" applyProtection="1">
      <alignment horizontal="center" vertical="center"/>
      <protection hidden="1"/>
    </xf>
    <xf numFmtId="0" fontId="50" fillId="10" borderId="2" xfId="3" applyFont="1" applyFill="1" applyBorder="1" applyAlignment="1" applyProtection="1">
      <alignment vertical="center"/>
      <protection hidden="1"/>
    </xf>
    <xf numFmtId="0" fontId="49" fillId="10" borderId="13" xfId="3" applyFont="1" applyFill="1" applyBorder="1" applyAlignment="1" applyProtection="1">
      <alignment horizontal="left" vertical="center"/>
      <protection hidden="1"/>
    </xf>
    <xf numFmtId="0" fontId="49" fillId="10" borderId="2" xfId="3" applyFont="1" applyFill="1" applyBorder="1" applyAlignment="1" applyProtection="1">
      <alignment horizontal="left" vertical="center"/>
      <protection hidden="1"/>
    </xf>
    <xf numFmtId="49" fontId="49" fillId="6" borderId="2" xfId="3" applyNumberFormat="1" applyFont="1" applyFill="1" applyBorder="1" applyAlignment="1" applyProtection="1">
      <alignment horizontal="center" vertical="center" wrapText="1"/>
      <protection hidden="1"/>
    </xf>
    <xf numFmtId="0" fontId="49" fillId="6" borderId="2" xfId="3" applyFont="1" applyFill="1" applyBorder="1" applyAlignment="1" applyProtection="1">
      <alignment vertical="center"/>
      <protection hidden="1"/>
    </xf>
    <xf numFmtId="0" fontId="49" fillId="10" borderId="63" xfId="3" applyFont="1" applyFill="1" applyBorder="1" applyAlignment="1" applyProtection="1">
      <alignment vertical="center"/>
      <protection hidden="1"/>
    </xf>
    <xf numFmtId="0" fontId="49" fillId="10" borderId="18" xfId="3" applyFont="1" applyFill="1" applyBorder="1" applyAlignment="1" applyProtection="1">
      <alignment vertical="center"/>
      <protection hidden="1"/>
    </xf>
    <xf numFmtId="43" fontId="48" fillId="6" borderId="18" xfId="0" applyNumberFormat="1" applyFont="1" applyFill="1" applyBorder="1" applyAlignment="1" applyProtection="1">
      <alignment horizontal="center" vertical="center"/>
      <protection hidden="1"/>
    </xf>
    <xf numFmtId="0" fontId="49" fillId="6" borderId="18" xfId="3" applyFont="1" applyFill="1" applyBorder="1" applyAlignment="1" applyProtection="1">
      <alignment vertical="center"/>
      <protection hidden="1"/>
    </xf>
    <xf numFmtId="43" fontId="48" fillId="6" borderId="86" xfId="0" applyNumberFormat="1" applyFont="1" applyFill="1" applyBorder="1" applyAlignment="1" applyProtection="1">
      <alignment horizontal="center" vertical="center"/>
      <protection hidden="1"/>
    </xf>
    <xf numFmtId="41" fontId="48" fillId="6" borderId="13" xfId="0" applyNumberFormat="1" applyFont="1" applyFill="1" applyBorder="1" applyAlignment="1" applyProtection="1">
      <alignment horizontal="center" vertical="center"/>
      <protection hidden="1"/>
    </xf>
    <xf numFmtId="41" fontId="48" fillId="6" borderId="2" xfId="0" applyNumberFormat="1" applyFont="1" applyFill="1" applyBorder="1" applyAlignment="1" applyProtection="1">
      <alignment horizontal="center" vertical="center"/>
      <protection hidden="1"/>
    </xf>
    <xf numFmtId="41" fontId="48" fillId="6" borderId="63" xfId="0" applyNumberFormat="1" applyFont="1" applyFill="1" applyBorder="1" applyAlignment="1" applyProtection="1">
      <alignment horizontal="center" vertical="center"/>
      <protection hidden="1"/>
    </xf>
    <xf numFmtId="41" fontId="48" fillId="6" borderId="18" xfId="0" applyNumberFormat="1" applyFont="1" applyFill="1" applyBorder="1" applyAlignment="1" applyProtection="1">
      <alignment horizontal="center" vertical="center"/>
      <protection hidden="1"/>
    </xf>
    <xf numFmtId="41" fontId="0" fillId="6" borderId="2" xfId="0" applyNumberFormat="1" applyFill="1" applyBorder="1" applyAlignment="1" applyProtection="1">
      <alignment horizontal="center" vertical="center"/>
      <protection hidden="1"/>
    </xf>
    <xf numFmtId="4" fontId="50" fillId="6" borderId="11" xfId="3" applyNumberFormat="1" applyFont="1" applyFill="1" applyBorder="1" applyAlignment="1" applyProtection="1">
      <alignment horizontal="center" vertical="center"/>
      <protection hidden="1"/>
    </xf>
    <xf numFmtId="0" fontId="22" fillId="6" borderId="11" xfId="0" applyFont="1" applyFill="1" applyBorder="1" applyAlignment="1" applyProtection="1">
      <alignment horizontal="center" vertical="center"/>
      <protection hidden="1"/>
    </xf>
    <xf numFmtId="167" fontId="50" fillId="10" borderId="2" xfId="3" applyNumberFormat="1" applyFont="1" applyFill="1" applyBorder="1" applyAlignment="1" applyProtection="1">
      <alignment horizontal="center" vertical="center"/>
      <protection hidden="1"/>
    </xf>
    <xf numFmtId="0" fontId="50" fillId="10" borderId="2" xfId="3" applyFont="1" applyFill="1" applyBorder="1" applyAlignment="1" applyProtection="1">
      <alignment horizontal="left" vertical="center"/>
      <protection hidden="1"/>
    </xf>
    <xf numFmtId="167" fontId="50" fillId="10" borderId="107" xfId="3" applyNumberFormat="1" applyFont="1" applyFill="1" applyBorder="1" applyAlignment="1" applyProtection="1">
      <alignment horizontal="center" vertical="center"/>
      <protection hidden="1"/>
    </xf>
    <xf numFmtId="167" fontId="50" fillId="10" borderId="18" xfId="3" applyNumberFormat="1" applyFont="1" applyFill="1" applyBorder="1" applyAlignment="1" applyProtection="1">
      <alignment horizontal="center" vertical="center"/>
      <protection hidden="1"/>
    </xf>
    <xf numFmtId="3" fontId="50" fillId="10" borderId="107" xfId="3" applyNumberFormat="1" applyFont="1" applyFill="1" applyBorder="1" applyAlignment="1" applyProtection="1">
      <alignment horizontal="center" vertical="center"/>
      <protection hidden="1"/>
    </xf>
    <xf numFmtId="0" fontId="50" fillId="10" borderId="107" xfId="3" applyFont="1" applyFill="1" applyBorder="1" applyAlignment="1" applyProtection="1">
      <alignment horizontal="center" vertical="center" wrapText="1"/>
      <protection hidden="1"/>
    </xf>
    <xf numFmtId="167" fontId="50" fillId="10" borderId="2" xfId="3" applyNumberFormat="1" applyFont="1" applyFill="1" applyBorder="1" applyAlignment="1" applyProtection="1">
      <alignment horizontal="center" vertical="center" wrapText="1"/>
      <protection hidden="1"/>
    </xf>
    <xf numFmtId="0" fontId="61" fillId="13" borderId="109" xfId="3" applyFont="1" applyFill="1" applyBorder="1" applyAlignment="1" applyProtection="1">
      <alignment horizontal="center" vertical="center" wrapText="1"/>
      <protection hidden="1"/>
    </xf>
    <xf numFmtId="0" fontId="61" fillId="13" borderId="110" xfId="3" applyFont="1" applyFill="1" applyBorder="1" applyAlignment="1" applyProtection="1">
      <alignment horizontal="center" vertical="center" wrapText="1"/>
      <protection hidden="1"/>
    </xf>
    <xf numFmtId="0" fontId="61" fillId="13" borderId="111" xfId="3" applyFont="1" applyFill="1" applyBorder="1" applyAlignment="1" applyProtection="1">
      <alignment horizontal="center" vertical="center" wrapText="1"/>
      <protection hidden="1"/>
    </xf>
    <xf numFmtId="43" fontId="0" fillId="6" borderId="2" xfId="0" applyNumberFormat="1" applyFill="1" applyBorder="1" applyAlignment="1" applyProtection="1">
      <alignment horizontal="center" vertical="center"/>
      <protection hidden="1"/>
    </xf>
    <xf numFmtId="41" fontId="0" fillId="6" borderId="14" xfId="0" applyNumberFormat="1" applyFill="1" applyBorder="1" applyAlignment="1" applyProtection="1">
      <alignment horizontal="center" vertical="center"/>
      <protection hidden="1"/>
    </xf>
    <xf numFmtId="0" fontId="50" fillId="10" borderId="13" xfId="3" applyFont="1" applyFill="1" applyBorder="1" applyAlignment="1" applyProtection="1">
      <alignment horizontal="left" vertical="center" wrapText="1"/>
      <protection hidden="1"/>
    </xf>
    <xf numFmtId="0" fontId="50" fillId="10" borderId="63" xfId="3" applyFont="1" applyFill="1" applyBorder="1" applyAlignment="1" applyProtection="1">
      <alignment horizontal="left" vertical="center" wrapText="1"/>
      <protection hidden="1"/>
    </xf>
    <xf numFmtId="0" fontId="50" fillId="10" borderId="18" xfId="3" applyFont="1" applyFill="1" applyBorder="1" applyAlignment="1" applyProtection="1">
      <alignment horizontal="left" vertical="center" wrapText="1"/>
      <protection hidden="1"/>
    </xf>
    <xf numFmtId="176" fontId="0" fillId="6" borderId="2" xfId="0" applyNumberFormat="1" applyFill="1" applyBorder="1" applyAlignment="1" applyProtection="1">
      <alignment horizontal="center" vertical="center"/>
      <protection hidden="1"/>
    </xf>
    <xf numFmtId="176" fontId="49" fillId="6" borderId="2" xfId="3" applyNumberFormat="1" applyFont="1" applyFill="1" applyBorder="1" applyAlignment="1" applyProtection="1">
      <alignment horizontal="center" vertical="center"/>
      <protection hidden="1"/>
    </xf>
    <xf numFmtId="176" fontId="49" fillId="6" borderId="14" xfId="3" applyNumberFormat="1" applyFont="1" applyFill="1" applyBorder="1" applyAlignment="1" applyProtection="1">
      <alignment horizontal="center" vertical="center"/>
      <protection hidden="1"/>
    </xf>
    <xf numFmtId="0" fontId="50" fillId="10" borderId="63" xfId="3" applyFont="1" applyFill="1" applyBorder="1" applyAlignment="1" applyProtection="1">
      <alignment horizontal="center" vertical="center"/>
      <protection hidden="1"/>
    </xf>
    <xf numFmtId="0" fontId="50" fillId="10" borderId="18" xfId="3" applyFont="1" applyFill="1" applyBorder="1" applyAlignment="1" applyProtection="1">
      <alignment horizontal="center" vertical="center"/>
      <protection hidden="1"/>
    </xf>
    <xf numFmtId="0" fontId="22" fillId="6" borderId="18" xfId="0" applyFont="1" applyFill="1" applyBorder="1" applyAlignment="1" applyProtection="1">
      <alignment horizontal="center" vertical="center"/>
      <protection hidden="1"/>
    </xf>
    <xf numFmtId="0" fontId="0" fillId="6" borderId="18" xfId="0" applyFill="1" applyBorder="1" applyAlignment="1" applyProtection="1">
      <alignment horizontal="center" vertical="center"/>
      <protection hidden="1"/>
    </xf>
    <xf numFmtId="176" fontId="50" fillId="10" borderId="18" xfId="3" applyNumberFormat="1" applyFont="1" applyFill="1" applyBorder="1" applyAlignment="1" applyProtection="1">
      <alignment horizontal="center" vertical="center" wrapText="1"/>
      <protection hidden="1"/>
    </xf>
    <xf numFmtId="0" fontId="50" fillId="10" borderId="112" xfId="3" applyFont="1" applyFill="1" applyBorder="1" applyAlignment="1" applyProtection="1">
      <alignment horizontal="center" vertical="center" wrapText="1"/>
      <protection hidden="1"/>
    </xf>
    <xf numFmtId="0" fontId="50" fillId="10" borderId="113" xfId="3" applyFont="1" applyFill="1" applyBorder="1" applyAlignment="1" applyProtection="1">
      <alignment horizontal="center" vertical="center" wrapText="1"/>
      <protection hidden="1"/>
    </xf>
    <xf numFmtId="0" fontId="50" fillId="10" borderId="85" xfId="3" applyFont="1" applyFill="1" applyBorder="1" applyAlignment="1" applyProtection="1">
      <alignment horizontal="center" vertical="center" wrapText="1"/>
      <protection hidden="1"/>
    </xf>
    <xf numFmtId="0" fontId="50" fillId="10" borderId="114" xfId="3" applyFont="1" applyFill="1" applyBorder="1" applyAlignment="1" applyProtection="1">
      <alignment horizontal="center" vertical="center" wrapText="1"/>
      <protection hidden="1"/>
    </xf>
    <xf numFmtId="0" fontId="50" fillId="13" borderId="63" xfId="3" applyFont="1" applyFill="1" applyBorder="1" applyAlignment="1" applyProtection="1">
      <alignment horizontal="left" vertical="center"/>
      <protection hidden="1"/>
    </xf>
    <xf numFmtId="0" fontId="50" fillId="13" borderId="18" xfId="3" applyFont="1" applyFill="1" applyBorder="1" applyAlignment="1" applyProtection="1">
      <alignment horizontal="left" vertical="center"/>
      <protection hidden="1"/>
    </xf>
    <xf numFmtId="0" fontId="48" fillId="0" borderId="18" xfId="0" applyFont="1" applyBorder="1" applyAlignment="1" applyProtection="1">
      <alignment horizontal="center" vertical="center" wrapText="1"/>
      <protection locked="0"/>
    </xf>
    <xf numFmtId="0" fontId="50" fillId="0" borderId="18" xfId="3" applyFont="1" applyFill="1" applyBorder="1" applyAlignment="1" applyProtection="1">
      <alignment horizontal="center" vertical="center" wrapText="1"/>
      <protection locked="0"/>
    </xf>
    <xf numFmtId="176" fontId="50" fillId="0" borderId="18" xfId="3" applyNumberFormat="1" applyFont="1" applyFill="1" applyBorder="1" applyAlignment="1" applyProtection="1">
      <alignment horizontal="center" vertical="center" wrapText="1"/>
      <protection locked="0"/>
    </xf>
    <xf numFmtId="176" fontId="50" fillId="0" borderId="86" xfId="3" applyNumberFormat="1" applyFont="1" applyFill="1" applyBorder="1" applyAlignment="1" applyProtection="1">
      <alignment horizontal="center" vertical="center" wrapText="1"/>
      <protection locked="0"/>
    </xf>
    <xf numFmtId="0" fontId="60" fillId="13" borderId="10" xfId="3" applyFont="1" applyFill="1" applyBorder="1" applyAlignment="1" applyProtection="1">
      <alignment horizontal="center" vertical="center"/>
      <protection hidden="1"/>
    </xf>
    <xf numFmtId="0" fontId="60" fillId="13" borderId="11" xfId="3" applyFont="1" applyFill="1" applyBorder="1" applyAlignment="1" applyProtection="1">
      <alignment horizontal="center" vertical="center"/>
      <protection hidden="1"/>
    </xf>
    <xf numFmtId="0" fontId="60" fillId="13" borderId="11" xfId="0" applyFont="1" applyFill="1" applyBorder="1" applyAlignment="1" applyProtection="1">
      <alignment horizontal="center" vertical="center"/>
      <protection hidden="1"/>
    </xf>
    <xf numFmtId="0" fontId="60" fillId="13" borderId="12" xfId="3" applyFont="1" applyFill="1" applyBorder="1" applyAlignment="1" applyProtection="1">
      <alignment horizontal="center" vertical="center"/>
      <protection hidden="1"/>
    </xf>
    <xf numFmtId="0" fontId="50" fillId="13" borderId="13" xfId="3" applyFont="1" applyFill="1" applyBorder="1" applyAlignment="1" applyProtection="1">
      <alignment horizontal="left" vertical="center"/>
      <protection hidden="1"/>
    </xf>
    <xf numFmtId="0" fontId="50" fillId="13" borderId="2" xfId="3" applyFont="1" applyFill="1" applyBorder="1" applyAlignment="1" applyProtection="1">
      <alignment horizontal="left" vertical="center"/>
      <protection hidden="1"/>
    </xf>
    <xf numFmtId="0" fontId="48" fillId="0" borderId="2" xfId="0" applyFont="1" applyBorder="1" applyAlignment="1" applyProtection="1">
      <alignment horizontal="center" vertical="center" wrapText="1"/>
      <protection locked="0"/>
    </xf>
    <xf numFmtId="0" fontId="50" fillId="0" borderId="2" xfId="3" applyFont="1" applyFill="1" applyBorder="1" applyAlignment="1" applyProtection="1">
      <alignment horizontal="center" vertical="center" wrapText="1"/>
      <protection locked="0"/>
    </xf>
    <xf numFmtId="176" fontId="50" fillId="0" borderId="2" xfId="3" applyNumberFormat="1" applyFont="1" applyFill="1" applyBorder="1" applyAlignment="1" applyProtection="1">
      <alignment horizontal="center" vertical="center" wrapText="1"/>
      <protection locked="0"/>
    </xf>
    <xf numFmtId="176" fontId="50" fillId="0" borderId="14" xfId="3" applyNumberFormat="1" applyFont="1" applyFill="1" applyBorder="1" applyAlignment="1" applyProtection="1">
      <alignment horizontal="center" vertical="center" wrapText="1"/>
      <protection locked="0"/>
    </xf>
    <xf numFmtId="0" fontId="48" fillId="0" borderId="13" xfId="0" applyFont="1" applyBorder="1" applyAlignment="1" applyProtection="1">
      <alignment horizontal="center" vertical="center" wrapText="1"/>
      <protection locked="0"/>
    </xf>
    <xf numFmtId="0" fontId="48" fillId="0" borderId="14" xfId="0" applyFont="1" applyBorder="1" applyAlignment="1" applyProtection="1">
      <alignment horizontal="center" vertical="center" wrapText="1"/>
      <protection locked="0"/>
    </xf>
    <xf numFmtId="0" fontId="48" fillId="0" borderId="63" xfId="0" applyFont="1" applyBorder="1" applyAlignment="1" applyProtection="1">
      <alignment horizontal="center" vertical="center" wrapText="1"/>
      <protection locked="0"/>
    </xf>
    <xf numFmtId="0" fontId="48" fillId="0" borderId="86" xfId="0" applyFont="1" applyBorder="1" applyAlignment="1" applyProtection="1">
      <alignment horizontal="center" vertical="center" wrapText="1"/>
      <protection locked="0"/>
    </xf>
    <xf numFmtId="0" fontId="50" fillId="10" borderId="10" xfId="3" applyFont="1" applyFill="1" applyBorder="1" applyAlignment="1" applyProtection="1">
      <alignment horizontal="center" vertical="center"/>
      <protection hidden="1"/>
    </xf>
    <xf numFmtId="0" fontId="22" fillId="10" borderId="11" xfId="0" applyFont="1" applyFill="1" applyBorder="1" applyAlignment="1" applyProtection="1">
      <alignment horizontal="center" vertical="center"/>
      <protection hidden="1"/>
    </xf>
    <xf numFmtId="0" fontId="0" fillId="0" borderId="18" xfId="0" applyFill="1" applyBorder="1" applyAlignment="1" applyProtection="1">
      <alignment horizontal="left" vertical="center" wrapText="1"/>
      <protection locked="0"/>
    </xf>
    <xf numFmtId="0" fontId="0" fillId="0" borderId="86" xfId="0" applyFill="1" applyBorder="1" applyAlignment="1" applyProtection="1">
      <alignment horizontal="left" vertical="center" wrapText="1"/>
      <protection locked="0"/>
    </xf>
    <xf numFmtId="0" fontId="22" fillId="6" borderId="12" xfId="0" applyFont="1" applyFill="1" applyBorder="1" applyAlignment="1" applyProtection="1">
      <alignment horizontal="center" vertical="center"/>
      <protection hidden="1"/>
    </xf>
    <xf numFmtId="0" fontId="56" fillId="0" borderId="0" xfId="0" applyFont="1" applyBorder="1" applyAlignment="1" applyProtection="1">
      <alignment horizontal="center" vertical="center" wrapText="1"/>
      <protection hidden="1"/>
    </xf>
    <xf numFmtId="0" fontId="56" fillId="0" borderId="0" xfId="0" applyFont="1" applyAlignment="1" applyProtection="1">
      <alignment horizontal="center" vertical="center" wrapText="1"/>
      <protection hidden="1"/>
    </xf>
    <xf numFmtId="0" fontId="4" fillId="9" borderId="8" xfId="0" applyFont="1" applyFill="1" applyBorder="1" applyAlignment="1" applyProtection="1">
      <alignment horizontal="center" vertical="center"/>
      <protection hidden="1"/>
    </xf>
    <xf numFmtId="0" fontId="4" fillId="9" borderId="0" xfId="0" applyFont="1" applyFill="1" applyBorder="1" applyAlignment="1" applyProtection="1">
      <alignment horizontal="center" vertical="center"/>
      <protection hidden="1"/>
    </xf>
    <xf numFmtId="0" fontId="1" fillId="3" borderId="52" xfId="0" applyFont="1" applyFill="1" applyBorder="1" applyAlignment="1" applyProtection="1">
      <alignment horizontal="center" vertical="center"/>
      <protection locked="0"/>
    </xf>
    <xf numFmtId="0" fontId="1" fillId="3" borderId="53" xfId="0" applyFont="1" applyFill="1" applyBorder="1" applyAlignment="1" applyProtection="1">
      <alignment horizontal="center" vertical="center"/>
      <protection locked="0"/>
    </xf>
    <xf numFmtId="0" fontId="1" fillId="3" borderId="54" xfId="0" applyFont="1" applyFill="1" applyBorder="1" applyAlignment="1" applyProtection="1">
      <alignment horizontal="center" vertical="center"/>
      <protection locked="0"/>
    </xf>
    <xf numFmtId="0" fontId="27" fillId="9" borderId="62" xfId="0" applyFont="1" applyFill="1" applyBorder="1" applyAlignment="1" applyProtection="1">
      <alignment horizontal="center" vertical="center"/>
      <protection hidden="1"/>
    </xf>
    <xf numFmtId="0" fontId="27" fillId="9" borderId="58"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0" fontId="28" fillId="2" borderId="9" xfId="0" applyFont="1" applyFill="1" applyBorder="1" applyAlignment="1" applyProtection="1">
      <alignment horizontal="center" vertical="center"/>
      <protection hidden="1"/>
    </xf>
    <xf numFmtId="0" fontId="28" fillId="2" borderId="8" xfId="0" applyFont="1" applyFill="1" applyBorder="1" applyAlignment="1" applyProtection="1">
      <alignment horizontal="center" vertical="center"/>
      <protection hidden="1"/>
    </xf>
    <xf numFmtId="0" fontId="1" fillId="15" borderId="27" xfId="0" applyFont="1" applyFill="1" applyBorder="1" applyAlignment="1" applyProtection="1">
      <alignment horizontal="center" vertical="center"/>
      <protection hidden="1"/>
    </xf>
    <xf numFmtId="0" fontId="1" fillId="15" borderId="61" xfId="0" applyFont="1" applyFill="1" applyBorder="1" applyAlignment="1" applyProtection="1">
      <alignment horizontal="center" vertical="center"/>
      <protection hidden="1"/>
    </xf>
    <xf numFmtId="0" fontId="1" fillId="15" borderId="28" xfId="0" applyFont="1" applyFill="1" applyBorder="1" applyAlignment="1" applyProtection="1">
      <alignment horizontal="center" vertical="center"/>
      <protection hidden="1"/>
    </xf>
    <xf numFmtId="0" fontId="1" fillId="2" borderId="52" xfId="0" applyFont="1" applyFill="1" applyBorder="1" applyAlignment="1" applyProtection="1">
      <alignment horizontal="center" vertical="center"/>
      <protection locked="0"/>
    </xf>
    <xf numFmtId="0" fontId="1" fillId="2" borderId="53" xfId="0" applyFont="1" applyFill="1" applyBorder="1" applyAlignment="1" applyProtection="1">
      <alignment horizontal="center" vertical="center"/>
      <protection locked="0"/>
    </xf>
    <xf numFmtId="0" fontId="1" fillId="2" borderId="54" xfId="0" applyFont="1" applyFill="1" applyBorder="1" applyAlignment="1" applyProtection="1">
      <alignment horizontal="center" vertical="center"/>
      <protection locked="0"/>
    </xf>
    <xf numFmtId="0" fontId="1" fillId="3" borderId="57" xfId="0" applyFont="1" applyFill="1" applyBorder="1" applyAlignment="1" applyProtection="1">
      <alignment horizontal="center" vertical="center"/>
      <protection locked="0"/>
    </xf>
    <xf numFmtId="0" fontId="1" fillId="3" borderId="58" xfId="0" applyFont="1" applyFill="1" applyBorder="1" applyAlignment="1" applyProtection="1">
      <alignment horizontal="center" vertical="center"/>
      <protection locked="0"/>
    </xf>
    <xf numFmtId="0" fontId="1" fillId="3" borderId="59" xfId="0" applyFont="1" applyFill="1" applyBorder="1" applyAlignment="1" applyProtection="1">
      <alignment horizontal="center" vertical="center"/>
      <protection locked="0"/>
    </xf>
    <xf numFmtId="164" fontId="1" fillId="17" borderId="28" xfId="2" applyNumberFormat="1" applyFont="1" applyFill="1" applyBorder="1" applyAlignment="1" applyProtection="1">
      <alignment horizontal="center" vertical="center"/>
      <protection locked="0"/>
    </xf>
    <xf numFmtId="43" fontId="1" fillId="0" borderId="52" xfId="2" applyNumberFormat="1" applyFont="1" applyFill="1" applyBorder="1" applyAlignment="1" applyProtection="1">
      <alignment horizontal="center" vertical="center"/>
      <protection locked="0"/>
    </xf>
    <xf numFmtId="43" fontId="1" fillId="0" borderId="53" xfId="2" applyNumberFormat="1" applyFont="1" applyFill="1" applyBorder="1" applyAlignment="1" applyProtection="1">
      <alignment horizontal="center" vertical="center"/>
      <protection locked="0"/>
    </xf>
    <xf numFmtId="43" fontId="1" fillId="0" borderId="54" xfId="2" applyNumberFormat="1" applyFont="1" applyFill="1" applyBorder="1" applyAlignment="1" applyProtection="1">
      <alignment horizontal="center" vertical="center"/>
      <protection locked="0"/>
    </xf>
    <xf numFmtId="43" fontId="1" fillId="0" borderId="61" xfId="2" applyNumberFormat="1" applyFont="1" applyFill="1" applyBorder="1" applyAlignment="1" applyProtection="1">
      <alignment horizontal="center" vertical="center"/>
      <protection locked="0"/>
    </xf>
    <xf numFmtId="43" fontId="1" fillId="0" borderId="55" xfId="2" applyNumberFormat="1" applyFont="1" applyFill="1" applyBorder="1" applyAlignment="1" applyProtection="1">
      <alignment horizontal="center" vertical="center"/>
      <protection locked="0"/>
    </xf>
    <xf numFmtId="43" fontId="1" fillId="0" borderId="0" xfId="2" applyNumberFormat="1" applyFont="1" applyFill="1" applyBorder="1" applyAlignment="1" applyProtection="1">
      <alignment horizontal="center" vertical="center"/>
      <protection locked="0"/>
    </xf>
    <xf numFmtId="43" fontId="1" fillId="0" borderId="56" xfId="2" applyNumberFormat="1" applyFont="1" applyFill="1" applyBorder="1" applyAlignment="1" applyProtection="1">
      <alignment horizontal="center" vertical="center"/>
      <protection locked="0"/>
    </xf>
    <xf numFmtId="14" fontId="1" fillId="0" borderId="27" xfId="2" applyNumberFormat="1" applyFont="1" applyFill="1" applyBorder="1" applyAlignment="1" applyProtection="1">
      <alignment horizontal="center" vertical="center"/>
      <protection locked="0"/>
    </xf>
    <xf numFmtId="4" fontId="1" fillId="10" borderId="27" xfId="0" applyNumberFormat="1" applyFont="1" applyFill="1" applyBorder="1" applyAlignment="1" applyProtection="1">
      <alignment horizontal="center" vertical="center"/>
      <protection hidden="1"/>
    </xf>
    <xf numFmtId="4" fontId="1" fillId="10" borderId="61" xfId="0" applyNumberFormat="1" applyFont="1" applyFill="1" applyBorder="1" applyAlignment="1" applyProtection="1">
      <alignment horizontal="center" vertical="center"/>
      <protection hidden="1"/>
    </xf>
    <xf numFmtId="4" fontId="1" fillId="10" borderId="28" xfId="0" applyNumberFormat="1" applyFont="1" applyFill="1" applyBorder="1" applyAlignment="1" applyProtection="1">
      <alignment horizontal="center" vertical="center"/>
      <protection hidden="1"/>
    </xf>
    <xf numFmtId="0" fontId="2" fillId="9" borderId="8" xfId="0" applyFont="1" applyFill="1" applyBorder="1" applyAlignment="1" applyProtection="1">
      <alignment horizontal="center" vertical="center" wrapText="1"/>
      <protection hidden="1"/>
    </xf>
    <xf numFmtId="0" fontId="2" fillId="9" borderId="0" xfId="0" applyFont="1" applyFill="1" applyBorder="1" applyAlignment="1" applyProtection="1">
      <alignment horizontal="center" vertical="center" wrapText="1"/>
      <protection hidden="1"/>
    </xf>
    <xf numFmtId="0" fontId="52" fillId="6" borderId="65" xfId="0" applyFont="1" applyFill="1" applyBorder="1" applyAlignment="1" applyProtection="1">
      <alignment horizontal="center" vertical="center"/>
    </xf>
    <xf numFmtId="0" fontId="52" fillId="6" borderId="66" xfId="0" applyFont="1" applyFill="1" applyBorder="1" applyAlignment="1" applyProtection="1">
      <alignment horizontal="center" vertical="center"/>
    </xf>
    <xf numFmtId="0" fontId="7" fillId="2" borderId="3" xfId="3" applyFont="1" applyFill="1" applyBorder="1" applyAlignment="1" applyProtection="1">
      <alignment horizontal="center" vertical="center"/>
      <protection hidden="1"/>
    </xf>
  </cellXfs>
  <cellStyles count="64">
    <cellStyle name="AAbstand" xfId="6"/>
    <cellStyle name="Comma" xfId="2" builtinId="3"/>
    <cellStyle name="Comma 2" xfId="5"/>
    <cellStyle name="Comma 2 2" xfId="7"/>
    <cellStyle name="Comma 2 3" xfId="8"/>
    <cellStyle name="Comma 2 4" xfId="60"/>
    <cellStyle name="Comma 3" xfId="9"/>
    <cellStyle name="Comma 4" xfId="10"/>
    <cellStyle name="Comma 5" xfId="11"/>
    <cellStyle name="Comma 6" xfId="12"/>
    <cellStyle name="Currency" xfId="1" builtinId="4"/>
    <cellStyle name="Currency 2" xfId="13"/>
    <cellStyle name="Excel Built-in Normal" xfId="14"/>
    <cellStyle name="Excel Built-in Normal 2" xfId="15"/>
    <cellStyle name="Hyperlink 2" xfId="16"/>
    <cellStyle name="Hyperlink 2 2" xfId="17"/>
    <cellStyle name="Hyperlink 3" xfId="18"/>
    <cellStyle name="Normal" xfId="0" builtinId="0"/>
    <cellStyle name="Normal 10" xfId="19"/>
    <cellStyle name="Normal 11" xfId="63"/>
    <cellStyle name="Normal 2" xfId="3"/>
    <cellStyle name="Normal 2 2" xfId="20"/>
    <cellStyle name="Normal 2 3" xfId="21"/>
    <cellStyle name="Normal 3" xfId="22"/>
    <cellStyle name="Normal 3 2" xfId="23"/>
    <cellStyle name="Normal 3 3" xfId="24"/>
    <cellStyle name="Normal 3_axali chek listi" xfId="25"/>
    <cellStyle name="Normal 4" xfId="26"/>
    <cellStyle name="Normal 5" xfId="27"/>
    <cellStyle name="Normal 6" xfId="28"/>
    <cellStyle name="Normal 7" xfId="29"/>
    <cellStyle name="Normal 7 2" xfId="30"/>
    <cellStyle name="Normal 8" xfId="31"/>
    <cellStyle name="Normal 8 2" xfId="32"/>
    <cellStyle name="Normal 9" xfId="33"/>
    <cellStyle name="Note 2" xfId="34"/>
    <cellStyle name="Percent" xfId="62" builtinId="5"/>
    <cellStyle name="Percent 2" xfId="4"/>
    <cellStyle name="Percent 2 2" xfId="35"/>
    <cellStyle name="Percent 2 3" xfId="36"/>
    <cellStyle name="Percent 2 4" xfId="37"/>
    <cellStyle name="Percent 2 5" xfId="38"/>
    <cellStyle name="Percent 2 6" xfId="39"/>
    <cellStyle name="Percent 2 7" xfId="61"/>
    <cellStyle name="Percent 3" xfId="40"/>
    <cellStyle name="Percent 3 2" xfId="41"/>
    <cellStyle name="Percent 4" xfId="42"/>
    <cellStyle name="Standard 2" xfId="43"/>
    <cellStyle name="Standard 2 10" xfId="44"/>
    <cellStyle name="Standard 2 2" xfId="45"/>
    <cellStyle name="Standard 2 3" xfId="46"/>
    <cellStyle name="Standard 2 4" xfId="47"/>
    <cellStyle name="Standard 2 5" xfId="48"/>
    <cellStyle name="Standard 2 6" xfId="49"/>
    <cellStyle name="Standard 2 7" xfId="50"/>
    <cellStyle name="Standard 2 8" xfId="51"/>
    <cellStyle name="Standard 2 9" xfId="52"/>
    <cellStyle name="Überschrift" xfId="53"/>
    <cellStyle name="Ueb1" xfId="54"/>
    <cellStyle name="Ueb2" xfId="55"/>
    <cellStyle name="Ueb3" xfId="56"/>
    <cellStyle name="Ueb4" xfId="57"/>
    <cellStyle name="Обычный 2" xfId="58"/>
    <cellStyle name="Обычный_CFSibir" xfId="59"/>
  </cellStyles>
  <dxfs count="170">
    <dxf>
      <numFmt numFmtId="168" formatCode=";;;"/>
      <fill>
        <patternFill>
          <bgColor theme="2"/>
        </patternFill>
      </fill>
      <border>
        <left/>
        <right/>
        <vertical/>
        <horizontal/>
      </border>
    </dxf>
    <dxf>
      <numFmt numFmtId="168" formatCode=";;;"/>
      <fill>
        <patternFill>
          <bgColor theme="2"/>
        </patternFill>
      </fill>
      <border>
        <left/>
        <right/>
        <vertical/>
        <horizontal/>
      </border>
    </dxf>
    <dxf>
      <numFmt numFmtId="168" formatCode=";;;"/>
      <fill>
        <patternFill>
          <bgColor theme="2"/>
        </patternFill>
      </fill>
      <border>
        <left/>
        <right/>
        <vertical/>
        <horizontal/>
      </border>
    </dxf>
    <dxf>
      <font>
        <color theme="1"/>
      </font>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rgb="FFB50938"/>
      </font>
      <fill>
        <patternFill>
          <bgColor rgb="FFB50938"/>
        </patternFill>
      </fill>
      <border>
        <left/>
        <right/>
        <top/>
        <bottom/>
        <vertical/>
        <horizontal/>
      </border>
    </dxf>
    <dxf>
      <font>
        <color auto="1"/>
      </font>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fgColor indexed="64"/>
          <bgColor auto="1"/>
        </patternFill>
      </fill>
      <border>
        <left/>
        <right/>
        <top/>
        <bottom/>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rgb="FFB50938"/>
      </font>
      <fill>
        <patternFill>
          <bgColor rgb="FFB50938"/>
        </patternFill>
      </fill>
      <border>
        <left/>
        <right/>
        <top/>
        <bottom/>
        <vertical/>
        <horizontal/>
      </border>
    </dxf>
    <dxf>
      <font>
        <color theme="0"/>
      </font>
      <fill>
        <patternFill patternType="none">
          <fgColor indexed="64"/>
          <bgColor auto="1"/>
        </patternFill>
      </fill>
      <border>
        <left/>
        <right/>
        <top/>
        <bottom/>
        <vertical/>
        <horizontal/>
      </border>
    </dxf>
    <dxf>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ill>
        <patternFill>
          <bgColor rgb="FFFF0000"/>
        </patternFill>
      </fill>
    </dxf>
    <dxf>
      <font>
        <color rgb="FFB50938"/>
      </font>
      <fill>
        <patternFill>
          <bgColor rgb="FFB50938"/>
        </patternFill>
      </fill>
      <border>
        <left/>
        <right/>
        <top/>
        <bottom/>
      </border>
    </dxf>
    <dxf>
      <font>
        <color rgb="FFB50538"/>
      </font>
      <fill>
        <patternFill>
          <bgColor rgb="FFB50638"/>
        </patternFill>
      </fill>
      <border>
        <left/>
        <right/>
        <top/>
        <bottom/>
      </border>
    </dxf>
    <dxf>
      <font>
        <color rgb="FFB50938"/>
      </font>
      <fill>
        <patternFill>
          <bgColor rgb="FFB50938"/>
        </patternFill>
      </fill>
      <border>
        <left/>
        <right/>
        <top/>
        <bottom/>
      </border>
    </dxf>
    <dxf>
      <font>
        <color rgb="FFB50538"/>
      </font>
      <fill>
        <patternFill>
          <bgColor rgb="FFB50638"/>
        </patternFill>
      </fill>
      <border>
        <left/>
        <right/>
        <top/>
        <bottom/>
      </border>
    </dxf>
    <dxf>
      <font>
        <color rgb="FFB50938"/>
      </font>
      <fill>
        <patternFill>
          <bgColor rgb="FFB50938"/>
        </patternFill>
      </fill>
      <border>
        <left/>
        <right/>
        <top/>
        <bottom/>
      </border>
    </dxf>
    <dxf>
      <font>
        <color theme="0"/>
      </font>
      <fill>
        <patternFill patternType="none">
          <bgColor auto="1"/>
        </patternFill>
      </fill>
      <border>
        <left/>
        <right/>
        <top/>
        <bottom/>
      </border>
    </dxf>
    <dxf>
      <font>
        <color rgb="FFB50938"/>
      </font>
      <fill>
        <patternFill>
          <bgColor rgb="FFB50938"/>
        </patternFill>
      </fill>
      <border>
        <left/>
        <right/>
        <top/>
        <bottom/>
        <vertical/>
        <horizontal/>
      </border>
    </dxf>
    <dxf>
      <font>
        <color auto="1"/>
      </font>
      <fill>
        <patternFill>
          <bgColor rgb="FFFF0000"/>
        </patternFill>
      </fill>
    </dxf>
    <dxf>
      <font>
        <color rgb="FFB50938"/>
      </font>
      <fill>
        <patternFill>
          <bgColor rgb="FFB50938"/>
        </patternFill>
      </fill>
      <border>
        <left/>
        <right/>
        <top/>
        <bottom/>
        <vertical/>
        <horizontal/>
      </border>
    </dxf>
    <dxf>
      <font>
        <color auto="1"/>
      </font>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theme="0" tint="-4.9989318521683403E-2"/>
      </font>
    </dxf>
    <dxf>
      <font>
        <color theme="0" tint="-4.9989318521683403E-2"/>
      </font>
    </dxf>
    <dxf>
      <font>
        <color theme="0"/>
      </font>
      <fill>
        <patternFill patternType="solid">
          <bgColor theme="0"/>
        </patternFill>
      </fill>
      <border>
        <left/>
        <right/>
        <top/>
        <bottom/>
      </border>
    </dxf>
    <dxf>
      <font>
        <color theme="0"/>
      </font>
      <fill>
        <patternFill patternType="none">
          <bgColor auto="1"/>
        </patternFill>
      </fill>
      <border>
        <left/>
        <right/>
        <top/>
        <bottom/>
      </border>
    </dxf>
    <dxf>
      <font>
        <color rgb="FFB50938"/>
      </font>
      <fill>
        <patternFill>
          <bgColor rgb="FFB50938"/>
        </patternFill>
      </fill>
      <border>
        <left/>
        <right/>
        <top/>
        <bottom/>
        <vertical/>
        <horizontal/>
      </border>
    </dxf>
    <dxf>
      <font>
        <color rgb="FFB50938"/>
      </font>
      <fill>
        <patternFill>
          <bgColor rgb="FFB50938"/>
        </patternFill>
      </fill>
      <border>
        <left style="hair">
          <color auto="1"/>
        </left>
        <right/>
        <top/>
        <bottom/>
      </border>
    </dxf>
    <dxf>
      <font>
        <color auto="1"/>
      </font>
      <fill>
        <patternFill>
          <bgColor rgb="FFFF0000"/>
        </patternFill>
      </fill>
    </dxf>
    <dxf>
      <font>
        <color rgb="FFB50938"/>
      </font>
      <fill>
        <patternFill>
          <bgColor rgb="FFB50938"/>
        </patternFill>
      </fill>
      <border>
        <left style="hair">
          <color auto="1"/>
        </left>
        <right/>
        <top/>
        <bottom/>
        <vertical/>
        <horizontal/>
      </border>
    </dxf>
    <dxf>
      <font>
        <color rgb="FFB50538"/>
      </font>
      <fill>
        <patternFill>
          <bgColor rgb="FFB50538"/>
        </patternFill>
      </fill>
      <border>
        <left/>
        <right/>
        <top/>
        <bottom/>
      </border>
    </dxf>
    <dxf>
      <font>
        <color auto="1"/>
      </font>
      <fill>
        <patternFill>
          <bgColor rgb="FFFF0000"/>
        </patternFill>
      </fill>
    </dxf>
    <dxf>
      <font>
        <color theme="0"/>
      </font>
      <fill>
        <patternFill patternType="none">
          <bgColor auto="1"/>
        </patternFill>
      </fill>
      <border>
        <left/>
        <right/>
        <top/>
        <bottom/>
        <vertical/>
        <horizontal/>
      </border>
    </dxf>
    <dxf>
      <font>
        <color auto="1"/>
      </font>
      <fill>
        <patternFill>
          <bgColor rgb="FFFF0000"/>
        </patternFill>
      </fill>
    </dxf>
    <dxf>
      <font>
        <color rgb="FFB50938"/>
      </font>
      <fill>
        <patternFill>
          <bgColor rgb="FFB50938"/>
        </patternFill>
      </fill>
      <border>
        <left/>
        <right/>
        <top/>
        <bottom/>
      </border>
    </dxf>
    <dxf>
      <font>
        <color rgb="FFB50938"/>
      </font>
      <fill>
        <patternFill>
          <bgColor rgb="FFB50938"/>
        </patternFill>
      </fill>
      <border>
        <left/>
        <right/>
        <top/>
        <bottom/>
      </border>
    </dxf>
    <dxf>
      <font>
        <color theme="0" tint="-4.9989318521683403E-2"/>
      </font>
    </dxf>
    <dxf>
      <font>
        <color theme="0" tint="-4.9989318521683403E-2"/>
      </font>
    </dxf>
    <dxf>
      <font>
        <color rgb="FFB50938"/>
      </font>
      <fill>
        <patternFill>
          <bgColor rgb="FFB50938"/>
        </patternFill>
      </fill>
      <border>
        <left/>
        <right/>
        <top/>
        <bottom/>
        <vertical/>
        <horizontal/>
      </border>
    </dxf>
    <dxf>
      <font>
        <color rgb="FFB50938"/>
      </font>
      <fill>
        <patternFill>
          <bgColor rgb="FFB50938"/>
        </patternFill>
      </fill>
      <border>
        <left/>
        <right style="hair">
          <color auto="1"/>
        </right>
        <top/>
        <bottom/>
      </border>
    </dxf>
    <dxf>
      <font>
        <color rgb="FFB50938"/>
      </font>
      <fill>
        <patternFill>
          <bgColor rgb="FFB50938"/>
        </patternFill>
      </fill>
      <border>
        <left style="hair">
          <color auto="1"/>
        </left>
        <right/>
        <top/>
        <bottom/>
        <vertical/>
        <horizontal/>
      </border>
    </dxf>
    <dxf>
      <font>
        <color theme="0"/>
      </font>
      <fill>
        <patternFill patternType="none">
          <bgColor auto="1"/>
        </patternFill>
      </fill>
      <border>
        <left/>
        <right/>
        <top/>
        <bottom/>
        <vertical/>
        <horizontal/>
      </border>
    </dxf>
    <dxf>
      <font>
        <color theme="0"/>
      </font>
      <fill>
        <patternFill patternType="solid">
          <bgColor theme="0"/>
        </patternFill>
      </fill>
      <border>
        <left/>
        <right/>
        <top/>
        <bottom/>
      </border>
    </dxf>
    <dxf>
      <font>
        <color theme="0"/>
      </font>
      <fill>
        <patternFill patternType="none">
          <bgColor auto="1"/>
        </patternFill>
      </fill>
      <border>
        <left/>
        <right/>
        <top/>
        <bottom/>
      </border>
    </dxf>
    <dxf>
      <font>
        <color theme="0" tint="-0.34998626667073579"/>
      </font>
      <border>
        <left/>
        <right/>
        <top/>
        <bottom/>
        <vertical/>
        <horizontal/>
      </border>
    </dxf>
    <dxf>
      <font>
        <color theme="0" tint="-0.34998626667073579"/>
      </font>
    </dxf>
    <dxf>
      <font>
        <color theme="0" tint="-4.9989318521683403E-2"/>
      </font>
    </dxf>
    <dxf>
      <font>
        <color rgb="FFB50938"/>
      </font>
      <fill>
        <patternFill>
          <bgColor rgb="FFB50938"/>
        </patternFill>
      </fill>
      <border>
        <left style="hair">
          <color auto="1"/>
        </left>
        <right/>
        <top/>
        <bottom/>
      </border>
    </dxf>
    <dxf>
      <font>
        <color rgb="FFB50538"/>
      </font>
      <fill>
        <patternFill>
          <bgColor rgb="FFB50638"/>
        </patternFill>
      </fill>
      <border>
        <left/>
        <right/>
        <top/>
        <bottom/>
      </border>
    </dxf>
    <dxf>
      <font>
        <color rgb="FFB50938"/>
      </font>
      <fill>
        <patternFill>
          <bgColor rgb="FFB50938"/>
        </patternFill>
      </fill>
      <border>
        <left/>
        <right/>
        <top/>
        <bottom/>
      </border>
    </dxf>
    <dxf>
      <font>
        <color theme="0" tint="-0.34998626667073579"/>
      </font>
      <border>
        <left/>
        <right/>
        <top/>
        <bottom/>
      </border>
    </dxf>
    <dxf>
      <font>
        <color theme="0" tint="-0.34998626667073579"/>
      </font>
    </dxf>
    <dxf>
      <font>
        <color rgb="FFB50538"/>
      </font>
      <fill>
        <patternFill>
          <bgColor rgb="FFB50538"/>
        </patternFill>
      </fill>
      <border>
        <left/>
        <right/>
        <top/>
        <bottom/>
      </border>
    </dxf>
    <dxf>
      <font>
        <color rgb="FFB50538"/>
      </font>
    </dxf>
    <dxf>
      <border>
        <left style="thin">
          <color indexed="23"/>
        </left>
        <right style="thin">
          <color indexed="23"/>
        </right>
        <top style="thin">
          <color indexed="23"/>
        </top>
        <bottom style="thin">
          <color indexed="23"/>
        </bottom>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auto="1"/>
      </font>
      <fill>
        <patternFill>
          <bgColor rgb="FFFF0000"/>
        </patternFill>
      </fill>
    </dxf>
    <dxf>
      <font>
        <color auto="1"/>
      </font>
      <fill>
        <patternFill>
          <bgColor rgb="FFFF0000"/>
        </patternFill>
      </fill>
    </dxf>
    <dxf>
      <font>
        <color theme="0" tint="-0.34998626667073579"/>
      </font>
      <border>
        <left/>
        <right/>
        <top/>
        <bottom/>
      </border>
    </dxf>
    <dxf>
      <font>
        <color theme="0" tint="-0.34998626667073579"/>
      </font>
    </dxf>
    <dxf>
      <border>
        <left style="thin">
          <color indexed="23"/>
        </left>
        <right style="thin">
          <color indexed="23"/>
        </right>
        <top style="thin">
          <color indexed="23"/>
        </top>
        <bottom style="thin">
          <color indexed="23"/>
        </bottom>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rgb="FFB50938"/>
      </font>
      <fill>
        <patternFill>
          <bgColor rgb="FFB50938"/>
        </patternFill>
      </fill>
      <border>
        <left/>
        <right/>
        <top/>
        <bottom/>
        <vertical/>
        <horizontal/>
      </border>
    </dxf>
    <dxf>
      <font>
        <color auto="1"/>
      </font>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fgColor indexed="64"/>
          <bgColor auto="1"/>
        </patternFill>
      </fill>
      <border>
        <left/>
        <right/>
        <top/>
        <bottom/>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rgb="FFB50938"/>
      </font>
      <fill>
        <patternFill>
          <bgColor rgb="FFB50938"/>
        </patternFill>
      </fill>
      <border>
        <left/>
        <right/>
        <top/>
        <bottom/>
        <vertical/>
        <horizontal/>
      </border>
    </dxf>
    <dxf>
      <font>
        <color theme="0"/>
      </font>
      <fill>
        <patternFill patternType="none">
          <fgColor indexed="64"/>
          <bgColor auto="1"/>
        </patternFill>
      </fill>
      <border>
        <left/>
        <right/>
        <top/>
        <bottom/>
        <vertical/>
        <horizontal/>
      </border>
    </dxf>
    <dxf>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ill>
        <patternFill>
          <bgColor rgb="FFFF0000"/>
        </patternFill>
      </fill>
    </dxf>
    <dxf>
      <font>
        <color rgb="FFB50938"/>
      </font>
      <fill>
        <patternFill>
          <bgColor rgb="FFB50938"/>
        </patternFill>
      </fill>
      <border>
        <left/>
        <right/>
        <top/>
        <bottom/>
      </border>
    </dxf>
    <dxf>
      <font>
        <color rgb="FFB50538"/>
      </font>
      <fill>
        <patternFill>
          <bgColor rgb="FFB50638"/>
        </patternFill>
      </fill>
      <border>
        <left/>
        <right/>
        <top/>
        <bottom/>
      </border>
    </dxf>
    <dxf>
      <font>
        <color rgb="FFB50938"/>
      </font>
      <fill>
        <patternFill>
          <bgColor rgb="FFB50938"/>
        </patternFill>
      </fill>
      <border>
        <left/>
        <right/>
        <top/>
        <bottom/>
      </border>
    </dxf>
    <dxf>
      <font>
        <color rgb="FFB50538"/>
      </font>
      <fill>
        <patternFill>
          <bgColor rgb="FFB50638"/>
        </patternFill>
      </fill>
      <border>
        <left/>
        <right/>
        <top/>
        <bottom/>
      </border>
    </dxf>
    <dxf>
      <font>
        <color rgb="FFB50938"/>
      </font>
      <fill>
        <patternFill>
          <bgColor rgb="FFB50938"/>
        </patternFill>
      </fill>
      <border>
        <left/>
        <right/>
        <top/>
        <bottom/>
      </border>
    </dxf>
    <dxf>
      <font>
        <color theme="0"/>
      </font>
      <fill>
        <patternFill patternType="none">
          <bgColor auto="1"/>
        </patternFill>
      </fill>
      <border>
        <left/>
        <right/>
        <top/>
        <bottom/>
      </border>
    </dxf>
    <dxf>
      <font>
        <color rgb="FFB50938"/>
      </font>
      <fill>
        <patternFill>
          <bgColor rgb="FFB50938"/>
        </patternFill>
      </fill>
      <border>
        <left/>
        <right/>
        <top/>
        <bottom/>
        <vertical/>
        <horizontal/>
      </border>
    </dxf>
    <dxf>
      <font>
        <color auto="1"/>
      </font>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auto="1"/>
      </font>
      <fill>
        <patternFill>
          <bgColor rgb="FFFF0000"/>
        </patternFill>
      </fill>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vertical/>
        <horizontal/>
      </border>
    </dxf>
    <dxf>
      <font>
        <color rgb="FFB50938"/>
      </font>
      <fill>
        <patternFill>
          <bgColor rgb="FFB50938"/>
        </patternFill>
      </fill>
      <border>
        <left/>
        <right/>
        <top/>
        <bottom/>
      </border>
    </dxf>
    <dxf>
      <font>
        <color theme="0" tint="-4.9989318521683403E-2"/>
      </font>
    </dxf>
    <dxf>
      <font>
        <color theme="0" tint="-4.9989318521683403E-2"/>
      </font>
    </dxf>
    <dxf>
      <font>
        <color theme="0"/>
      </font>
      <fill>
        <patternFill patternType="solid">
          <bgColor theme="0"/>
        </patternFill>
      </fill>
      <border>
        <left/>
        <right/>
        <top/>
        <bottom/>
      </border>
    </dxf>
    <dxf>
      <font>
        <color theme="0"/>
      </font>
      <fill>
        <patternFill patternType="none">
          <bgColor auto="1"/>
        </patternFill>
      </fill>
      <border>
        <left/>
        <right/>
        <top/>
        <bottom/>
      </border>
    </dxf>
    <dxf>
      <font>
        <color rgb="FFB50938"/>
      </font>
      <fill>
        <patternFill>
          <bgColor rgb="FFB50938"/>
        </patternFill>
      </fill>
      <border>
        <left/>
        <right/>
        <top/>
        <bottom/>
        <vertical/>
        <horizontal/>
      </border>
    </dxf>
    <dxf>
      <font>
        <color rgb="FFB50938"/>
      </font>
      <fill>
        <patternFill>
          <bgColor rgb="FFB50938"/>
        </patternFill>
      </fill>
      <border>
        <left style="hair">
          <color auto="1"/>
        </left>
        <right/>
        <top/>
        <bottom/>
      </border>
    </dxf>
    <dxf>
      <font>
        <color auto="1"/>
      </font>
      <fill>
        <patternFill>
          <bgColor rgb="FFFF0000"/>
        </patternFill>
      </fill>
    </dxf>
    <dxf>
      <font>
        <color auto="1"/>
      </font>
      <fill>
        <patternFill>
          <bgColor rgb="FFFF0000"/>
        </patternFill>
      </fill>
    </dxf>
    <dxf>
      <font>
        <color auto="1"/>
      </font>
      <fill>
        <patternFill>
          <bgColor rgb="FFFF0000"/>
        </patternFill>
      </fill>
    </dxf>
    <dxf>
      <font>
        <color rgb="FFB50938"/>
      </font>
      <fill>
        <patternFill>
          <bgColor rgb="FFB50938"/>
        </patternFill>
      </fill>
      <border>
        <left style="hair">
          <color auto="1"/>
        </left>
        <right/>
        <top/>
        <bottom/>
        <vertical/>
        <horizontal/>
      </border>
    </dxf>
    <dxf>
      <font>
        <color rgb="FFB50538"/>
      </font>
      <fill>
        <patternFill>
          <bgColor rgb="FFB50538"/>
        </patternFill>
      </fill>
      <border>
        <left/>
        <right/>
        <top/>
        <bottom/>
      </border>
    </dxf>
    <dxf>
      <font>
        <color auto="1"/>
      </font>
      <fill>
        <patternFill>
          <bgColor rgb="FFFF0000"/>
        </patternFill>
      </fill>
    </dxf>
    <dxf>
      <font>
        <color theme="0"/>
      </font>
      <fill>
        <patternFill patternType="none">
          <bgColor auto="1"/>
        </patternFill>
      </fill>
      <border>
        <left/>
        <right/>
        <top/>
        <bottom/>
        <vertical/>
        <horizontal/>
      </border>
    </dxf>
    <dxf>
      <font>
        <color auto="1"/>
      </font>
      <fill>
        <patternFill>
          <bgColor rgb="FFFF0000"/>
        </patternFill>
      </fill>
    </dxf>
    <dxf>
      <font>
        <color rgb="FFB50938"/>
      </font>
      <fill>
        <patternFill>
          <bgColor rgb="FFB50938"/>
        </patternFill>
      </fill>
      <border>
        <left/>
        <right/>
        <top/>
        <bottom/>
      </border>
    </dxf>
    <dxf>
      <font>
        <color rgb="FFB50938"/>
      </font>
      <fill>
        <patternFill>
          <bgColor rgb="FFB50938"/>
        </patternFill>
      </fill>
      <border>
        <left/>
        <right/>
        <top/>
        <bottom/>
      </border>
    </dxf>
    <dxf>
      <font>
        <color theme="0" tint="-4.9989318521683403E-2"/>
      </font>
    </dxf>
    <dxf>
      <font>
        <color theme="0" tint="-4.9989318521683403E-2"/>
      </font>
    </dxf>
    <dxf>
      <font>
        <color rgb="FFB50938"/>
      </font>
      <fill>
        <patternFill>
          <bgColor rgb="FFB50938"/>
        </patternFill>
      </fill>
      <border>
        <left/>
        <right/>
        <top/>
        <bottom/>
        <vertical/>
        <horizontal/>
      </border>
    </dxf>
    <dxf>
      <font>
        <color rgb="FFB50938"/>
      </font>
      <fill>
        <patternFill>
          <bgColor rgb="FFB50938"/>
        </patternFill>
      </fill>
      <border>
        <left/>
        <right style="hair">
          <color auto="1"/>
        </right>
        <top/>
        <bottom/>
      </border>
    </dxf>
    <dxf>
      <font>
        <color rgb="FFB50938"/>
      </font>
      <fill>
        <patternFill>
          <bgColor rgb="FFB50938"/>
        </patternFill>
      </fill>
      <border>
        <left style="hair">
          <color auto="1"/>
        </left>
        <right/>
        <top/>
        <bottom/>
        <vertical/>
        <horizontal/>
      </border>
    </dxf>
    <dxf>
      <font>
        <color theme="0"/>
      </font>
      <fill>
        <patternFill patternType="none">
          <bgColor auto="1"/>
        </patternFill>
      </fill>
      <border>
        <left/>
        <right/>
        <top/>
        <bottom/>
        <vertical/>
        <horizontal/>
      </border>
    </dxf>
    <dxf>
      <font>
        <color theme="0"/>
      </font>
      <fill>
        <patternFill patternType="solid">
          <bgColor theme="0"/>
        </patternFill>
      </fill>
      <border>
        <left/>
        <right/>
        <top/>
        <bottom/>
      </border>
    </dxf>
    <dxf>
      <font>
        <color theme="0"/>
      </font>
      <fill>
        <patternFill patternType="none">
          <bgColor auto="1"/>
        </patternFill>
      </fill>
      <border>
        <left/>
        <right/>
        <top/>
        <bottom/>
      </border>
    </dxf>
    <dxf>
      <font>
        <color theme="0" tint="-0.34998626667073579"/>
      </font>
      <border>
        <left/>
        <right/>
        <top/>
        <bottom/>
        <vertical/>
        <horizontal/>
      </border>
    </dxf>
    <dxf>
      <font>
        <color theme="0" tint="-0.34998626667073579"/>
      </font>
    </dxf>
    <dxf>
      <font>
        <color theme="0" tint="-4.9989318521683403E-2"/>
      </font>
    </dxf>
    <dxf>
      <font>
        <color rgb="FFB50938"/>
      </font>
      <fill>
        <patternFill>
          <bgColor rgb="FFB50938"/>
        </patternFill>
      </fill>
      <border>
        <left style="hair">
          <color auto="1"/>
        </left>
        <right/>
        <top/>
        <bottom/>
      </border>
    </dxf>
    <dxf>
      <font>
        <color rgb="FFB50538"/>
      </font>
      <fill>
        <patternFill>
          <bgColor rgb="FFB50638"/>
        </patternFill>
      </fill>
      <border>
        <left/>
        <right/>
        <top/>
        <bottom/>
      </border>
    </dxf>
    <dxf>
      <font>
        <color rgb="FFB50938"/>
      </font>
      <fill>
        <patternFill>
          <bgColor rgb="FFB50938"/>
        </patternFill>
      </fill>
      <border>
        <left/>
        <right/>
        <top/>
        <bottom/>
      </border>
    </dxf>
    <dxf>
      <font>
        <color theme="0" tint="-0.34998626667073579"/>
      </font>
      <border>
        <left/>
        <right/>
        <top/>
        <bottom/>
        <vertical/>
        <horizontal/>
      </border>
    </dxf>
    <dxf>
      <font>
        <color theme="0" tint="-0.34998626667073579"/>
      </font>
      <border>
        <left/>
        <right/>
        <top/>
        <bottom/>
      </border>
    </dxf>
    <dxf>
      <font>
        <color theme="0" tint="-0.34998626667073579"/>
      </font>
    </dxf>
    <dxf>
      <font>
        <color theme="0" tint="-0.34998626667073579"/>
      </font>
    </dxf>
    <dxf>
      <font>
        <color rgb="FFB50538"/>
      </font>
      <fill>
        <patternFill>
          <bgColor rgb="FFB50538"/>
        </patternFill>
      </fill>
      <border>
        <left/>
        <right/>
        <top/>
        <bottom/>
      </border>
    </dxf>
    <dxf>
      <font>
        <color rgb="FFB50538"/>
      </font>
    </dxf>
    <dxf>
      <border>
        <left style="thin">
          <color indexed="23"/>
        </left>
        <right style="thin">
          <color indexed="23"/>
        </right>
        <top style="thin">
          <color indexed="23"/>
        </top>
        <bottom style="thin">
          <color indexed="23"/>
        </bottom>
      </border>
    </dxf>
    <dxf>
      <border>
        <left style="thin">
          <color indexed="23"/>
        </left>
        <right style="thin">
          <color indexed="23"/>
        </right>
        <top style="thin">
          <color indexed="23"/>
        </top>
        <bottom style="thin">
          <color indexed="23"/>
        </bottom>
      </border>
    </dxf>
    <dxf>
      <fill>
        <patternFill>
          <bgColor rgb="FFC00000"/>
        </patternFill>
      </fill>
    </dxf>
    <dxf>
      <fill>
        <patternFill>
          <bgColor rgb="FFFF0000"/>
        </patternFill>
      </fill>
    </dxf>
    <dxf>
      <fill>
        <patternFill>
          <bgColor rgb="FFFF0000"/>
        </patternFill>
      </fill>
    </dxf>
    <dxf>
      <font>
        <color theme="2"/>
      </font>
      <fill>
        <patternFill>
          <bgColor theme="2" tint="-9.9948118533890809E-2"/>
        </patternFill>
      </fill>
      <border>
        <right style="thin">
          <color theme="2"/>
        </right>
        <top style="thin">
          <color theme="2"/>
        </top>
        <bottom style="thin">
          <color theme="2"/>
        </bottom>
        <vertical/>
        <horizontal/>
      </border>
    </dxf>
    <dxf>
      <font>
        <color theme="2"/>
      </font>
      <fill>
        <patternFill>
          <bgColor theme="2" tint="-9.9948118533890809E-2"/>
        </patternFill>
      </fill>
      <border>
        <right style="thin">
          <color theme="2"/>
        </right>
        <top style="thin">
          <color theme="2"/>
        </top>
        <bottom style="thin">
          <color theme="2"/>
        </bottom>
        <vertical/>
        <horizontal/>
      </border>
    </dxf>
    <dxf>
      <numFmt numFmtId="168" formatCode=";;;"/>
      <fill>
        <patternFill>
          <bgColor theme="2"/>
        </patternFill>
      </fill>
      <border>
        <left/>
        <right/>
        <vertical/>
        <horizontal/>
      </border>
    </dxf>
    <dxf>
      <numFmt numFmtId="168" formatCode=";;;"/>
      <fill>
        <patternFill>
          <bgColor theme="2"/>
        </patternFill>
      </fill>
      <border>
        <left/>
        <right/>
        <vertical/>
        <horizontal/>
      </border>
    </dxf>
    <dxf>
      <fill>
        <patternFill>
          <bgColor theme="2"/>
        </patternFill>
      </fill>
      <border>
        <left/>
        <right/>
        <top/>
        <bottom/>
        <vertical/>
        <horizontal/>
      </border>
    </dxf>
    <dxf>
      <numFmt numFmtId="168" formatCode=";;;"/>
      <fill>
        <patternFill>
          <bgColor theme="2"/>
        </patternFill>
      </fill>
      <border>
        <left/>
        <right/>
        <vertical/>
        <horizontal/>
      </border>
    </dxf>
    <dxf>
      <numFmt numFmtId="168" formatCode=";;;"/>
      <fill>
        <patternFill>
          <bgColor theme="2"/>
        </patternFill>
      </fill>
      <border>
        <left/>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0</xdr:colOff>
      <xdr:row>0</xdr:row>
      <xdr:rowOff>324001</xdr:rowOff>
    </xdr:to>
    <xdr:pic>
      <xdr:nvPicPr>
        <xdr:cNvPr id="2" name="Picture 1">
          <a:extLst>
            <a:ext uri="{FF2B5EF4-FFF2-40B4-BE49-F238E27FC236}">
              <a16:creationId xmlns=""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
          <a:ext cx="1181099" cy="32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0</xdr:colOff>
      <xdr:row>1</xdr:row>
      <xdr:rowOff>9676</xdr:rowOff>
    </xdr:to>
    <xdr:pic>
      <xdr:nvPicPr>
        <xdr:cNvPr id="2" name="Picture 1">
          <a:extLst>
            <a:ext uri="{FF2B5EF4-FFF2-40B4-BE49-F238E27FC236}">
              <a16:creationId xmlns=""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
          <a:ext cx="1181099" cy="324000"/>
        </a:xfrm>
        <a:prstGeom prst="rect">
          <a:avLst/>
        </a:prstGeom>
      </xdr:spPr>
    </xdr:pic>
    <xdr:clientData/>
  </xdr:twoCellAnchor>
  <xdr:twoCellAnchor editAs="oneCell">
    <xdr:from>
      <xdr:col>1</xdr:col>
      <xdr:colOff>0</xdr:colOff>
      <xdr:row>0</xdr:row>
      <xdr:rowOff>1</xdr:rowOff>
    </xdr:from>
    <xdr:to>
      <xdr:col>2</xdr:col>
      <xdr:colOff>400049</xdr:colOff>
      <xdr:row>1</xdr:row>
      <xdr:rowOff>151</xdr:rowOff>
    </xdr:to>
    <xdr:pic>
      <xdr:nvPicPr>
        <xdr:cNvPr id="3" name="Picture 2">
          <a:extLst>
            <a:ext uri="{FF2B5EF4-FFF2-40B4-BE49-F238E27FC236}">
              <a16:creationId xmlns="" xmlns:a16="http://schemas.microsoft.com/office/drawing/2014/main" id="{00000000-0008-0000-04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300" y="1"/>
          <a:ext cx="1181099" cy="324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iorgi.kruashvili\Desktop\&#4307;&#4304;&#4321;&#4320;&#4323;&#4314;&#4308;&#4305;&#4323;&#4314;&#4312;%20&#4324;&#4317;&#4320;&#4315;&#4308;&#4305;&#4312;\15.11.2017\&#4305;&#4312;&#4310;&#4316;&#4308;&#4321;%20&#4304;&#4316;&#4304;&#4314;&#4312;&#4310;&#4312;&#4321;%20&#4324;&#4317;&#4320;&#4315;&#4304;%2006.11.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4307;&#4304;&#4321;&#4320;&#4323;&#4314;&#4308;&#4305;&#4323;&#4314;&#4312;%20&#4324;&#4317;&#4320;&#4315;&#4308;&#4305;&#4312;\27.11.2017\&#4304;&#4306;&#4320;&#4317;%20&#4321;&#4308;&#4321;&#4334;&#4312;%2012.02.20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2018%20&#4307;&#4304;&#4321;&#4320;&#4323;&#4314;&#4308;&#4305;&#4323;&#4314;&#4312;%20&#4324;&#4317;&#4320;&#4315;&#4308;&#4305;&#4312;\2018.09.24\&#4321;&#4304;&#4315;&#4317;&#4315;&#4334;&#4315;&#4304;&#4320;&#4308;&#4305;&#4314;&#4317;%20&#4321;&#4308;&#4321;&#4334;&#4312;&#4321;%20&#4304;&#4316;&#4304;&#4314;&#4312;&#4310;&#4312;%20&#4324;&#4317;&#4320;&#4315;&#4304;%2029.08.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განაცხადი"/>
      <sheetName val="ანალიზის ფორმა"/>
      <sheetName val="PEP"/>
      <sheetName val="UFE-ს მონაცემები"/>
      <sheetName val="ოქმი"/>
      <sheetName val="პოტენციალის კალკულატორი"/>
      <sheetName val="გრაფიკი"/>
      <sheetName val="Cash-flow"/>
      <sheetName val="დამატებითი საქმიანობა"/>
      <sheetName val="Sheet1"/>
      <sheetName val="დამატებითი ინფორმაცია"/>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2">
          <cell r="B2">
            <v>-1</v>
          </cell>
          <cell r="X2" t="str">
            <v>თანხმობა</v>
          </cell>
        </row>
        <row r="3">
          <cell r="X3" t="str">
            <v>თანხმობა ცვლილებით</v>
          </cell>
        </row>
        <row r="4">
          <cell r="X4" t="str">
            <v>უარყოფა</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განაცხადი"/>
      <sheetName val="რეზიუმე"/>
      <sheetName val="ბალანსი"/>
      <sheetName val="შემაჯამებელი"/>
      <sheetName val="დამატებითი საქმიანობა"/>
      <sheetName val="სამუშაო ფორმა"/>
      <sheetName val="ავტომატური სესხი"/>
      <sheetName val="Sheet1"/>
      <sheetName val="ოქმი"/>
      <sheetName val="გრაფიკი"/>
      <sheetName val="პოტენციალის კალკულატორი"/>
      <sheetName val="PEP"/>
      <sheetName val="UFE-ს მონაცემები"/>
      <sheetName val="აგრო ბარათი"/>
      <sheetName val="ძროხა (არასეზონური)"/>
      <sheetName val="ძროხა (სეზონური)"/>
      <sheetName val="მოზვრების სუქება"/>
      <sheetName val="ცხვარი"/>
      <sheetName val="დედაღორი"/>
      <sheetName val="ღორების სუქება"/>
      <sheetName val="ბროილერი"/>
      <sheetName val="კვერცხმდები"/>
      <sheetName val="ფუტკარი"/>
      <sheetName val="ტბორი"/>
      <sheetName val="კალმახი"/>
      <sheetName val="მემცენარეობა"/>
      <sheetName val="საზამთრო"/>
      <sheetName val="სათბური"/>
      <sheetName val="ვაზი"/>
      <sheetName val="მრავალწლიანი ნარგავი"/>
      <sheetName val="გრაფიკის ფორმა (2)"/>
      <sheetName val="Categorization final"/>
      <sheetName val="დამატებითი ინფორმაცია"/>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მიკრო სესხი</v>
          </cell>
          <cell r="F2" t="str">
            <v>სტანდარტული</v>
          </cell>
          <cell r="G2" t="str">
            <v>ახალი სესხი</v>
          </cell>
        </row>
        <row r="3">
          <cell r="A3" t="str">
            <v>მიკრო აგრო სესხი</v>
          </cell>
          <cell r="F3" t="str">
            <v>საშეღავათო პროცენტის გადახდით</v>
          </cell>
          <cell r="G3" t="str">
            <v>განახლებული სესხი (რეფინანსირება)</v>
          </cell>
        </row>
        <row r="4">
          <cell r="A4" t="str">
            <v>მიკრო აგრო "0" სესხი</v>
          </cell>
          <cell r="F4" t="str">
            <v>ნულოვანი საშეღავათო</v>
          </cell>
          <cell r="G4" t="str">
            <v>პარარელური სესხი</v>
          </cell>
        </row>
        <row r="5">
          <cell r="A5" t="str">
            <v>მიკრო სესხი ასიმეტრიული გრაფიკით</v>
          </cell>
          <cell r="F5" t="str">
            <v>ასიმეტრიული</v>
          </cell>
        </row>
        <row r="6">
          <cell r="A6" t="str">
            <v>მცურავგანაკვეთიანი სესხი</v>
          </cell>
          <cell r="F6" t="str">
            <v>ასიმეტრიული პროცენტის გადახდით</v>
          </cell>
        </row>
        <row r="7">
          <cell r="A7" t="str">
            <v>მცურავგანაკვეთიანი სესხი ასიმეტრიული გრაფიკით</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განაცხადი"/>
      <sheetName val="ანალიზის ფორმა"/>
      <sheetName val="კომიტეტის ოქმი"/>
      <sheetName val="UFE-ს ატრიბუტები"/>
      <sheetName val="სესხის კალკულატორი"/>
      <sheetName val="სამუშაო &quot;sheet&quot;"/>
      <sheetName val="კალკულატორი მოთხოვნილი"/>
      <sheetName val="კალკულატორი შეთავაზებული"/>
      <sheetName val="კალკულატორი დამტკიცებული"/>
      <sheetName val="დამატებითი ინფორმაცია"/>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Z178"/>
  <sheetViews>
    <sheetView showGridLines="0" tabSelected="1" view="pageBreakPreview" zoomScale="90" zoomScaleNormal="90" zoomScaleSheetLayoutView="90" workbookViewId="0">
      <selection activeCell="I123" sqref="I123:J123"/>
    </sheetView>
  </sheetViews>
  <sheetFormatPr defaultColWidth="35" defaultRowHeight="21" customHeight="1"/>
  <cols>
    <col min="1" max="1" width="40" style="343" customWidth="1"/>
    <col min="2" max="2" width="12.5703125" style="243" customWidth="1"/>
    <col min="3" max="3" width="14" style="243" customWidth="1"/>
    <col min="4" max="4" width="23.42578125" style="243" customWidth="1"/>
    <col min="5" max="5" width="10.85546875" style="243" customWidth="1"/>
    <col min="6" max="6" width="12.5703125" style="243" customWidth="1"/>
    <col min="7" max="7" width="11.42578125" style="243" customWidth="1"/>
    <col min="8" max="8" width="17.7109375" style="243" customWidth="1"/>
    <col min="9" max="9" width="18.28515625" style="243" customWidth="1"/>
    <col min="10" max="10" width="28.140625" style="243" customWidth="1"/>
    <col min="11" max="11" width="11.42578125" style="243" hidden="1" customWidth="1"/>
    <col min="12" max="12" width="18" style="243" hidden="1" customWidth="1"/>
    <col min="13" max="13" width="19.42578125" style="243" hidden="1" customWidth="1"/>
    <col min="14" max="14" width="9.42578125" style="243" hidden="1" customWidth="1"/>
    <col min="15" max="15" width="28.7109375" style="243" hidden="1" customWidth="1"/>
    <col min="16" max="16" width="18.5703125" style="243" hidden="1" customWidth="1"/>
    <col min="17" max="20" width="20.42578125" style="243" hidden="1" customWidth="1"/>
    <col min="21" max="21" width="26" style="243" hidden="1" customWidth="1"/>
    <col min="22" max="23" width="20.42578125" style="243" hidden="1" customWidth="1"/>
    <col min="24" max="41" width="20.42578125" style="241" hidden="1" customWidth="1"/>
    <col min="42" max="52" width="35" style="241" hidden="1" customWidth="1"/>
    <col min="53" max="16384" width="35" style="241"/>
  </cols>
  <sheetData>
    <row r="1" spans="1:23" ht="21" customHeight="1" thickBot="1">
      <c r="A1" s="240" t="s">
        <v>632</v>
      </c>
      <c r="B1" s="544" t="s">
        <v>381</v>
      </c>
      <c r="C1" s="545"/>
      <c r="D1" s="545"/>
      <c r="E1" s="545"/>
      <c r="F1" s="545"/>
      <c r="G1" s="545"/>
      <c r="H1" s="545"/>
      <c r="I1" s="545"/>
      <c r="J1" s="545"/>
      <c r="K1" s="241"/>
      <c r="L1" s="241"/>
      <c r="M1" s="241"/>
      <c r="N1" s="241"/>
      <c r="O1" s="241"/>
      <c r="P1" s="241"/>
      <c r="Q1" s="241"/>
      <c r="R1" s="241"/>
      <c r="S1" s="241"/>
      <c r="T1" s="241"/>
      <c r="U1" s="241"/>
      <c r="V1" s="241"/>
      <c r="W1" s="241"/>
    </row>
    <row r="2" spans="1:23" ht="21" customHeight="1" thickTop="1" thickBot="1">
      <c r="A2" s="242" t="s">
        <v>514</v>
      </c>
      <c r="B2" s="550">
        <v>43535</v>
      </c>
      <c r="C2" s="551"/>
      <c r="D2" s="551"/>
      <c r="E2" s="605" t="s">
        <v>544</v>
      </c>
      <c r="F2" s="606"/>
      <c r="G2" s="607"/>
      <c r="H2" s="603" t="s">
        <v>487</v>
      </c>
      <c r="I2" s="604"/>
      <c r="J2" s="193">
        <v>2.6</v>
      </c>
      <c r="K2" s="241"/>
      <c r="L2" s="241"/>
      <c r="M2" s="241"/>
      <c r="N2" s="241"/>
      <c r="O2" s="241"/>
      <c r="P2" s="241"/>
      <c r="Q2" s="241"/>
      <c r="R2" s="241"/>
      <c r="S2" s="241"/>
      <c r="T2" s="241"/>
      <c r="U2" s="241"/>
      <c r="V2" s="241"/>
      <c r="W2" s="241"/>
    </row>
    <row r="3" spans="1:23" ht="21" customHeight="1" thickTop="1" thickBot="1">
      <c r="A3" s="242" t="s">
        <v>470</v>
      </c>
      <c r="B3" s="550" t="s">
        <v>639</v>
      </c>
      <c r="C3" s="551"/>
      <c r="D3" s="551"/>
      <c r="E3" s="608"/>
      <c r="F3" s="609"/>
      <c r="G3" s="610"/>
      <c r="H3" s="603" t="s">
        <v>488</v>
      </c>
      <c r="I3" s="604"/>
      <c r="J3" s="193">
        <v>3</v>
      </c>
      <c r="K3" s="241"/>
      <c r="L3" s="241"/>
      <c r="M3" s="241"/>
      <c r="N3" s="241"/>
      <c r="O3" s="241"/>
      <c r="P3" s="241"/>
      <c r="Q3" s="241"/>
      <c r="R3" s="241"/>
      <c r="S3" s="241"/>
      <c r="T3" s="241"/>
      <c r="U3" s="241"/>
      <c r="V3" s="241"/>
      <c r="W3" s="241"/>
    </row>
    <row r="4" spans="1:23" ht="21" customHeight="1" thickTop="1" thickBot="1">
      <c r="A4" s="242" t="s">
        <v>82</v>
      </c>
      <c r="B4" s="519" t="s">
        <v>124</v>
      </c>
      <c r="C4" s="520"/>
      <c r="D4" s="520"/>
      <c r="E4" s="520"/>
      <c r="F4" s="520"/>
      <c r="G4" s="520"/>
      <c r="H4" s="520"/>
      <c r="I4" s="520"/>
      <c r="J4" s="521"/>
      <c r="K4" s="241"/>
      <c r="L4" s="241"/>
      <c r="M4" s="241"/>
      <c r="N4" s="241"/>
      <c r="O4" s="241"/>
      <c r="P4" s="241"/>
      <c r="Q4" s="241"/>
      <c r="R4" s="241"/>
      <c r="S4" s="241"/>
      <c r="T4" s="241"/>
      <c r="U4" s="241"/>
      <c r="V4" s="241"/>
      <c r="W4" s="241"/>
    </row>
    <row r="5" spans="1:23" ht="21" customHeight="1" thickTop="1" thickBot="1">
      <c r="A5" s="242" t="s">
        <v>380</v>
      </c>
      <c r="B5" s="531" t="s">
        <v>640</v>
      </c>
      <c r="C5" s="532"/>
      <c r="D5" s="532"/>
      <c r="E5" s="532"/>
      <c r="F5" s="532"/>
      <c r="G5" s="546" t="s">
        <v>641</v>
      </c>
      <c r="H5" s="547"/>
      <c r="I5" s="547"/>
      <c r="J5" s="548"/>
      <c r="K5" s="241"/>
      <c r="L5" s="241"/>
      <c r="M5" s="241"/>
      <c r="N5" s="241"/>
      <c r="O5" s="241"/>
      <c r="P5" s="241"/>
      <c r="Q5" s="241"/>
      <c r="R5" s="241"/>
      <c r="S5" s="241"/>
      <c r="T5" s="241"/>
      <c r="U5" s="241"/>
      <c r="V5" s="241"/>
      <c r="W5" s="241"/>
    </row>
    <row r="6" spans="1:23" ht="21" customHeight="1" thickTop="1" thickBot="1">
      <c r="A6" s="242" t="s">
        <v>349</v>
      </c>
      <c r="B6" s="519" t="s">
        <v>647</v>
      </c>
      <c r="C6" s="520"/>
      <c r="D6" s="521"/>
      <c r="E6" s="520"/>
      <c r="F6" s="520"/>
      <c r="G6" s="520"/>
      <c r="H6" s="520"/>
      <c r="I6" s="520"/>
      <c r="J6" s="521"/>
      <c r="K6" s="241"/>
      <c r="L6" s="241"/>
      <c r="M6" s="241"/>
      <c r="N6" s="241"/>
      <c r="O6" s="241"/>
      <c r="P6" s="241"/>
      <c r="Q6" s="241"/>
      <c r="R6" s="241"/>
      <c r="S6" s="241"/>
      <c r="T6" s="241"/>
      <c r="U6" s="241"/>
      <c r="V6" s="241"/>
      <c r="W6" s="241"/>
    </row>
    <row r="7" spans="1:23" ht="21" customHeight="1" thickTop="1" thickBot="1">
      <c r="A7" s="534" t="s">
        <v>83</v>
      </c>
      <c r="B7" s="535"/>
      <c r="C7" s="535"/>
      <c r="D7" s="535"/>
      <c r="E7" s="535"/>
      <c r="F7" s="535"/>
      <c r="G7" s="535"/>
      <c r="H7" s="535"/>
      <c r="I7" s="535"/>
      <c r="J7" s="535"/>
      <c r="K7" s="241"/>
      <c r="L7" s="452" t="s">
        <v>580</v>
      </c>
      <c r="M7" s="453"/>
      <c r="P7" s="241"/>
      <c r="Q7" s="241"/>
      <c r="R7" s="241"/>
      <c r="S7" s="241"/>
      <c r="T7" s="241"/>
      <c r="U7" s="241"/>
      <c r="V7" s="241"/>
      <c r="W7" s="241"/>
    </row>
    <row r="8" spans="1:23" ht="21" customHeight="1" thickTop="1" thickBot="1">
      <c r="A8" s="242" t="s">
        <v>382</v>
      </c>
      <c r="B8" s="531" t="s">
        <v>650</v>
      </c>
      <c r="C8" s="532"/>
      <c r="D8" s="532"/>
      <c r="E8" s="532"/>
      <c r="F8" s="532"/>
      <c r="G8" s="546" t="s">
        <v>651</v>
      </c>
      <c r="H8" s="547"/>
      <c r="I8" s="547"/>
      <c r="J8" s="548"/>
      <c r="K8" s="241"/>
      <c r="L8" s="244" t="s">
        <v>143</v>
      </c>
      <c r="M8" s="245">
        <f>IF(AND(B12="სოფელი",F12&lt;3,F12&gt;0),250,IF(AND(B12="სოფელი",F12&gt;2),((F12)-2)*50+250,0))</f>
        <v>0</v>
      </c>
      <c r="P8" s="241"/>
      <c r="Q8" s="241"/>
      <c r="R8" s="241"/>
      <c r="S8" s="241"/>
      <c r="T8" s="241"/>
      <c r="U8" s="241"/>
      <c r="V8" s="241"/>
      <c r="W8" s="241"/>
    </row>
    <row r="9" spans="1:23" ht="21" customHeight="1" thickTop="1" thickBot="1">
      <c r="A9" s="242" t="s">
        <v>309</v>
      </c>
      <c r="B9" s="546" t="s">
        <v>652</v>
      </c>
      <c r="C9" s="547"/>
      <c r="D9" s="547"/>
      <c r="E9" s="547"/>
      <c r="F9" s="547"/>
      <c r="G9" s="623" t="s">
        <v>600</v>
      </c>
      <c r="H9" s="624"/>
      <c r="I9" s="625"/>
      <c r="J9" s="236" t="s">
        <v>94</v>
      </c>
      <c r="K9" s="241"/>
      <c r="L9" s="244" t="s">
        <v>142</v>
      </c>
      <c r="M9" s="245">
        <f>IF(AND(B12="ქალაქი",F12&lt;3,F12&gt;0),300,IF(AND(B12="ქალაქი",F12&gt;2),((F12)-2)*100+300,0))</f>
        <v>500</v>
      </c>
      <c r="P9" s="241"/>
      <c r="Q9" s="241"/>
      <c r="R9" s="241"/>
      <c r="S9" s="241"/>
      <c r="T9" s="241"/>
      <c r="U9" s="241"/>
      <c r="V9" s="241"/>
      <c r="W9" s="241"/>
    </row>
    <row r="10" spans="1:23" ht="21" customHeight="1" thickTop="1" thickBot="1">
      <c r="A10" s="242" t="s">
        <v>383</v>
      </c>
      <c r="B10" s="549" t="s">
        <v>653</v>
      </c>
      <c r="C10" s="547"/>
      <c r="D10" s="547"/>
      <c r="E10" s="547"/>
      <c r="F10" s="547"/>
      <c r="G10" s="547"/>
      <c r="H10" s="547"/>
      <c r="I10" s="547"/>
      <c r="J10" s="548"/>
      <c r="K10" s="241"/>
      <c r="L10" s="246" t="s">
        <v>155</v>
      </c>
      <c r="M10" s="245">
        <f>I12</f>
        <v>400</v>
      </c>
      <c r="P10" s="241"/>
      <c r="Q10" s="241"/>
      <c r="R10" s="241"/>
      <c r="S10" s="241"/>
      <c r="T10" s="241"/>
      <c r="U10" s="241"/>
      <c r="V10" s="241"/>
      <c r="W10" s="241"/>
    </row>
    <row r="11" spans="1:23" ht="21" customHeight="1" thickTop="1" thickBot="1">
      <c r="A11" s="242" t="s">
        <v>356</v>
      </c>
      <c r="B11" s="552" t="s">
        <v>642</v>
      </c>
      <c r="C11" s="553"/>
      <c r="D11" s="553"/>
      <c r="E11" s="553"/>
      <c r="F11" s="553"/>
      <c r="G11" s="553"/>
      <c r="H11" s="553"/>
      <c r="I11" s="553"/>
      <c r="J11" s="554"/>
      <c r="K11" s="241"/>
      <c r="P11" s="241"/>
      <c r="Q11" s="241"/>
      <c r="R11" s="241"/>
      <c r="S11" s="241"/>
      <c r="T11" s="241"/>
      <c r="U11" s="241"/>
      <c r="V11" s="241"/>
      <c r="W11" s="241"/>
    </row>
    <row r="12" spans="1:23" ht="30" customHeight="1" thickTop="1" thickBot="1">
      <c r="A12" s="247" t="s">
        <v>384</v>
      </c>
      <c r="B12" s="519" t="s">
        <v>142</v>
      </c>
      <c r="C12" s="520"/>
      <c r="D12" s="520"/>
      <c r="E12" s="521"/>
      <c r="F12" s="520">
        <v>4</v>
      </c>
      <c r="G12" s="520"/>
      <c r="H12" s="520"/>
      <c r="I12" s="519">
        <v>400</v>
      </c>
      <c r="J12" s="521"/>
      <c r="P12" s="241"/>
      <c r="S12" s="241"/>
      <c r="T12" s="241"/>
      <c r="U12" s="241"/>
      <c r="V12" s="241"/>
      <c r="W12" s="241"/>
    </row>
    <row r="13" spans="1:23" ht="21" customHeight="1" thickTop="1" thickBot="1">
      <c r="A13" s="242" t="s">
        <v>516</v>
      </c>
      <c r="B13" s="519"/>
      <c r="C13" s="520"/>
      <c r="D13" s="520"/>
      <c r="E13" s="521"/>
      <c r="F13" s="519"/>
      <c r="G13" s="520"/>
      <c r="H13" s="521"/>
      <c r="I13" s="627"/>
      <c r="J13" s="530"/>
      <c r="P13" s="241"/>
      <c r="S13" s="241"/>
      <c r="T13" s="241"/>
      <c r="U13" s="241"/>
      <c r="V13" s="241"/>
      <c r="W13" s="241"/>
    </row>
    <row r="14" spans="1:23" ht="21" customHeight="1" thickTop="1" thickBot="1">
      <c r="A14" s="242" t="s">
        <v>517</v>
      </c>
      <c r="B14" s="519"/>
      <c r="C14" s="520"/>
      <c r="D14" s="520"/>
      <c r="E14" s="521"/>
      <c r="F14" s="519"/>
      <c r="G14" s="520"/>
      <c r="H14" s="521"/>
      <c r="I14" s="529"/>
      <c r="J14" s="530"/>
      <c r="P14" s="241"/>
      <c r="S14" s="241"/>
      <c r="T14" s="241"/>
      <c r="U14" s="241"/>
      <c r="V14" s="241"/>
      <c r="W14" s="241"/>
    </row>
    <row r="15" spans="1:23" ht="21" customHeight="1" thickTop="1">
      <c r="A15" s="555" t="s">
        <v>542</v>
      </c>
      <c r="B15" s="511" t="s">
        <v>93</v>
      </c>
      <c r="C15" s="513" t="s">
        <v>540</v>
      </c>
      <c r="D15" s="514"/>
      <c r="E15" s="515"/>
      <c r="F15" s="511" t="s">
        <v>94</v>
      </c>
      <c r="G15" s="513" t="s">
        <v>543</v>
      </c>
      <c r="H15" s="514"/>
      <c r="I15" s="515"/>
      <c r="J15" s="536">
        <v>0</v>
      </c>
      <c r="N15" s="241"/>
      <c r="O15" s="241"/>
      <c r="P15" s="241"/>
      <c r="Q15" s="248"/>
      <c r="R15" s="249"/>
      <c r="S15" s="241"/>
      <c r="T15" s="241"/>
      <c r="U15" s="241"/>
      <c r="V15" s="241"/>
      <c r="W15" s="241"/>
    </row>
    <row r="16" spans="1:23" ht="21" customHeight="1" thickBot="1">
      <c r="A16" s="556"/>
      <c r="B16" s="512"/>
      <c r="C16" s="516"/>
      <c r="D16" s="517"/>
      <c r="E16" s="518"/>
      <c r="F16" s="512"/>
      <c r="G16" s="516"/>
      <c r="H16" s="517"/>
      <c r="I16" s="518"/>
      <c r="J16" s="537"/>
      <c r="K16" s="241"/>
      <c r="L16" s="248"/>
      <c r="M16" s="249"/>
      <c r="N16" s="241"/>
      <c r="O16" s="241"/>
      <c r="P16" s="241"/>
      <c r="Q16" s="241"/>
      <c r="R16" s="241"/>
      <c r="S16" s="241"/>
      <c r="T16" s="241"/>
      <c r="U16" s="241"/>
      <c r="V16" s="241"/>
      <c r="W16" s="241"/>
    </row>
    <row r="17" spans="1:23" ht="33" customHeight="1" thickTop="1" thickBot="1">
      <c r="A17" s="371" t="s">
        <v>623</v>
      </c>
      <c r="B17" s="385" t="s">
        <v>624</v>
      </c>
      <c r="C17" s="386"/>
      <c r="D17" s="386"/>
      <c r="E17" s="387"/>
      <c r="F17" s="217" t="s">
        <v>94</v>
      </c>
      <c r="G17" s="388" t="s">
        <v>625</v>
      </c>
      <c r="H17" s="388"/>
      <c r="I17" s="388"/>
      <c r="J17" s="370"/>
      <c r="K17" s="241"/>
      <c r="L17" s="248"/>
      <c r="M17" s="249"/>
      <c r="N17" s="241"/>
      <c r="O17" s="241"/>
      <c r="P17" s="241"/>
      <c r="Q17" s="241"/>
      <c r="R17" s="241"/>
      <c r="S17" s="241"/>
      <c r="T17" s="241"/>
      <c r="U17" s="241"/>
      <c r="V17" s="241"/>
      <c r="W17" s="241"/>
    </row>
    <row r="18" spans="1:23" ht="21" customHeight="1" thickTop="1" thickBot="1">
      <c r="A18" s="534" t="s">
        <v>350</v>
      </c>
      <c r="B18" s="535"/>
      <c r="C18" s="535"/>
      <c r="D18" s="535"/>
      <c r="E18" s="535"/>
      <c r="F18" s="535"/>
      <c r="G18" s="535"/>
      <c r="H18" s="535"/>
      <c r="I18" s="535"/>
      <c r="J18" s="535"/>
      <c r="K18" s="241"/>
      <c r="L18" s="241"/>
      <c r="M18" s="241"/>
      <c r="N18" s="241"/>
      <c r="O18" s="241"/>
      <c r="P18" s="241"/>
      <c r="Q18" s="241"/>
      <c r="R18" s="241"/>
      <c r="S18" s="241"/>
      <c r="T18" s="241"/>
      <c r="U18" s="241"/>
      <c r="V18" s="241"/>
      <c r="W18" s="241"/>
    </row>
    <row r="19" spans="1:23" ht="21" customHeight="1" thickTop="1" thickBot="1">
      <c r="A19" s="242" t="s">
        <v>351</v>
      </c>
      <c r="B19" s="531">
        <v>292</v>
      </c>
      <c r="C19" s="532"/>
      <c r="D19" s="532"/>
      <c r="E19" s="532"/>
      <c r="F19" s="532"/>
      <c r="G19" s="532"/>
      <c r="H19" s="532"/>
      <c r="I19" s="532"/>
      <c r="J19" s="533"/>
      <c r="K19" s="241"/>
      <c r="L19" s="241"/>
      <c r="M19" s="241"/>
      <c r="N19" s="241"/>
      <c r="O19" s="241"/>
      <c r="P19" s="241"/>
      <c r="Q19" s="241"/>
      <c r="R19" s="241"/>
      <c r="S19" s="241"/>
      <c r="T19" s="241"/>
      <c r="U19" s="241"/>
      <c r="V19" s="241"/>
      <c r="W19" s="241"/>
    </row>
    <row r="20" spans="1:23" ht="21" customHeight="1" thickTop="1" thickBot="1">
      <c r="A20" s="242" t="s">
        <v>158</v>
      </c>
      <c r="B20" s="527" t="str">
        <f>IF(B19="","",IFERROR(VLOOKUP(B19,lists!AK1:AL15,2,1),""))</f>
        <v>C3</v>
      </c>
      <c r="C20" s="543"/>
      <c r="D20" s="543"/>
      <c r="E20" s="543"/>
      <c r="F20" s="543"/>
      <c r="G20" s="543"/>
      <c r="H20" s="543"/>
      <c r="I20" s="543"/>
      <c r="J20" s="528"/>
      <c r="K20" s="241"/>
      <c r="L20" s="241"/>
      <c r="M20" s="241"/>
      <c r="N20" s="241"/>
      <c r="O20" s="241"/>
      <c r="P20" s="241"/>
      <c r="Q20" s="241"/>
      <c r="R20" s="241"/>
      <c r="S20" s="241"/>
      <c r="T20" s="241"/>
      <c r="U20" s="241"/>
      <c r="V20" s="241"/>
      <c r="W20" s="241"/>
    </row>
    <row r="21" spans="1:23" ht="21" customHeight="1" thickTop="1" thickBot="1">
      <c r="A21" s="242" t="s">
        <v>352</v>
      </c>
      <c r="B21" s="490" t="s">
        <v>648</v>
      </c>
      <c r="C21" s="486"/>
      <c r="D21" s="486"/>
      <c r="E21" s="486"/>
      <c r="F21" s="486"/>
      <c r="G21" s="486"/>
      <c r="H21" s="486"/>
      <c r="I21" s="486"/>
      <c r="J21" s="487"/>
      <c r="K21" s="241"/>
      <c r="L21" s="241"/>
      <c r="M21" s="241"/>
      <c r="N21" s="241"/>
      <c r="O21" s="241"/>
      <c r="P21" s="241"/>
      <c r="Q21" s="241"/>
      <c r="R21" s="241"/>
      <c r="S21" s="241"/>
      <c r="T21" s="241"/>
      <c r="U21" s="241"/>
      <c r="V21" s="241"/>
      <c r="W21" s="241"/>
    </row>
    <row r="22" spans="1:23" ht="21" customHeight="1" thickTop="1" thickBot="1">
      <c r="A22" s="534" t="s">
        <v>3</v>
      </c>
      <c r="B22" s="535"/>
      <c r="C22" s="535"/>
      <c r="D22" s="535"/>
      <c r="E22" s="535"/>
      <c r="F22" s="535"/>
      <c r="G22" s="535"/>
      <c r="H22" s="535"/>
      <c r="I22" s="535"/>
      <c r="J22" s="535"/>
      <c r="K22" s="241"/>
      <c r="L22" s="241"/>
      <c r="M22" s="241"/>
      <c r="N22" s="241"/>
      <c r="O22" s="241"/>
      <c r="P22" s="241"/>
      <c r="Q22" s="241"/>
      <c r="R22" s="241"/>
      <c r="S22" s="241"/>
      <c r="T22" s="241"/>
      <c r="U22" s="241"/>
      <c r="V22" s="241"/>
      <c r="W22" s="241"/>
    </row>
    <row r="23" spans="1:23" ht="21" customHeight="1" thickTop="1" thickBot="1">
      <c r="A23" s="250" t="s">
        <v>370</v>
      </c>
      <c r="B23" s="531" t="s">
        <v>312</v>
      </c>
      <c r="C23" s="532"/>
      <c r="D23" s="532"/>
      <c r="E23" s="532"/>
      <c r="F23" s="527" t="s">
        <v>551</v>
      </c>
      <c r="G23" s="543"/>
      <c r="H23" s="543"/>
      <c r="I23" s="528"/>
      <c r="J23" s="235" t="s">
        <v>258</v>
      </c>
      <c r="K23" s="241"/>
      <c r="L23" s="241"/>
      <c r="M23" s="241"/>
      <c r="N23" s="241"/>
      <c r="O23" s="241"/>
      <c r="P23" s="241"/>
      <c r="Q23" s="241"/>
      <c r="R23" s="241"/>
      <c r="S23" s="241"/>
      <c r="T23" s="241"/>
      <c r="U23" s="241"/>
      <c r="V23" s="241"/>
      <c r="W23" s="241"/>
    </row>
    <row r="24" spans="1:23" ht="21" customHeight="1" thickTop="1" thickBot="1">
      <c r="A24" s="242" t="s">
        <v>4</v>
      </c>
      <c r="B24" s="490">
        <v>1500</v>
      </c>
      <c r="C24" s="486"/>
      <c r="D24" s="486"/>
      <c r="E24" s="486"/>
      <c r="F24" s="486"/>
      <c r="G24" s="486"/>
      <c r="H24" s="486"/>
      <c r="I24" s="486"/>
      <c r="J24" s="487"/>
      <c r="K24" s="241"/>
      <c r="L24" s="241"/>
      <c r="M24" s="241"/>
      <c r="N24" s="241"/>
      <c r="O24" s="241"/>
      <c r="P24" s="241"/>
      <c r="Q24" s="241"/>
      <c r="R24" s="241"/>
      <c r="S24" s="241"/>
      <c r="T24" s="241"/>
      <c r="U24" s="241"/>
      <c r="V24" s="241"/>
      <c r="W24" s="241"/>
    </row>
    <row r="25" spans="1:23" ht="21" customHeight="1" thickTop="1" thickBot="1">
      <c r="A25" s="242" t="s">
        <v>5</v>
      </c>
      <c r="B25" s="519">
        <v>18</v>
      </c>
      <c r="C25" s="520"/>
      <c r="D25" s="520"/>
      <c r="E25" s="520"/>
      <c r="F25" s="520"/>
      <c r="G25" s="520"/>
      <c r="H25" s="520"/>
      <c r="I25" s="520"/>
      <c r="J25" s="521"/>
      <c r="K25" s="241"/>
      <c r="L25" s="241"/>
      <c r="M25" s="241"/>
      <c r="N25" s="241"/>
      <c r="O25" s="241"/>
      <c r="P25" s="241"/>
      <c r="Q25" s="241"/>
      <c r="R25" s="241"/>
      <c r="S25" s="241"/>
      <c r="T25" s="241"/>
      <c r="U25" s="241"/>
      <c r="V25" s="241"/>
      <c r="W25" s="241"/>
    </row>
    <row r="26" spans="1:23" ht="21" customHeight="1" thickTop="1" thickBot="1">
      <c r="A26" s="242" t="s">
        <v>92</v>
      </c>
      <c r="B26" s="519" t="s">
        <v>190</v>
      </c>
      <c r="C26" s="520"/>
      <c r="D26" s="520"/>
      <c r="E26" s="520"/>
      <c r="F26" s="527" t="s">
        <v>227</v>
      </c>
      <c r="G26" s="543"/>
      <c r="H26" s="543"/>
      <c r="I26" s="528"/>
      <c r="J26" s="234" t="s">
        <v>180</v>
      </c>
      <c r="K26" s="241"/>
      <c r="L26" s="241"/>
      <c r="M26" s="241"/>
      <c r="N26" s="241"/>
      <c r="O26" s="241"/>
      <c r="P26" s="241"/>
      <c r="Q26" s="241"/>
      <c r="R26" s="241"/>
      <c r="S26" s="241"/>
      <c r="T26" s="241"/>
      <c r="U26" s="241"/>
      <c r="V26" s="241"/>
      <c r="W26" s="241"/>
    </row>
    <row r="27" spans="1:23" ht="21" customHeight="1" thickTop="1" thickBot="1">
      <c r="A27" s="242" t="str">
        <f>IF(B26="ანუიტეტური"," ", "საშეღავათო პერიოდი")</f>
        <v xml:space="preserve"> </v>
      </c>
      <c r="B27" s="210"/>
      <c r="C27" s="527" t="s">
        <v>310</v>
      </c>
      <c r="D27" s="543"/>
      <c r="E27" s="543"/>
      <c r="F27" s="213">
        <v>0.02</v>
      </c>
      <c r="G27" s="527" t="s">
        <v>311</v>
      </c>
      <c r="H27" s="543"/>
      <c r="I27" s="543"/>
      <c r="J27" s="213">
        <v>0.02</v>
      </c>
      <c r="K27" s="241"/>
      <c r="L27" s="241"/>
      <c r="M27" s="241"/>
      <c r="N27" s="241"/>
      <c r="O27" s="241"/>
      <c r="P27" s="241"/>
      <c r="Q27" s="241"/>
      <c r="R27" s="241"/>
      <c r="S27" s="241"/>
      <c r="T27" s="241"/>
      <c r="U27" s="241"/>
      <c r="V27" s="241"/>
      <c r="W27" s="241"/>
    </row>
    <row r="28" spans="1:23" ht="21" customHeight="1" thickTop="1" thickBot="1">
      <c r="A28" s="242" t="s">
        <v>284</v>
      </c>
      <c r="B28" s="552"/>
      <c r="C28" s="553"/>
      <c r="D28" s="553"/>
      <c r="E28" s="553"/>
      <c r="F28" s="553"/>
      <c r="G28" s="553"/>
      <c r="H28" s="553"/>
      <c r="I28" s="553"/>
      <c r="J28" s="554"/>
      <c r="K28" s="241"/>
      <c r="L28" s="241"/>
      <c r="M28" s="241"/>
      <c r="N28" s="241"/>
      <c r="O28" s="241"/>
      <c r="P28" s="241"/>
      <c r="Q28" s="241"/>
      <c r="R28" s="241"/>
      <c r="S28" s="241"/>
      <c r="T28" s="241"/>
      <c r="U28" s="241"/>
      <c r="V28" s="241"/>
      <c r="W28" s="241"/>
    </row>
    <row r="29" spans="1:23" ht="21" customHeight="1" thickTop="1" thickBot="1">
      <c r="A29" s="251" t="s">
        <v>601</v>
      </c>
      <c r="B29" s="372" t="s">
        <v>475</v>
      </c>
      <c r="C29" s="252">
        <f>IFERROR((IF(C31="",IF(B24="","",0.28),C31)+J29),"")</f>
        <v>0.33500000000000002</v>
      </c>
      <c r="D29" s="372" t="s">
        <v>480</v>
      </c>
      <c r="E29" s="252">
        <f>IF(E31="",IF(C29="","",3%),E31)</f>
        <v>0.03</v>
      </c>
      <c r="F29" s="372" t="s">
        <v>214</v>
      </c>
      <c r="G29" s="252">
        <f>IF(G31="",IF(C29="","",IF(B24&lt;4001,0.6%,2%)),G31)</f>
        <v>6.0000000000000001E-3</v>
      </c>
      <c r="H29" s="626" t="s">
        <v>610</v>
      </c>
      <c r="I29" s="626"/>
      <c r="J29" s="252">
        <f>IFERROR(IF(J31="დიახ",0%,IF(B24&gt;4000,VLOOKUP(B20,lists!AL1:AM15,2,0),0)),"")</f>
        <v>0</v>
      </c>
      <c r="K29" s="241"/>
      <c r="L29" s="241"/>
      <c r="M29" s="241"/>
      <c r="N29" s="241"/>
      <c r="O29" s="241"/>
      <c r="P29" s="241"/>
      <c r="Q29" s="241"/>
      <c r="R29" s="241"/>
      <c r="S29" s="241"/>
      <c r="T29" s="241"/>
      <c r="U29" s="241"/>
      <c r="V29" s="241"/>
      <c r="W29" s="241"/>
    </row>
    <row r="30" spans="1:23" ht="21" customHeight="1" thickTop="1" thickBot="1">
      <c r="A30" s="538" t="s">
        <v>537</v>
      </c>
      <c r="B30" s="619" t="s">
        <v>602</v>
      </c>
      <c r="C30" s="619"/>
      <c r="D30" s="619"/>
      <c r="E30" s="619"/>
      <c r="F30" s="619"/>
      <c r="G30" s="619"/>
      <c r="H30" s="619"/>
      <c r="I30" s="619"/>
      <c r="J30" s="619"/>
      <c r="K30" s="241"/>
      <c r="L30" s="241"/>
      <c r="M30" s="241"/>
      <c r="N30" s="241"/>
      <c r="O30" s="241"/>
      <c r="P30" s="241"/>
      <c r="Q30" s="241"/>
      <c r="R30" s="241"/>
      <c r="S30" s="241"/>
      <c r="T30" s="241"/>
      <c r="U30" s="241"/>
      <c r="V30" s="241"/>
      <c r="W30" s="241"/>
    </row>
    <row r="31" spans="1:23" ht="30" customHeight="1" thickTop="1" thickBot="1">
      <c r="A31" s="539"/>
      <c r="B31" s="372" t="s">
        <v>475</v>
      </c>
      <c r="C31" s="238">
        <v>0.33500000000000002</v>
      </c>
      <c r="D31" s="372" t="s">
        <v>480</v>
      </c>
      <c r="E31" s="238">
        <v>0.03</v>
      </c>
      <c r="F31" s="372" t="s">
        <v>214</v>
      </c>
      <c r="G31" s="238">
        <v>6.0000000000000001E-3</v>
      </c>
      <c r="H31" s="626" t="s">
        <v>612</v>
      </c>
      <c r="I31" s="626"/>
      <c r="J31" s="238" t="s">
        <v>94</v>
      </c>
      <c r="K31" s="253" t="str">
        <f>IF(AND(B24&gt;0,J33=""),"1.გთხოვთ აირჩიოთ მიზნობრიობის ტიპი (J32))"," ")</f>
        <v xml:space="preserve"> </v>
      </c>
      <c r="L31" s="241"/>
      <c r="M31" s="241"/>
      <c r="N31" s="241"/>
      <c r="O31" s="241"/>
      <c r="P31" s="241"/>
      <c r="Q31" s="241"/>
      <c r="R31" s="241"/>
      <c r="S31" s="241"/>
      <c r="T31" s="241"/>
      <c r="U31" s="241"/>
      <c r="V31" s="241"/>
      <c r="W31" s="241"/>
    </row>
    <row r="32" spans="1:23" ht="57.75" customHeight="1" thickTop="1" thickBot="1">
      <c r="A32" s="251" t="s">
        <v>401</v>
      </c>
      <c r="B32" s="614">
        <f>IF(J32="","",IF(J32&gt;49.99%,"ეფექტური მეტია 50%ზე",IF(AND(B24&lt;4001,J32&lt;49%),"ეფექტური საპროცენტო განაკვეთი მოთხოვნილ თანხაზე უნდა იყოს 49%-50% ზღვარში, გთხოვთ დააკორექტიროთ პროცენტი ან საკომისიო",IF(C29="","",'კალკულატორი დამტკიცებული'!D78))))</f>
        <v>108.13555555555556</v>
      </c>
      <c r="C32" s="615"/>
      <c r="D32" s="615"/>
      <c r="E32" s="616" t="s">
        <v>539</v>
      </c>
      <c r="F32" s="617"/>
      <c r="G32" s="617"/>
      <c r="H32" s="617"/>
      <c r="I32" s="618"/>
      <c r="J32" s="254">
        <f>IF(OR(B23="",B24="",B25="",B26=""),"",'სესხის კალკულატორი'!H3)</f>
        <v>0.49880000000000002</v>
      </c>
      <c r="K32" s="255" t="str">
        <f>IF(NOT((D34+I34)=B24),"2. ბიზნეს და სამომხმარებლო მიზნობრიობაში მითითებული თანხების ჯამი არ ემთხვევა გასაცემი სესხის თანხას"," ")</f>
        <v xml:space="preserve"> </v>
      </c>
      <c r="M32" s="241"/>
      <c r="N32" s="241"/>
      <c r="O32" s="241"/>
      <c r="P32" s="241"/>
      <c r="Q32" s="241"/>
      <c r="R32" s="241"/>
      <c r="S32" s="241"/>
      <c r="T32" s="241"/>
      <c r="U32" s="241"/>
      <c r="V32" s="241"/>
      <c r="W32" s="241"/>
    </row>
    <row r="33" spans="1:26" ht="21" customHeight="1" thickTop="1" thickBot="1">
      <c r="A33" s="242" t="s">
        <v>510</v>
      </c>
      <c r="B33" s="519" t="s">
        <v>285</v>
      </c>
      <c r="C33" s="520"/>
      <c r="D33" s="520"/>
      <c r="E33" s="521"/>
      <c r="F33" s="628" t="s">
        <v>603</v>
      </c>
      <c r="G33" s="629"/>
      <c r="H33" s="629"/>
      <c r="I33" s="630"/>
      <c r="J33" s="218" t="s">
        <v>354</v>
      </c>
      <c r="K33" s="255" t="str">
        <f>IF(AND(J33="ბიზნესი",I34&gt;0),"3.ბიზნეს მიზნობრიობით სესხის გაცემის შემთხვევაში სრული თანხა უნდა ჩაიდოს ბიზნესში"," ")</f>
        <v xml:space="preserve"> </v>
      </c>
      <c r="V33" s="241"/>
      <c r="W33" s="241"/>
      <c r="X33" s="243"/>
      <c r="Y33" s="243"/>
      <c r="Z33" s="243"/>
    </row>
    <row r="34" spans="1:26" ht="21" customHeight="1" thickTop="1" thickBot="1">
      <c r="A34" s="396" t="s">
        <v>631</v>
      </c>
      <c r="B34" s="527" t="s">
        <v>553</v>
      </c>
      <c r="C34" s="528"/>
      <c r="D34" s="216">
        <v>1500</v>
      </c>
      <c r="E34" s="256">
        <f>IFERROR(D34/B24,"")</f>
        <v>1</v>
      </c>
      <c r="F34" s="527" t="s">
        <v>554</v>
      </c>
      <c r="G34" s="543"/>
      <c r="H34" s="543"/>
      <c r="I34" s="217"/>
      <c r="J34" s="256">
        <f>IFERROR(I34/B24,"")</f>
        <v>0</v>
      </c>
      <c r="K34" s="253" t="str">
        <f>IF(AND(J33="სამომხმარებლო",D34&gt;0),"4.სამომხმარებლო მიზნობრიობით სესხის გაცემის შემთხვევაში  თანხა არ უნდა ჩაიდოს ბიზნესში"," ")</f>
        <v xml:space="preserve"> </v>
      </c>
      <c r="V34" s="241"/>
      <c r="W34" s="241"/>
      <c r="X34" s="243"/>
      <c r="Y34" s="243"/>
      <c r="Z34" s="243"/>
    </row>
    <row r="35" spans="1:26" ht="62.25" customHeight="1" thickTop="1" thickBot="1">
      <c r="A35" s="397"/>
      <c r="B35" s="557" t="str">
        <f>IF(B24&gt;0,(K31&amp;" "&amp;K32&amp;" "&amp;K33&amp;" "&amp;K34&amp;" "&amp;K35),"")</f>
        <v xml:space="preserve">         </v>
      </c>
      <c r="C35" s="558"/>
      <c r="D35" s="558"/>
      <c r="E35" s="558"/>
      <c r="F35" s="558"/>
      <c r="G35" s="558"/>
      <c r="H35" s="558"/>
      <c r="I35" s="558"/>
      <c r="J35" s="559"/>
      <c r="K35" s="255" t="str">
        <f>IF(AND(J33="შერეული",OR(D34=0,I34=0)),"5.შერეული მიზნობრიობით სესხის გაცემის შემთხვევაში  ნაწილი თანხა  უნდა ჩაიდოს ბიზნესში, ხოლო ნაწილი უნდა გამოიყენოს სამომხმარებლო მიზნებისათვის"," ")</f>
        <v xml:space="preserve"> </v>
      </c>
      <c r="V35" s="241"/>
      <c r="W35" s="241"/>
      <c r="X35" s="243"/>
      <c r="Y35" s="243"/>
      <c r="Z35" s="243"/>
    </row>
    <row r="36" spans="1:26" ht="21" customHeight="1" thickTop="1" thickBot="1">
      <c r="A36" s="394" t="s">
        <v>511</v>
      </c>
      <c r="B36" s="519"/>
      <c r="C36" s="520"/>
      <c r="D36" s="521"/>
      <c r="E36" s="234"/>
      <c r="F36" s="519"/>
      <c r="G36" s="520"/>
      <c r="H36" s="520"/>
      <c r="I36" s="521"/>
      <c r="J36" s="234"/>
      <c r="V36" s="241"/>
      <c r="W36" s="241"/>
      <c r="X36" s="243"/>
      <c r="Y36" s="243"/>
      <c r="Z36" s="243"/>
    </row>
    <row r="37" spans="1:26" ht="21" customHeight="1" thickTop="1" thickBot="1">
      <c r="A37" s="395"/>
      <c r="B37" s="519" t="s">
        <v>649</v>
      </c>
      <c r="C37" s="520"/>
      <c r="D37" s="521"/>
      <c r="E37" s="234">
        <v>1500</v>
      </c>
      <c r="F37" s="519"/>
      <c r="G37" s="520"/>
      <c r="H37" s="520"/>
      <c r="I37" s="521"/>
      <c r="J37" s="234"/>
      <c r="V37" s="241"/>
      <c r="W37" s="241"/>
      <c r="X37" s="243"/>
      <c r="Y37" s="243"/>
      <c r="Z37" s="243"/>
    </row>
    <row r="38" spans="1:26" ht="21" customHeight="1" thickTop="1" thickBot="1">
      <c r="A38" s="242" t="s">
        <v>515</v>
      </c>
      <c r="B38" s="611">
        <v>43535</v>
      </c>
      <c r="C38" s="612"/>
      <c r="D38" s="612"/>
      <c r="E38" s="612"/>
      <c r="F38" s="612"/>
      <c r="G38" s="612"/>
      <c r="H38" s="612"/>
      <c r="I38" s="612"/>
      <c r="J38" s="613"/>
      <c r="O38" s="243">
        <v>-15</v>
      </c>
      <c r="P38" s="243">
        <v>15</v>
      </c>
      <c r="V38" s="241"/>
      <c r="W38" s="241"/>
      <c r="X38" s="243"/>
      <c r="Y38" s="243"/>
      <c r="Z38" s="243"/>
    </row>
    <row r="39" spans="1:26" ht="21" customHeight="1" thickTop="1" thickBot="1">
      <c r="A39" s="242" t="s">
        <v>307</v>
      </c>
      <c r="B39" s="565">
        <v>15</v>
      </c>
      <c r="C39" s="566"/>
      <c r="D39" s="566"/>
      <c r="E39" s="566"/>
      <c r="F39" s="566"/>
      <c r="G39" s="566"/>
      <c r="H39" s="566"/>
      <c r="I39" s="566"/>
      <c r="J39" s="567"/>
      <c r="N39" s="257">
        <f>DATE(M40,L40+1,K40)</f>
        <v>43566</v>
      </c>
      <c r="O39" s="257">
        <f>N39-15</f>
        <v>43551</v>
      </c>
      <c r="P39" s="258">
        <f>B38+45</f>
        <v>43580</v>
      </c>
      <c r="Q39" s="241"/>
      <c r="R39" s="241"/>
      <c r="S39" s="241"/>
      <c r="T39" s="241"/>
      <c r="U39" s="241"/>
      <c r="V39" s="241"/>
      <c r="W39" s="241"/>
      <c r="X39" s="243"/>
      <c r="Y39" s="243"/>
      <c r="Z39" s="243"/>
    </row>
    <row r="40" spans="1:26" ht="21" customHeight="1" thickTop="1" thickBot="1">
      <c r="A40" s="259" t="s">
        <v>147</v>
      </c>
      <c r="B40" s="620">
        <f>IF(B39="","",IF(AND(N55=1,N56=1),O56,IF(AND(N54=1,N55=1),O55,VLOOKUP(M54,N54:O56,2,0))))</f>
        <v>43570</v>
      </c>
      <c r="C40" s="621"/>
      <c r="D40" s="621"/>
      <c r="E40" s="621"/>
      <c r="F40" s="621"/>
      <c r="G40" s="621"/>
      <c r="H40" s="621"/>
      <c r="I40" s="621"/>
      <c r="J40" s="622"/>
      <c r="K40" s="243">
        <f>DAY(B38)</f>
        <v>11</v>
      </c>
      <c r="L40" s="243">
        <f>MONTH(B38)</f>
        <v>3</v>
      </c>
      <c r="M40" s="243">
        <f>YEAR(B38)</f>
        <v>2019</v>
      </c>
      <c r="N40" s="257"/>
      <c r="O40" s="257"/>
      <c r="P40" s="258"/>
      <c r="Q40" s="241"/>
      <c r="R40" s="241"/>
      <c r="S40" s="241"/>
      <c r="T40" s="241"/>
      <c r="U40" s="241"/>
      <c r="V40" s="241"/>
      <c r="W40" s="241"/>
      <c r="X40" s="243"/>
      <c r="Y40" s="243"/>
      <c r="Z40" s="243"/>
    </row>
    <row r="41" spans="1:26" ht="21" customHeight="1" thickBot="1">
      <c r="A41" s="571" t="s">
        <v>523</v>
      </c>
      <c r="B41" s="572"/>
      <c r="C41" s="572"/>
      <c r="D41" s="572"/>
      <c r="E41" s="572"/>
      <c r="F41" s="572"/>
      <c r="G41" s="572"/>
      <c r="H41" s="572"/>
      <c r="I41" s="572"/>
      <c r="J41" s="573"/>
      <c r="N41" s="257"/>
      <c r="O41" s="257"/>
      <c r="P41" s="258"/>
      <c r="Q41" s="241"/>
      <c r="R41" s="241"/>
      <c r="S41" s="241"/>
      <c r="T41" s="241"/>
      <c r="U41" s="241"/>
      <c r="V41" s="241"/>
      <c r="W41" s="241"/>
      <c r="X41" s="243"/>
      <c r="Y41" s="243"/>
      <c r="Z41" s="243"/>
    </row>
    <row r="42" spans="1:26" ht="45.75" customHeight="1" thickTop="1" thickBot="1">
      <c r="A42" s="260"/>
      <c r="B42" s="563" t="s">
        <v>524</v>
      </c>
      <c r="C42" s="564"/>
      <c r="D42" s="261" t="s">
        <v>129</v>
      </c>
      <c r="E42" s="563" t="s">
        <v>525</v>
      </c>
      <c r="F42" s="574"/>
      <c r="G42" s="564"/>
      <c r="H42" s="575" t="s">
        <v>479</v>
      </c>
      <c r="I42" s="576"/>
      <c r="J42" s="262" t="s">
        <v>526</v>
      </c>
      <c r="N42" s="257"/>
      <c r="O42" s="257"/>
      <c r="P42" s="258"/>
      <c r="Q42" s="241"/>
      <c r="R42" s="241"/>
      <c r="S42" s="241"/>
      <c r="T42" s="241"/>
      <c r="U42" s="241"/>
      <c r="V42" s="241"/>
      <c r="W42" s="241"/>
      <c r="X42" s="243"/>
      <c r="Y42" s="243"/>
      <c r="Z42" s="243"/>
    </row>
    <row r="43" spans="1:26" ht="21" customHeight="1" thickTop="1" thickBot="1">
      <c r="A43" s="260" t="s">
        <v>527</v>
      </c>
      <c r="B43" s="565"/>
      <c r="C43" s="567"/>
      <c r="D43" s="208"/>
      <c r="E43" s="577">
        <f>B43*40</f>
        <v>0</v>
      </c>
      <c r="F43" s="578"/>
      <c r="G43" s="579"/>
      <c r="H43" s="565"/>
      <c r="I43" s="567"/>
      <c r="J43" s="263">
        <f>IF(E43=0,0,IFERROR(E43/H43,0))</f>
        <v>0</v>
      </c>
      <c r="N43" s="257"/>
      <c r="O43" s="257"/>
      <c r="P43" s="258"/>
      <c r="Q43" s="241"/>
      <c r="R43" s="241"/>
      <c r="S43" s="241"/>
      <c r="T43" s="241"/>
      <c r="U43" s="241"/>
      <c r="V43" s="241"/>
      <c r="W43" s="241"/>
      <c r="X43" s="243"/>
      <c r="Y43" s="243"/>
      <c r="Z43" s="243"/>
    </row>
    <row r="44" spans="1:26" ht="21" customHeight="1" thickTop="1" thickBot="1">
      <c r="A44" s="260" t="s">
        <v>528</v>
      </c>
      <c r="B44" s="565"/>
      <c r="C44" s="567"/>
      <c r="D44" s="595" t="s">
        <v>538</v>
      </c>
      <c r="E44" s="577">
        <f>B44*50</f>
        <v>0</v>
      </c>
      <c r="F44" s="578"/>
      <c r="G44" s="579"/>
      <c r="H44" s="599" t="s">
        <v>207</v>
      </c>
      <c r="I44" s="600"/>
      <c r="J44" s="263">
        <f>IF(E44=0,0,IFERROR(E44/H43,0))</f>
        <v>0</v>
      </c>
      <c r="N44" s="257"/>
      <c r="O44" s="257"/>
      <c r="P44" s="258"/>
      <c r="Q44" s="241"/>
      <c r="R44" s="241"/>
      <c r="S44" s="241"/>
      <c r="T44" s="241"/>
      <c r="U44" s="241"/>
      <c r="V44" s="241"/>
      <c r="W44" s="241"/>
      <c r="X44" s="243"/>
      <c r="Y44" s="243"/>
      <c r="Z44" s="243"/>
    </row>
    <row r="45" spans="1:26" ht="21" customHeight="1" thickTop="1" thickBot="1">
      <c r="A45" s="260" t="s">
        <v>529</v>
      </c>
      <c r="B45" s="565"/>
      <c r="C45" s="567"/>
      <c r="D45" s="596"/>
      <c r="E45" s="577">
        <f>B45*60</f>
        <v>0</v>
      </c>
      <c r="F45" s="578"/>
      <c r="G45" s="579"/>
      <c r="H45" s="601"/>
      <c r="I45" s="602"/>
      <c r="J45" s="263">
        <f>IF(E45=0,0,IFERROR(E45/H43,0))</f>
        <v>0</v>
      </c>
      <c r="N45" s="257"/>
      <c r="O45" s="257"/>
      <c r="P45" s="258"/>
      <c r="Q45" s="241"/>
      <c r="R45" s="241"/>
      <c r="S45" s="241"/>
      <c r="T45" s="241"/>
      <c r="U45" s="241"/>
      <c r="V45" s="241"/>
      <c r="W45" s="241"/>
      <c r="X45" s="243"/>
      <c r="Y45" s="243"/>
      <c r="Z45" s="243"/>
    </row>
    <row r="46" spans="1:26" ht="21" customHeight="1" thickTop="1" thickBot="1">
      <c r="A46" s="264" t="s">
        <v>530</v>
      </c>
      <c r="B46" s="580">
        <f>SUM(B43:D45)</f>
        <v>0</v>
      </c>
      <c r="C46" s="582"/>
      <c r="D46" s="206"/>
      <c r="E46" s="580">
        <f>SUM(E43:G45)</f>
        <v>0</v>
      </c>
      <c r="F46" s="581"/>
      <c r="G46" s="582"/>
      <c r="H46" s="593"/>
      <c r="I46" s="594"/>
      <c r="J46" s="265">
        <f>IF(E46=0,0,IFERROR(E46/H43,0))</f>
        <v>0</v>
      </c>
      <c r="N46" s="257"/>
      <c r="O46" s="257"/>
      <c r="P46" s="258"/>
      <c r="Q46" s="241"/>
      <c r="R46" s="241"/>
      <c r="S46" s="241"/>
      <c r="T46" s="241"/>
      <c r="U46" s="241"/>
      <c r="V46" s="241"/>
      <c r="W46" s="241"/>
      <c r="X46" s="243"/>
      <c r="Y46" s="243"/>
      <c r="Z46" s="243"/>
    </row>
    <row r="47" spans="1:26" ht="21" customHeight="1">
      <c r="A47" s="583" t="s">
        <v>226</v>
      </c>
      <c r="B47" s="584"/>
      <c r="C47" s="584"/>
      <c r="D47" s="584"/>
      <c r="E47" s="584"/>
      <c r="F47" s="584"/>
      <c r="G47" s="584"/>
      <c r="H47" s="584"/>
      <c r="I47" s="584"/>
      <c r="J47" s="585"/>
      <c r="N47" s="257"/>
      <c r="O47" s="257"/>
      <c r="P47" s="258"/>
      <c r="Q47" s="241"/>
      <c r="R47" s="241"/>
      <c r="S47" s="241"/>
      <c r="T47" s="241"/>
      <c r="U47" s="241"/>
      <c r="V47" s="241"/>
      <c r="W47" s="241"/>
      <c r="X47" s="243"/>
      <c r="Y47" s="243"/>
      <c r="Z47" s="243"/>
    </row>
    <row r="48" spans="1:26" ht="21" customHeight="1" thickBot="1">
      <c r="A48" s="266"/>
      <c r="B48" s="597" t="s">
        <v>474</v>
      </c>
      <c r="C48" s="597"/>
      <c r="D48" s="267" t="s">
        <v>479</v>
      </c>
      <c r="E48" s="267" t="s">
        <v>475</v>
      </c>
      <c r="F48" s="267" t="s">
        <v>485</v>
      </c>
      <c r="G48" s="597" t="s">
        <v>532</v>
      </c>
      <c r="H48" s="597"/>
      <c r="I48" s="597" t="s">
        <v>503</v>
      </c>
      <c r="J48" s="598"/>
      <c r="N48" s="257"/>
      <c r="O48" s="257"/>
      <c r="P48" s="258"/>
      <c r="Q48" s="241"/>
      <c r="R48" s="241"/>
      <c r="S48" s="241"/>
      <c r="T48" s="241"/>
      <c r="U48" s="241"/>
      <c r="V48" s="241"/>
      <c r="W48" s="241"/>
      <c r="X48" s="243"/>
      <c r="Y48" s="243"/>
      <c r="Z48" s="243"/>
    </row>
    <row r="49" spans="1:32" ht="22.5" customHeight="1" thickTop="1" thickBot="1">
      <c r="A49" s="268" t="s">
        <v>503</v>
      </c>
      <c r="B49" s="589" t="str">
        <f>IF(AND(B19&gt;259,B26="ანუიტეტური",OR(B23="მიკრო სესხი",B23="მიკრო აგრო სესხი")),ROUNDDOWN(IF((B78*0.1)&lt;300,0,IF((B78*0.1)&gt;6000,6000,B78*0.1)),0),"")</f>
        <v/>
      </c>
      <c r="C49" s="590"/>
      <c r="D49" s="269" t="str">
        <f>IF(OR(B49="",B49=0),"",IF(B25&gt;0,B25+1,"-"))</f>
        <v/>
      </c>
      <c r="E49" s="270" t="str">
        <f>IF(OR(B49="",B49=0),"",IF(AND(B49&gt;299,B49&lt;1000),33%,IF(AND(B49&gt;999,B49&lt;2000),38%,IF(AND(B49&gt;1999,B49&lt;6001),39%,"ERROR"))))</f>
        <v/>
      </c>
      <c r="F49" s="271" t="str">
        <f>IF(B49="","",IF(I49="თანხმობა",-PMT(E49/12,D49,B49),""))</f>
        <v/>
      </c>
      <c r="G49" s="591" t="str">
        <f>IF(OR(B49="",B49=0),"",B40-3)</f>
        <v/>
      </c>
      <c r="H49" s="592"/>
      <c r="I49" s="406" t="s">
        <v>179</v>
      </c>
      <c r="J49" s="409"/>
      <c r="K49" s="272">
        <v>36</v>
      </c>
      <c r="L49" s="270">
        <v>0.28000000000000003</v>
      </c>
      <c r="N49" s="257"/>
      <c r="O49" s="257"/>
      <c r="P49" s="258"/>
      <c r="Q49" s="241"/>
      <c r="R49" s="241"/>
      <c r="S49" s="241"/>
      <c r="T49" s="241"/>
      <c r="U49" s="241"/>
      <c r="V49" s="241"/>
      <c r="W49" s="241"/>
      <c r="X49" s="243"/>
      <c r="Y49" s="243"/>
      <c r="Z49" s="243"/>
    </row>
    <row r="50" spans="1:32" ht="22.5" customHeight="1">
      <c r="A50" s="586" t="s">
        <v>531</v>
      </c>
      <c r="B50" s="587"/>
      <c r="C50" s="587"/>
      <c r="D50" s="587"/>
      <c r="E50" s="587"/>
      <c r="F50" s="587"/>
      <c r="G50" s="587"/>
      <c r="H50" s="587"/>
      <c r="I50" s="587"/>
      <c r="J50" s="588"/>
      <c r="N50" s="257"/>
      <c r="O50" s="257"/>
      <c r="P50" s="258"/>
      <c r="Q50" s="241"/>
      <c r="R50" s="241"/>
      <c r="S50" s="241"/>
      <c r="T50" s="241"/>
      <c r="U50" s="241"/>
      <c r="V50" s="241"/>
      <c r="W50" s="241"/>
      <c r="X50" s="243"/>
      <c r="Y50" s="243"/>
      <c r="Z50" s="243"/>
    </row>
    <row r="51" spans="1:32" ht="29.25" customHeight="1" thickBot="1">
      <c r="A51" s="631" t="str">
        <f>IF(AND(NOT(B19=""),B19&lt;260),"ყურადღება: საკრედიტო რეიტინგიდან გამომდინარე საკრედიტო პოტენციალის დამტკიცებაზე გადაწყვეტილება უნდა მიიღოს მე-4 დონის კომიტეტმა","")</f>
        <v/>
      </c>
      <c r="B51" s="632"/>
      <c r="C51" s="632"/>
      <c r="D51" s="632"/>
      <c r="E51" s="632"/>
      <c r="F51" s="632"/>
      <c r="G51" s="632"/>
      <c r="H51" s="632"/>
      <c r="I51" s="632"/>
      <c r="J51" s="633"/>
      <c r="K51" s="241">
        <f>YEAR(B38)</f>
        <v>2019</v>
      </c>
      <c r="L51" s="243">
        <f>MONTH(B38)</f>
        <v>3</v>
      </c>
      <c r="M51" s="243">
        <f>DAY(B38)</f>
        <v>11</v>
      </c>
      <c r="N51" s="243">
        <f>MIN(K52,N52)</f>
        <v>194</v>
      </c>
      <c r="O51" s="273">
        <f>S91</f>
        <v>743.60833333333335</v>
      </c>
      <c r="P51" s="258"/>
      <c r="Q51" s="241"/>
      <c r="R51" s="241"/>
      <c r="S51" s="241"/>
      <c r="T51" s="241"/>
      <c r="U51" s="241"/>
      <c r="V51" s="241"/>
      <c r="W51" s="241"/>
      <c r="X51" s="243"/>
      <c r="Y51" s="243"/>
      <c r="Z51" s="243"/>
    </row>
    <row r="52" spans="1:32" ht="43.5" customHeight="1" thickTop="1" thickBot="1">
      <c r="A52" s="352" t="s">
        <v>621</v>
      </c>
      <c r="B52" s="354" t="s">
        <v>533</v>
      </c>
      <c r="C52" s="355" t="s">
        <v>534</v>
      </c>
      <c r="D52" s="272" t="s">
        <v>617</v>
      </c>
      <c r="E52" s="461" t="s">
        <v>618</v>
      </c>
      <c r="F52" s="462"/>
      <c r="G52" s="463" t="s">
        <v>503</v>
      </c>
      <c r="H52" s="464"/>
      <c r="I52" s="398" t="s">
        <v>619</v>
      </c>
      <c r="J52" s="399"/>
      <c r="K52" s="273">
        <f>ROUNDDOWN((B88*80%),0)</f>
        <v>194</v>
      </c>
      <c r="L52" s="243">
        <f>IF(B57="აგრო",12,6)</f>
        <v>12</v>
      </c>
      <c r="M52" s="257">
        <f>DATE(K51,L51+L52,M51)</f>
        <v>43901</v>
      </c>
      <c r="N52" s="243">
        <f>O51*O52</f>
        <v>260.26291666666668</v>
      </c>
      <c r="O52" s="357">
        <f>IFERROR(VLOOKUP(O51,M91:O94,3)," ")</f>
        <v>0.35</v>
      </c>
      <c r="P52" s="258"/>
      <c r="Q52" s="241"/>
      <c r="R52" s="241"/>
      <c r="S52" s="241"/>
      <c r="T52" s="241"/>
      <c r="U52" s="241"/>
      <c r="V52" s="241"/>
      <c r="W52" s="241"/>
      <c r="X52" s="243"/>
      <c r="Y52" s="243"/>
      <c r="Z52" s="243"/>
    </row>
    <row r="53" spans="1:32" ht="22.5" customHeight="1" thickTop="1" thickBot="1">
      <c r="A53" s="352" t="s">
        <v>614</v>
      </c>
      <c r="B53" s="353" t="str">
        <f>IF(OR(B23="სწრაფი სესხი",B23=""),"",IF(ROUNDDOWN(-PV(L49/12,36,K52),-2)&gt;0,ROUNDDOWN(-PV(L49/12,36,K52),-2),""))</f>
        <v/>
      </c>
      <c r="C53" s="356" t="str">
        <f>IF(OR(B53="",B53=0),"",DATE(K51,L51+L52,M51))</f>
        <v/>
      </c>
      <c r="D53" s="369"/>
      <c r="E53" s="400"/>
      <c r="F53" s="401"/>
      <c r="G53" s="404"/>
      <c r="H53" s="405"/>
      <c r="I53" s="404"/>
      <c r="J53" s="408"/>
      <c r="K53" s="243">
        <f>DAY(O55)</f>
        <v>15</v>
      </c>
      <c r="L53" s="243">
        <f>MONTH(O55)</f>
        <v>4</v>
      </c>
      <c r="M53" s="243">
        <f>YEAR(O55)</f>
        <v>2019</v>
      </c>
      <c r="Q53" s="241"/>
      <c r="R53" s="241"/>
      <c r="S53" s="241"/>
      <c r="T53" s="241"/>
      <c r="U53" s="241"/>
      <c r="V53" s="241"/>
      <c r="W53" s="241"/>
    </row>
    <row r="54" spans="1:32" ht="22.5" customHeight="1" thickTop="1" thickBot="1">
      <c r="A54" s="352" t="s">
        <v>615</v>
      </c>
      <c r="B54" s="353" t="str">
        <f>IF(OR(B23="სწრაფი სესხი",B23=""),"",IF(ROUNDDOWN(-PV(L49/12,60,K52),-2)&gt;0,ROUNDDOWN(-PV(L49/12,60,K52),-2),""))</f>
        <v/>
      </c>
      <c r="C54" s="356" t="str">
        <f>IF(OR(B54="",B54=0),"",DATE(K51,L51+L52,M51))</f>
        <v/>
      </c>
      <c r="D54" s="369"/>
      <c r="E54" s="400"/>
      <c r="F54" s="401"/>
      <c r="G54" s="404"/>
      <c r="H54" s="405"/>
      <c r="I54" s="404"/>
      <c r="J54" s="408"/>
      <c r="K54" s="243">
        <f>B39</f>
        <v>15</v>
      </c>
      <c r="L54" s="241"/>
      <c r="M54" s="243">
        <v>1</v>
      </c>
      <c r="N54" s="243">
        <f>IF(AND(O54&gt;O39-1,O54&lt;P39+1),1,0)</f>
        <v>0</v>
      </c>
      <c r="O54" s="257">
        <f>DATE(M40,L40,K54)</f>
        <v>43539</v>
      </c>
      <c r="P54" s="243">
        <f>O54-B38</f>
        <v>4</v>
      </c>
      <c r="Q54" s="241"/>
      <c r="R54" s="241"/>
      <c r="S54" s="241"/>
      <c r="T54" s="241"/>
      <c r="U54" s="241"/>
      <c r="V54" s="241"/>
      <c r="W54" s="241"/>
    </row>
    <row r="55" spans="1:32" ht="21" customHeight="1" thickTop="1" thickBot="1">
      <c r="A55" s="268" t="s">
        <v>616</v>
      </c>
      <c r="B55" s="353" t="str">
        <f>IF(OR(B23="სწრაფი სესხი",B23=""),"",IF(ROUNDDOWN(-PV(L49/12,36,N51),-2)&gt;0,ROUNDDOWN(-PV(L49/12,36,N51),-2),""))</f>
        <v/>
      </c>
      <c r="C55" s="356" t="str">
        <f>IF(OR(B55="",B55=0),"",DATE(K51,L51+L52,M51))</f>
        <v/>
      </c>
      <c r="D55" s="369"/>
      <c r="E55" s="402"/>
      <c r="F55" s="403"/>
      <c r="G55" s="406"/>
      <c r="H55" s="407"/>
      <c r="I55" s="406"/>
      <c r="J55" s="409"/>
      <c r="K55" s="241"/>
      <c r="L55" s="241"/>
      <c r="M55" s="241"/>
      <c r="N55" s="241">
        <f>IF(AND(O55&gt;O39-1,O55&lt;P39+1),1,0)</f>
        <v>1</v>
      </c>
      <c r="O55" s="257">
        <f>DATE(M40,L40+1,K54)</f>
        <v>43570</v>
      </c>
      <c r="P55" s="243">
        <f>O55-B38</f>
        <v>35</v>
      </c>
      <c r="R55" s="241"/>
      <c r="S55" s="241"/>
      <c r="T55" s="241"/>
      <c r="U55" s="241"/>
      <c r="V55" s="241"/>
      <c r="W55" s="241"/>
    </row>
    <row r="56" spans="1:32" ht="21" customHeight="1" thickBot="1">
      <c r="A56" s="534" t="s">
        <v>145</v>
      </c>
      <c r="B56" s="535"/>
      <c r="C56" s="535"/>
      <c r="D56" s="535"/>
      <c r="E56" s="535"/>
      <c r="F56" s="535"/>
      <c r="G56" s="535"/>
      <c r="H56" s="535"/>
      <c r="I56" s="535"/>
      <c r="J56" s="535"/>
      <c r="K56" s="241"/>
      <c r="L56" s="241"/>
      <c r="M56" s="241"/>
      <c r="N56" s="241">
        <f>IF(AND(O56&gt;O39-1,O56&lt;P39+1),1,0)</f>
        <v>0</v>
      </c>
      <c r="O56" s="257">
        <f>DATE(M53,L53+1,K53)</f>
        <v>43600</v>
      </c>
      <c r="P56" s="241">
        <f>O56-B38</f>
        <v>65</v>
      </c>
      <c r="R56" s="241"/>
      <c r="S56" s="241"/>
      <c r="T56" s="241"/>
      <c r="U56" s="241"/>
      <c r="V56" s="241"/>
      <c r="W56" s="241"/>
    </row>
    <row r="57" spans="1:32" ht="26.25" customHeight="1" thickTop="1" thickBot="1">
      <c r="A57" s="242" t="s">
        <v>1</v>
      </c>
      <c r="B57" s="568" t="s">
        <v>90</v>
      </c>
      <c r="C57" s="569"/>
      <c r="D57" s="569"/>
      <c r="E57" s="569"/>
      <c r="F57" s="569"/>
      <c r="G57" s="569"/>
      <c r="H57" s="569"/>
      <c r="I57" s="569"/>
      <c r="J57" s="570"/>
      <c r="K57" s="241"/>
      <c r="L57" s="241"/>
      <c r="M57" s="241"/>
      <c r="O57" s="274"/>
      <c r="P57" s="241"/>
      <c r="R57" s="275"/>
      <c r="S57" s="275"/>
      <c r="T57" s="275"/>
      <c r="U57" s="276"/>
      <c r="V57" s="276"/>
      <c r="W57" s="276"/>
      <c r="X57" s="276"/>
      <c r="Y57" s="276"/>
      <c r="Z57" s="276"/>
      <c r="AA57" s="277"/>
      <c r="AB57" s="277"/>
    </row>
    <row r="58" spans="1:32" ht="21" customHeight="1" thickTop="1" thickBot="1">
      <c r="A58" s="242" t="s">
        <v>399</v>
      </c>
      <c r="B58" s="531" t="s">
        <v>654</v>
      </c>
      <c r="C58" s="532"/>
      <c r="D58" s="532"/>
      <c r="E58" s="532"/>
      <c r="F58" s="532"/>
      <c r="G58" s="532"/>
      <c r="H58" s="532"/>
      <c r="I58" s="532"/>
      <c r="J58" s="533"/>
      <c r="K58" s="278">
        <v>1</v>
      </c>
      <c r="L58" s="279" t="s">
        <v>90</v>
      </c>
      <c r="M58" s="275"/>
      <c r="N58" s="275"/>
      <c r="O58" s="278"/>
      <c r="P58" s="280" t="s">
        <v>86</v>
      </c>
      <c r="Q58" s="278"/>
      <c r="R58" s="278"/>
      <c r="S58" s="278"/>
      <c r="T58" s="280" t="s">
        <v>87</v>
      </c>
      <c r="U58" s="281"/>
      <c r="V58" s="281"/>
      <c r="W58" s="281"/>
      <c r="X58" s="280" t="s">
        <v>88</v>
      </c>
      <c r="Y58" s="281"/>
      <c r="Z58" s="281"/>
      <c r="AA58" s="280" t="s">
        <v>89</v>
      </c>
      <c r="AB58" s="281"/>
      <c r="AC58" s="282"/>
    </row>
    <row r="59" spans="1:32" ht="21" customHeight="1" thickTop="1" thickBot="1">
      <c r="A59" s="247" t="s">
        <v>385</v>
      </c>
      <c r="B59" s="531" t="s">
        <v>653</v>
      </c>
      <c r="C59" s="532"/>
      <c r="D59" s="532"/>
      <c r="E59" s="532"/>
      <c r="F59" s="532"/>
      <c r="G59" s="532"/>
      <c r="H59" s="532"/>
      <c r="I59" s="533"/>
      <c r="J59" s="169">
        <v>60</v>
      </c>
      <c r="K59" s="278">
        <v>2</v>
      </c>
      <c r="L59" s="280"/>
      <c r="M59" s="278" t="s">
        <v>134</v>
      </c>
      <c r="N59" s="278" t="s">
        <v>135</v>
      </c>
      <c r="O59" s="278"/>
      <c r="P59" s="280"/>
      <c r="Q59" s="278"/>
      <c r="R59" s="278"/>
      <c r="S59" s="278"/>
      <c r="T59" s="280"/>
      <c r="U59" s="281"/>
      <c r="V59" s="281"/>
      <c r="W59" s="281"/>
      <c r="X59" s="284"/>
      <c r="Y59" s="281"/>
      <c r="Z59" s="281"/>
      <c r="AA59" s="285"/>
      <c r="AB59" s="281"/>
      <c r="AC59" s="282"/>
      <c r="AE59" s="286" t="str">
        <f t="shared" ref="AE59:AE73" si="0">B62</f>
        <v>სიმინდი ქართული</v>
      </c>
      <c r="AF59" s="287">
        <f t="shared" ref="AF59:AF73" si="1">E62</f>
        <v>1</v>
      </c>
    </row>
    <row r="60" spans="1:32" ht="21" customHeight="1" thickTop="1">
      <c r="A60" s="534" t="s">
        <v>146</v>
      </c>
      <c r="B60" s="535"/>
      <c r="C60" s="535"/>
      <c r="D60" s="535"/>
      <c r="E60" s="535"/>
      <c r="F60" s="535"/>
      <c r="G60" s="535"/>
      <c r="H60" s="535"/>
      <c r="I60" s="535"/>
      <c r="J60" s="535"/>
      <c r="K60" s="278">
        <v>3</v>
      </c>
      <c r="L60" s="280" t="s">
        <v>6</v>
      </c>
      <c r="M60" s="278"/>
      <c r="N60" s="278"/>
      <c r="O60" s="278"/>
      <c r="P60" s="280" t="s">
        <v>314</v>
      </c>
      <c r="Q60" s="278"/>
      <c r="R60" s="278"/>
      <c r="S60" s="278"/>
      <c r="T60" s="280" t="s">
        <v>314</v>
      </c>
      <c r="U60" s="281"/>
      <c r="V60" s="281"/>
      <c r="W60" s="281"/>
      <c r="X60" s="280" t="s">
        <v>326</v>
      </c>
      <c r="Y60" s="281"/>
      <c r="Z60" s="281"/>
      <c r="AA60" s="280" t="s">
        <v>326</v>
      </c>
      <c r="AB60" s="281"/>
      <c r="AC60" s="282"/>
      <c r="AE60" s="286" t="str">
        <f t="shared" si="0"/>
        <v>ლობიო</v>
      </c>
      <c r="AF60" s="287">
        <f t="shared" si="1"/>
        <v>0.3</v>
      </c>
    </row>
    <row r="61" spans="1:32" ht="21" customHeight="1" thickBot="1">
      <c r="A61" s="283"/>
      <c r="B61" s="540" t="str">
        <f>IF(B57="აგრო","კულტურის დასახელება","")</f>
        <v>კულტურის დასახელება</v>
      </c>
      <c r="C61" s="540"/>
      <c r="D61" s="540"/>
      <c r="E61" s="525" t="str">
        <f>IF(B57="აგრო","ჰა/რაოდენობა",IF(B57="","","თანხა"))</f>
        <v>ჰა/რაოდენობა</v>
      </c>
      <c r="F61" s="526"/>
      <c r="G61" s="541" t="str">
        <f>IF(OR(B72="მეწველი ძროხა",B73="მეწველი ძროხა",B74="მეწველი ძროხა",B75="მეწველი ძროხა",B76="მეწველი ძროხა",'დამატებითი საქ-ბის ანალიზი'!B25="მეწველი ძროხა",'დამატებითი საქ-ბის ანალიზი'!B26="მეწველი ძროხა",'დამატებითი საქ-ბის ანალიზი'!B27="მეწველი ძროხა",'დამატებითი საქ-ბის ანალიზი'!B28="მეწველი ძროხა",'დამატებითი საქ-ბის ანალიზი'!B29="მეწველი ძროხა"),"სავალდებულო კითხვარი (მეძროხეობის შემთხვევაში)","")</f>
        <v>სავალდებულო კითხვარი (მეძროხეობის შემთხვევაში)</v>
      </c>
      <c r="H61" s="542"/>
      <c r="I61" s="542"/>
      <c r="J61" s="542"/>
      <c r="K61" s="278">
        <v>4</v>
      </c>
      <c r="L61" s="280" t="s">
        <v>7</v>
      </c>
      <c r="M61" s="278"/>
      <c r="N61" s="278"/>
      <c r="O61" s="278"/>
      <c r="P61" s="280" t="s">
        <v>315</v>
      </c>
      <c r="Q61" s="278"/>
      <c r="R61" s="278"/>
      <c r="S61" s="278"/>
      <c r="T61" s="280" t="s">
        <v>315</v>
      </c>
      <c r="U61" s="281"/>
      <c r="V61" s="281"/>
      <c r="W61" s="281"/>
      <c r="X61" s="280" t="s">
        <v>313</v>
      </c>
      <c r="Y61" s="281"/>
      <c r="Z61" s="281"/>
      <c r="AA61" s="280" t="s">
        <v>313</v>
      </c>
      <c r="AB61" s="281"/>
      <c r="AC61" s="282"/>
      <c r="AE61" s="286" t="str">
        <f t="shared" si="0"/>
        <v>სოიო</v>
      </c>
      <c r="AF61" s="287">
        <f t="shared" si="1"/>
        <v>0.3</v>
      </c>
    </row>
    <row r="62" spans="1:32" ht="21" customHeight="1" thickTop="1" thickBot="1">
      <c r="A62" s="288" t="str">
        <f t="shared" ref="A62:A76" si="2">HLOOKUP($B$57,$L$58:$AB$74,K60,0)</f>
        <v>ერთწლიანი კულტურა 1</v>
      </c>
      <c r="B62" s="509" t="s">
        <v>140</v>
      </c>
      <c r="C62" s="510"/>
      <c r="D62" s="510"/>
      <c r="E62" s="419">
        <v>1</v>
      </c>
      <c r="F62" s="420"/>
      <c r="G62" s="522" t="str">
        <f>IF(G61="","","1. ანალიზის მომენტში 1 სული ძროხის წველადობა 1 დღეში")</f>
        <v>1. ანალიზის მომენტში 1 სული ძროხის წველადობა 1 დღეში</v>
      </c>
      <c r="H62" s="523"/>
      <c r="I62" s="523"/>
      <c r="J62" s="524"/>
      <c r="K62" s="278">
        <v>5</v>
      </c>
      <c r="L62" s="280" t="s">
        <v>8</v>
      </c>
      <c r="M62" s="278"/>
      <c r="N62" s="278"/>
      <c r="O62" s="278"/>
      <c r="P62" s="280" t="s">
        <v>313</v>
      </c>
      <c r="Q62" s="278"/>
      <c r="R62" s="278"/>
      <c r="S62" s="278"/>
      <c r="T62" s="280" t="s">
        <v>313</v>
      </c>
      <c r="U62" s="281"/>
      <c r="V62" s="281"/>
      <c r="W62" s="281"/>
      <c r="X62" s="280" t="s">
        <v>327</v>
      </c>
      <c r="Y62" s="281"/>
      <c r="Z62" s="281"/>
      <c r="AA62" s="280" t="s">
        <v>313</v>
      </c>
      <c r="AB62" s="281"/>
      <c r="AC62" s="282"/>
      <c r="AE62" s="286">
        <f t="shared" si="0"/>
        <v>0</v>
      </c>
      <c r="AF62" s="287">
        <f t="shared" si="1"/>
        <v>0</v>
      </c>
    </row>
    <row r="63" spans="1:32" ht="21" customHeight="1" thickTop="1" thickBot="1">
      <c r="A63" s="288" t="str">
        <f t="shared" si="2"/>
        <v>ერთწლიანი კულტურა 2</v>
      </c>
      <c r="B63" s="509" t="s">
        <v>28</v>
      </c>
      <c r="C63" s="510"/>
      <c r="D63" s="510"/>
      <c r="E63" s="419">
        <v>0.3</v>
      </c>
      <c r="F63" s="420"/>
      <c r="G63" s="421" t="s">
        <v>643</v>
      </c>
      <c r="H63" s="422"/>
      <c r="I63" s="422"/>
      <c r="J63" s="423"/>
      <c r="K63" s="278">
        <v>6</v>
      </c>
      <c r="L63" s="280" t="s">
        <v>301</v>
      </c>
      <c r="M63" s="278"/>
      <c r="N63" s="278"/>
      <c r="O63" s="278"/>
      <c r="P63" s="280" t="s">
        <v>313</v>
      </c>
      <c r="Q63" s="278"/>
      <c r="R63" s="278"/>
      <c r="S63" s="278"/>
      <c r="T63" s="280" t="s">
        <v>313</v>
      </c>
      <c r="U63" s="281"/>
      <c r="V63" s="281"/>
      <c r="W63" s="281"/>
      <c r="X63" s="280" t="s">
        <v>328</v>
      </c>
      <c r="Y63" s="281"/>
      <c r="Z63" s="281"/>
      <c r="AA63" s="280" t="s">
        <v>336</v>
      </c>
      <c r="AB63" s="281"/>
      <c r="AC63" s="282"/>
      <c r="AE63" s="286">
        <f t="shared" si="0"/>
        <v>0</v>
      </c>
      <c r="AF63" s="287">
        <f t="shared" si="1"/>
        <v>0</v>
      </c>
    </row>
    <row r="64" spans="1:32" ht="21" customHeight="1" thickTop="1" thickBot="1">
      <c r="A64" s="288" t="str">
        <f t="shared" si="2"/>
        <v>ერთწლიანი კულტურა 3</v>
      </c>
      <c r="B64" s="509" t="s">
        <v>38</v>
      </c>
      <c r="C64" s="510"/>
      <c r="D64" s="510"/>
      <c r="E64" s="419">
        <v>0.3</v>
      </c>
      <c r="F64" s="420"/>
      <c r="G64" s="424"/>
      <c r="H64" s="425"/>
      <c r="I64" s="425"/>
      <c r="J64" s="426"/>
      <c r="K64" s="278">
        <v>7</v>
      </c>
      <c r="L64" s="280" t="s">
        <v>302</v>
      </c>
      <c r="M64" s="278"/>
      <c r="N64" s="278"/>
      <c r="O64" s="278"/>
      <c r="P64" s="280" t="s">
        <v>316</v>
      </c>
      <c r="Q64" s="278"/>
      <c r="R64" s="278"/>
      <c r="S64" s="278"/>
      <c r="T64" s="280" t="s">
        <v>316</v>
      </c>
      <c r="U64" s="281"/>
      <c r="V64" s="281"/>
      <c r="W64" s="281"/>
      <c r="X64" s="280" t="s">
        <v>329</v>
      </c>
      <c r="Y64" s="281"/>
      <c r="Z64" s="281"/>
      <c r="AA64" s="280" t="s">
        <v>337</v>
      </c>
      <c r="AB64" s="281"/>
      <c r="AC64" s="282"/>
      <c r="AE64" s="286" t="str">
        <f t="shared" si="0"/>
        <v>თხილი</v>
      </c>
      <c r="AF64" s="287">
        <f t="shared" si="1"/>
        <v>0.4</v>
      </c>
    </row>
    <row r="65" spans="1:32" ht="21" customHeight="1" thickTop="1" thickBot="1">
      <c r="A65" s="288" t="str">
        <f t="shared" si="2"/>
        <v>ერთწლიანი კულტურა 4</v>
      </c>
      <c r="B65" s="509"/>
      <c r="C65" s="510"/>
      <c r="D65" s="510"/>
      <c r="E65" s="419"/>
      <c r="F65" s="420"/>
      <c r="G65" s="522" t="str">
        <f>IF(G61="","","2. პროდუქციის რეალიზაცია (სახეობა, ფასი, მარაგი)")</f>
        <v>2. პროდუქციის რეალიზაცია (სახეობა, ფასი, მარაგი)</v>
      </c>
      <c r="H65" s="523"/>
      <c r="I65" s="523"/>
      <c r="J65" s="524"/>
      <c r="K65" s="278">
        <v>8</v>
      </c>
      <c r="L65" s="280" t="s">
        <v>9</v>
      </c>
      <c r="M65" s="278"/>
      <c r="N65" s="278"/>
      <c r="O65" s="278"/>
      <c r="P65" s="280" t="s">
        <v>317</v>
      </c>
      <c r="Q65" s="278"/>
      <c r="R65" s="278"/>
      <c r="S65" s="278"/>
      <c r="T65" s="280" t="s">
        <v>317</v>
      </c>
      <c r="U65" s="281"/>
      <c r="V65" s="281"/>
      <c r="W65" s="281"/>
      <c r="X65" s="280" t="s">
        <v>330</v>
      </c>
      <c r="Y65" s="281"/>
      <c r="Z65" s="281"/>
      <c r="AA65" s="280" t="s">
        <v>313</v>
      </c>
      <c r="AB65" s="281"/>
      <c r="AC65" s="282"/>
      <c r="AE65" s="286">
        <f t="shared" si="0"/>
        <v>0</v>
      </c>
      <c r="AF65" s="287">
        <f t="shared" si="1"/>
        <v>0</v>
      </c>
    </row>
    <row r="66" spans="1:32" ht="30" customHeight="1" thickTop="1" thickBot="1">
      <c r="A66" s="288" t="str">
        <f t="shared" si="2"/>
        <v>ერთწლიანი კულტურა 5</v>
      </c>
      <c r="B66" s="509"/>
      <c r="C66" s="510"/>
      <c r="D66" s="510"/>
      <c r="E66" s="419"/>
      <c r="F66" s="420"/>
      <c r="G66" s="421" t="s">
        <v>644</v>
      </c>
      <c r="H66" s="422"/>
      <c r="I66" s="422"/>
      <c r="J66" s="423"/>
      <c r="K66" s="278">
        <v>9</v>
      </c>
      <c r="L66" s="280" t="s">
        <v>10</v>
      </c>
      <c r="M66" s="278"/>
      <c r="N66" s="278"/>
      <c r="O66" s="278"/>
      <c r="P66" s="280" t="s">
        <v>318</v>
      </c>
      <c r="Q66" s="278"/>
      <c r="R66" s="278"/>
      <c r="S66" s="278"/>
      <c r="T66" s="280" t="s">
        <v>313</v>
      </c>
      <c r="U66" s="281"/>
      <c r="V66" s="281"/>
      <c r="W66" s="281"/>
      <c r="X66" s="280" t="s">
        <v>331</v>
      </c>
      <c r="Y66" s="281"/>
      <c r="Z66" s="281"/>
      <c r="AA66" s="280" t="s">
        <v>313</v>
      </c>
      <c r="AB66" s="281"/>
      <c r="AC66" s="282"/>
      <c r="AE66" s="286">
        <f t="shared" si="0"/>
        <v>0</v>
      </c>
      <c r="AF66" s="287">
        <f t="shared" si="1"/>
        <v>0</v>
      </c>
    </row>
    <row r="67" spans="1:32" ht="21" customHeight="1" thickTop="1" thickBot="1">
      <c r="A67" s="288" t="str">
        <f t="shared" si="2"/>
        <v>მრავალწლიანი კულტურა 1</v>
      </c>
      <c r="B67" s="509" t="s">
        <v>55</v>
      </c>
      <c r="C67" s="510"/>
      <c r="D67" s="510"/>
      <c r="E67" s="419">
        <v>0.4</v>
      </c>
      <c r="F67" s="420"/>
      <c r="G67" s="424"/>
      <c r="H67" s="425"/>
      <c r="I67" s="425"/>
      <c r="J67" s="426"/>
      <c r="K67" s="278">
        <v>10</v>
      </c>
      <c r="L67" s="280" t="s">
        <v>11</v>
      </c>
      <c r="M67" s="278"/>
      <c r="N67" s="278"/>
      <c r="O67" s="278"/>
      <c r="P67" s="280" t="s">
        <v>319</v>
      </c>
      <c r="Q67" s="278"/>
      <c r="R67" s="278"/>
      <c r="S67" s="278"/>
      <c r="T67" s="280" t="s">
        <v>313</v>
      </c>
      <c r="U67" s="281"/>
      <c r="V67" s="281"/>
      <c r="W67" s="281"/>
      <c r="X67" s="280" t="s">
        <v>319</v>
      </c>
      <c r="Y67" s="281"/>
      <c r="Z67" s="281"/>
      <c r="AA67" s="280" t="s">
        <v>313</v>
      </c>
      <c r="AB67" s="281"/>
      <c r="AC67" s="282"/>
      <c r="AE67" s="286">
        <f t="shared" si="0"/>
        <v>0</v>
      </c>
      <c r="AF67" s="287">
        <f t="shared" si="1"/>
        <v>0</v>
      </c>
    </row>
    <row r="68" spans="1:32" ht="21" customHeight="1" thickTop="1" thickBot="1">
      <c r="A68" s="288" t="str">
        <f t="shared" si="2"/>
        <v>მრავალწლიანი კულტურა 2</v>
      </c>
      <c r="B68" s="509"/>
      <c r="C68" s="510"/>
      <c r="D68" s="510"/>
      <c r="E68" s="419"/>
      <c r="F68" s="420"/>
      <c r="G68" s="506" t="str">
        <f>IF(G61="","","3. მოხდა თუ არა გასული 1 წლის ნამატის რეალიზაცია (გაყიდული ნამატის ასაკი და ღირებულება)")</f>
        <v>3. მოხდა თუ არა გასული 1 წლის ნამატის რეალიზაცია (გაყიდული ნამატის ასაკი და ღირებულება)</v>
      </c>
      <c r="H68" s="507"/>
      <c r="I68" s="507"/>
      <c r="J68" s="508"/>
      <c r="K68" s="278">
        <v>11</v>
      </c>
      <c r="L68" s="280" t="s">
        <v>303</v>
      </c>
      <c r="M68" s="278"/>
      <c r="N68" s="278"/>
      <c r="O68" s="278"/>
      <c r="P68" s="280" t="s">
        <v>320</v>
      </c>
      <c r="Q68" s="278"/>
      <c r="R68" s="278"/>
      <c r="S68" s="278"/>
      <c r="T68" s="280" t="s">
        <v>320</v>
      </c>
      <c r="U68" s="281"/>
      <c r="V68" s="281"/>
      <c r="W68" s="281"/>
      <c r="X68" s="280" t="s">
        <v>332</v>
      </c>
      <c r="Y68" s="281"/>
      <c r="Z68" s="281"/>
      <c r="AA68" s="280" t="s">
        <v>313</v>
      </c>
      <c r="AB68" s="281"/>
      <c r="AC68" s="282"/>
      <c r="AE68" s="286">
        <f t="shared" si="0"/>
        <v>0</v>
      </c>
      <c r="AF68" s="287">
        <f t="shared" si="1"/>
        <v>0</v>
      </c>
    </row>
    <row r="69" spans="1:32" ht="30" customHeight="1" thickTop="1" thickBot="1">
      <c r="A69" s="288" t="str">
        <f t="shared" si="2"/>
        <v>მრავალწლიანი კულტურა 3</v>
      </c>
      <c r="B69" s="509"/>
      <c r="C69" s="510"/>
      <c r="D69" s="510"/>
      <c r="E69" s="419"/>
      <c r="F69" s="420"/>
      <c r="G69" s="421" t="s">
        <v>655</v>
      </c>
      <c r="H69" s="422"/>
      <c r="I69" s="422"/>
      <c r="J69" s="423"/>
      <c r="K69" s="278">
        <v>12</v>
      </c>
      <c r="L69" s="280" t="s">
        <v>304</v>
      </c>
      <c r="M69" s="278"/>
      <c r="N69" s="278"/>
      <c r="O69" s="278"/>
      <c r="P69" s="280" t="s">
        <v>321</v>
      </c>
      <c r="Q69" s="278"/>
      <c r="R69" s="278"/>
      <c r="S69" s="278"/>
      <c r="T69" s="280" t="s">
        <v>321</v>
      </c>
      <c r="U69" s="281"/>
      <c r="V69" s="281"/>
      <c r="W69" s="281"/>
      <c r="X69" s="280" t="s">
        <v>333</v>
      </c>
      <c r="Y69" s="281"/>
      <c r="Z69" s="281"/>
      <c r="AA69" s="280" t="s">
        <v>321</v>
      </c>
      <c r="AB69" s="281"/>
      <c r="AC69" s="282"/>
      <c r="AE69" s="286" t="str">
        <f t="shared" si="0"/>
        <v>მეწველი ძროხა</v>
      </c>
      <c r="AF69" s="287">
        <f t="shared" si="1"/>
        <v>4</v>
      </c>
    </row>
    <row r="70" spans="1:32" ht="21" customHeight="1" thickTop="1" thickBot="1">
      <c r="A70" s="288" t="str">
        <f t="shared" si="2"/>
        <v>მრავალწლიანი კულტურა 4</v>
      </c>
      <c r="B70" s="509"/>
      <c r="C70" s="510"/>
      <c r="D70" s="510"/>
      <c r="E70" s="419"/>
      <c r="F70" s="420"/>
      <c r="G70" s="424"/>
      <c r="H70" s="425"/>
      <c r="I70" s="425"/>
      <c r="J70" s="426"/>
      <c r="K70" s="278">
        <v>13</v>
      </c>
      <c r="L70" s="280" t="s">
        <v>12</v>
      </c>
      <c r="M70" s="278"/>
      <c r="N70" s="278"/>
      <c r="O70" s="278"/>
      <c r="P70" s="280" t="s">
        <v>322</v>
      </c>
      <c r="Q70" s="278"/>
      <c r="R70" s="278"/>
      <c r="S70" s="278"/>
      <c r="T70" s="280" t="s">
        <v>322</v>
      </c>
      <c r="U70" s="281"/>
      <c r="V70" s="281"/>
      <c r="W70" s="281"/>
      <c r="X70" s="280" t="s">
        <v>334</v>
      </c>
      <c r="Y70" s="281"/>
      <c r="Z70" s="281"/>
      <c r="AA70" s="280" t="s">
        <v>322</v>
      </c>
      <c r="AB70" s="281"/>
      <c r="AC70" s="282"/>
      <c r="AE70" s="286" t="str">
        <f t="shared" si="0"/>
        <v>ფუტკარი</v>
      </c>
      <c r="AF70" s="287">
        <f t="shared" si="1"/>
        <v>15</v>
      </c>
    </row>
    <row r="71" spans="1:32" ht="21" customHeight="1" thickTop="1" thickBot="1">
      <c r="A71" s="288" t="str">
        <f t="shared" si="2"/>
        <v>მრავალწლიანი კულტურა 5</v>
      </c>
      <c r="B71" s="509"/>
      <c r="C71" s="510"/>
      <c r="D71" s="510"/>
      <c r="E71" s="419"/>
      <c r="F71" s="420"/>
      <c r="G71" s="506" t="str">
        <f>IF(G61="","","4. სადგომის მოცულობა (მოსათავსებელი პირუტყვის მაქს. რაოდენობა)")</f>
        <v>4. სადგომის მოცულობა (მოსათავსებელი პირუტყვის მაქს. რაოდენობა)</v>
      </c>
      <c r="H71" s="507"/>
      <c r="I71" s="507"/>
      <c r="J71" s="508"/>
      <c r="K71" s="278">
        <v>14</v>
      </c>
      <c r="L71" s="280" t="s">
        <v>13</v>
      </c>
      <c r="M71" s="278"/>
      <c r="N71" s="278"/>
      <c r="O71" s="278"/>
      <c r="P71" s="280" t="s">
        <v>323</v>
      </c>
      <c r="Q71" s="278"/>
      <c r="R71" s="278"/>
      <c r="S71" s="278"/>
      <c r="T71" s="280" t="s">
        <v>323</v>
      </c>
      <c r="U71" s="281"/>
      <c r="V71" s="281"/>
      <c r="W71" s="281"/>
      <c r="X71" s="280" t="s">
        <v>323</v>
      </c>
      <c r="Y71" s="281"/>
      <c r="Z71" s="281"/>
      <c r="AA71" s="280" t="s">
        <v>323</v>
      </c>
      <c r="AB71" s="281"/>
      <c r="AC71" s="282"/>
      <c r="AE71" s="286">
        <f t="shared" si="0"/>
        <v>0</v>
      </c>
      <c r="AF71" s="287">
        <f t="shared" si="1"/>
        <v>0</v>
      </c>
    </row>
    <row r="72" spans="1:32" ht="30" customHeight="1" thickTop="1" thickBot="1">
      <c r="A72" s="288" t="str">
        <f t="shared" si="2"/>
        <v>მეცხოველეობა 1</v>
      </c>
      <c r="B72" s="509" t="s">
        <v>75</v>
      </c>
      <c r="C72" s="510"/>
      <c r="D72" s="510"/>
      <c r="E72" s="419">
        <v>4</v>
      </c>
      <c r="F72" s="420"/>
      <c r="G72" s="421" t="s">
        <v>645</v>
      </c>
      <c r="H72" s="422"/>
      <c r="I72" s="422"/>
      <c r="J72" s="423"/>
      <c r="K72" s="278">
        <v>15</v>
      </c>
      <c r="L72" s="280" t="s">
        <v>14</v>
      </c>
      <c r="M72" s="278"/>
      <c r="N72" s="278"/>
      <c r="O72" s="278"/>
      <c r="P72" s="280" t="s">
        <v>324</v>
      </c>
      <c r="Q72" s="278"/>
      <c r="R72" s="278"/>
      <c r="S72" s="278"/>
      <c r="T72" s="280" t="s">
        <v>324</v>
      </c>
      <c r="U72" s="281"/>
      <c r="V72" s="281"/>
      <c r="W72" s="281"/>
      <c r="X72" s="280" t="s">
        <v>335</v>
      </c>
      <c r="Y72" s="281"/>
      <c r="Z72" s="281"/>
      <c r="AA72" s="280" t="s">
        <v>313</v>
      </c>
      <c r="AB72" s="281"/>
      <c r="AC72" s="282"/>
      <c r="AE72" s="286">
        <f t="shared" si="0"/>
        <v>0</v>
      </c>
      <c r="AF72" s="287">
        <f t="shared" si="1"/>
        <v>0</v>
      </c>
    </row>
    <row r="73" spans="1:32" ht="21" customHeight="1" thickTop="1" thickBot="1">
      <c r="A73" s="288" t="str">
        <f t="shared" si="2"/>
        <v>მეცხოველეობა 2</v>
      </c>
      <c r="B73" s="509" t="s">
        <v>78</v>
      </c>
      <c r="C73" s="510"/>
      <c r="D73" s="510"/>
      <c r="E73" s="419">
        <v>15</v>
      </c>
      <c r="F73" s="420"/>
      <c r="G73" s="424"/>
      <c r="H73" s="425"/>
      <c r="I73" s="425"/>
      <c r="J73" s="426"/>
      <c r="K73" s="278">
        <v>16</v>
      </c>
      <c r="L73" s="280" t="s">
        <v>305</v>
      </c>
      <c r="M73" s="278"/>
      <c r="N73" s="278"/>
      <c r="O73" s="278"/>
      <c r="P73" s="280" t="s">
        <v>325</v>
      </c>
      <c r="Q73" s="278"/>
      <c r="R73" s="278"/>
      <c r="S73" s="278"/>
      <c r="T73" s="280" t="s">
        <v>325</v>
      </c>
      <c r="U73" s="281"/>
      <c r="V73" s="281"/>
      <c r="W73" s="281"/>
      <c r="X73" s="280" t="s">
        <v>325</v>
      </c>
      <c r="Y73" s="281"/>
      <c r="Z73" s="281"/>
      <c r="AA73" s="280" t="s">
        <v>325</v>
      </c>
      <c r="AB73" s="281"/>
      <c r="AC73" s="282"/>
      <c r="AE73" s="286">
        <f t="shared" si="0"/>
        <v>0</v>
      </c>
      <c r="AF73" s="287">
        <f t="shared" si="1"/>
        <v>0</v>
      </c>
    </row>
    <row r="74" spans="1:32" ht="21" customHeight="1" thickTop="1" thickBot="1">
      <c r="A74" s="288" t="str">
        <f t="shared" si="2"/>
        <v>მეცხოველეობა 3</v>
      </c>
      <c r="B74" s="509"/>
      <c r="C74" s="510"/>
      <c r="D74" s="510"/>
      <c r="E74" s="419"/>
      <c r="F74" s="420"/>
      <c r="G74" s="506" t="str">
        <f>IF(G61="","","5. საკვები ზამთარში (1 სულზე პრესის რაოდენობა, პრესის ფასი)")</f>
        <v>5. საკვები ზამთარში (1 სულზე პრესის რაოდენობა, პრესის ფასი)</v>
      </c>
      <c r="H74" s="507"/>
      <c r="I74" s="507"/>
      <c r="J74" s="508"/>
      <c r="K74" s="278">
        <v>17</v>
      </c>
      <c r="L74" s="280" t="s">
        <v>306</v>
      </c>
      <c r="M74" s="278"/>
      <c r="N74" s="278"/>
      <c r="O74" s="278"/>
      <c r="P74" s="280" t="s">
        <v>400</v>
      </c>
      <c r="Q74" s="281"/>
      <c r="R74" s="281"/>
      <c r="S74" s="281"/>
      <c r="T74" s="280" t="s">
        <v>400</v>
      </c>
      <c r="U74" s="281"/>
      <c r="V74" s="281"/>
      <c r="W74" s="281"/>
      <c r="X74" s="280" t="s">
        <v>400</v>
      </c>
      <c r="Y74" s="281"/>
      <c r="Z74" s="281"/>
      <c r="AA74" s="280" t="s">
        <v>400</v>
      </c>
      <c r="AB74" s="281"/>
      <c r="AC74" s="282"/>
      <c r="AD74" s="281"/>
      <c r="AE74" s="286" t="e">
        <f>#REF!</f>
        <v>#REF!</v>
      </c>
      <c r="AF74" s="287">
        <f>B87</f>
        <v>500</v>
      </c>
    </row>
    <row r="75" spans="1:32" ht="21" customHeight="1" thickTop="1" thickBot="1">
      <c r="A75" s="288" t="str">
        <f t="shared" si="2"/>
        <v>მეცხოველეობა 4</v>
      </c>
      <c r="B75" s="509"/>
      <c r="C75" s="510"/>
      <c r="D75" s="510"/>
      <c r="E75" s="419"/>
      <c r="F75" s="420"/>
      <c r="G75" s="421" t="s">
        <v>646</v>
      </c>
      <c r="H75" s="422"/>
      <c r="I75" s="422"/>
      <c r="J75" s="423"/>
      <c r="K75" s="241"/>
      <c r="L75" s="241"/>
      <c r="M75" s="241"/>
      <c r="N75" s="241"/>
      <c r="O75" s="241"/>
      <c r="P75" s="241"/>
      <c r="Q75" s="241"/>
      <c r="R75" s="241"/>
      <c r="S75" s="241"/>
      <c r="T75" s="241"/>
      <c r="U75" s="241"/>
      <c r="V75" s="241"/>
      <c r="W75" s="241"/>
    </row>
    <row r="76" spans="1:32" ht="27.75" customHeight="1" thickTop="1" thickBot="1">
      <c r="A76" s="288" t="str">
        <f t="shared" si="2"/>
        <v>მეცხოველეობა 5</v>
      </c>
      <c r="B76" s="509"/>
      <c r="C76" s="510"/>
      <c r="D76" s="510"/>
      <c r="E76" s="419"/>
      <c r="F76" s="420"/>
      <c r="G76" s="424"/>
      <c r="H76" s="425"/>
      <c r="I76" s="425"/>
      <c r="J76" s="426"/>
      <c r="K76" s="241"/>
      <c r="L76" s="248"/>
      <c r="M76" s="248" t="s">
        <v>15</v>
      </c>
      <c r="N76" s="248" t="s">
        <v>22</v>
      </c>
      <c r="O76" s="241" t="s">
        <v>404</v>
      </c>
      <c r="P76" s="241"/>
      <c r="Q76" s="241"/>
      <c r="R76" s="241"/>
      <c r="S76" s="241"/>
      <c r="T76" s="241"/>
      <c r="U76" s="241"/>
      <c r="V76" s="241"/>
      <c r="W76" s="241"/>
    </row>
    <row r="77" spans="1:32" ht="21" customHeight="1" thickTop="1" thickBot="1">
      <c r="A77" s="501" t="s">
        <v>415</v>
      </c>
      <c r="B77" s="502"/>
      <c r="C77" s="502"/>
      <c r="D77" s="502"/>
      <c r="E77" s="502"/>
      <c r="F77" s="502"/>
      <c r="G77" s="502"/>
      <c r="H77" s="502"/>
      <c r="I77" s="502"/>
      <c r="J77" s="502"/>
      <c r="K77" s="241"/>
      <c r="L77" s="248" t="s">
        <v>90</v>
      </c>
      <c r="M77" s="289">
        <f>'აგრო ბარათი'!G83/12</f>
        <v>1121.4166666666667</v>
      </c>
      <c r="N77" s="289">
        <f>'აგრო ბარათი'!H83/12</f>
        <v>377.80833333333334</v>
      </c>
      <c r="O77" s="289"/>
      <c r="P77" s="241"/>
      <c r="Q77" s="241"/>
      <c r="R77" s="241"/>
      <c r="S77" s="241"/>
      <c r="T77" s="241"/>
      <c r="U77" s="241"/>
      <c r="V77" s="241"/>
      <c r="W77" s="241"/>
    </row>
    <row r="78" spans="1:32" ht="21" customHeight="1" thickTop="1" thickBot="1">
      <c r="A78" s="288" t="s">
        <v>402</v>
      </c>
      <c r="B78" s="416">
        <f>IFERROR(VLOOKUP(B57,L77:O82,2,0),0)</f>
        <v>1121.4166666666667</v>
      </c>
      <c r="C78" s="417"/>
      <c r="D78" s="417"/>
      <c r="E78" s="417"/>
      <c r="F78" s="417"/>
      <c r="G78" s="417"/>
      <c r="H78" s="417"/>
      <c r="I78" s="417"/>
      <c r="J78" s="418"/>
      <c r="K78" s="241"/>
      <c r="L78" s="248" t="s">
        <v>86</v>
      </c>
      <c r="M78" s="289">
        <f>E62</f>
        <v>1</v>
      </c>
      <c r="N78" s="289">
        <f>E63</f>
        <v>0.3</v>
      </c>
      <c r="O78" s="289">
        <f>SUM(E71:F76)</f>
        <v>19</v>
      </c>
      <c r="P78" s="241"/>
      <c r="Q78" s="241"/>
      <c r="R78" s="241"/>
      <c r="S78" s="241"/>
      <c r="T78" s="241"/>
      <c r="U78" s="241"/>
      <c r="V78" s="241"/>
      <c r="W78" s="241"/>
    </row>
    <row r="79" spans="1:32" ht="21" customHeight="1" thickTop="1" thickBot="1">
      <c r="A79" s="288" t="s">
        <v>22</v>
      </c>
      <c r="B79" s="416">
        <f>IFERROR(VLOOKUP(B57,L77:O82,3,0),0)</f>
        <v>377.80833333333334</v>
      </c>
      <c r="C79" s="417"/>
      <c r="D79" s="417"/>
      <c r="E79" s="417"/>
      <c r="F79" s="417"/>
      <c r="G79" s="417"/>
      <c r="H79" s="417"/>
      <c r="I79" s="417"/>
      <c r="J79" s="418"/>
      <c r="K79" s="241"/>
      <c r="L79" s="248" t="s">
        <v>87</v>
      </c>
      <c r="M79" s="289">
        <f>E62</f>
        <v>1</v>
      </c>
      <c r="N79" s="289">
        <f>E63</f>
        <v>0.3</v>
      </c>
      <c r="O79" s="289">
        <f>SUM(E71:F76)</f>
        <v>19</v>
      </c>
      <c r="P79" s="241"/>
      <c r="Q79" s="241"/>
      <c r="R79" s="241"/>
      <c r="S79" s="241"/>
      <c r="T79" s="241"/>
      <c r="U79" s="241"/>
      <c r="V79" s="241"/>
      <c r="W79" s="241"/>
    </row>
    <row r="80" spans="1:32" ht="36" customHeight="1" thickTop="1" thickBot="1">
      <c r="A80" s="288" t="s">
        <v>404</v>
      </c>
      <c r="B80" s="416">
        <f>IFERROR(VLOOKUP(B57,L77:O82,4,0),0)</f>
        <v>0</v>
      </c>
      <c r="C80" s="417"/>
      <c r="D80" s="417"/>
      <c r="E80" s="417"/>
      <c r="F80" s="417"/>
      <c r="G80" s="417"/>
      <c r="H80" s="417"/>
      <c r="I80" s="417"/>
      <c r="J80" s="418"/>
      <c r="K80" s="241"/>
      <c r="L80" s="291" t="s">
        <v>88</v>
      </c>
      <c r="M80" s="289">
        <f>საქმიანობა!E62</f>
        <v>1</v>
      </c>
      <c r="N80" s="289">
        <f>SUM(საქმიანობა!F171:F177)</f>
        <v>0</v>
      </c>
      <c r="O80" s="289">
        <f>SUM(E71:F76)</f>
        <v>19</v>
      </c>
      <c r="P80" s="241"/>
      <c r="Q80" s="241"/>
      <c r="R80" s="241"/>
      <c r="S80" s="241"/>
      <c r="T80" s="241"/>
      <c r="U80" s="241"/>
      <c r="V80" s="241"/>
      <c r="W80" s="241"/>
    </row>
    <row r="81" spans="1:23" ht="36" customHeight="1" thickTop="1" thickBot="1">
      <c r="A81" s="288" t="s">
        <v>405</v>
      </c>
      <c r="B81" s="410"/>
      <c r="C81" s="411"/>
      <c r="D81" s="411"/>
      <c r="E81" s="411"/>
      <c r="F81" s="411"/>
      <c r="G81" s="411"/>
      <c r="H81" s="411"/>
      <c r="I81" s="411"/>
      <c r="J81" s="412"/>
      <c r="K81" s="241"/>
      <c r="L81" s="291" t="s">
        <v>89</v>
      </c>
      <c r="M81" s="289">
        <f>E62</f>
        <v>1</v>
      </c>
      <c r="N81" s="289">
        <f>SUM(საქმიანობა!F171:F177)</f>
        <v>0</v>
      </c>
      <c r="O81" s="289">
        <f>SUM(E71:F76)</f>
        <v>19</v>
      </c>
      <c r="P81" s="241"/>
      <c r="Q81" s="241"/>
      <c r="R81" s="241"/>
      <c r="S81" s="241"/>
      <c r="T81" s="241"/>
      <c r="U81" s="241"/>
      <c r="V81" s="241"/>
      <c r="W81" s="241"/>
    </row>
    <row r="82" spans="1:23" ht="36" customHeight="1" thickTop="1" thickBot="1">
      <c r="A82" s="290" t="s">
        <v>403</v>
      </c>
      <c r="B82" s="413">
        <f>B78-B79-B80-B81</f>
        <v>743.60833333333335</v>
      </c>
      <c r="C82" s="414"/>
      <c r="D82" s="414"/>
      <c r="E82" s="414"/>
      <c r="F82" s="414"/>
      <c r="G82" s="414"/>
      <c r="H82" s="414"/>
      <c r="I82" s="414"/>
      <c r="J82" s="415"/>
      <c r="K82" s="241"/>
      <c r="L82" s="291" t="s">
        <v>157</v>
      </c>
      <c r="M82" s="289">
        <f>B88+B87</f>
        <v>743.60833333333335</v>
      </c>
      <c r="N82" s="289"/>
      <c r="O82" s="289"/>
      <c r="P82" s="241"/>
      <c r="Q82" s="241"/>
    </row>
    <row r="83" spans="1:23" ht="21" customHeight="1" thickTop="1" thickBot="1">
      <c r="A83" s="290" t="s">
        <v>422</v>
      </c>
      <c r="B83" s="413">
        <f>O106</f>
        <v>0</v>
      </c>
      <c r="C83" s="414"/>
      <c r="D83" s="414"/>
      <c r="E83" s="414"/>
      <c r="F83" s="414"/>
      <c r="G83" s="414"/>
      <c r="H83" s="414"/>
      <c r="I83" s="414"/>
      <c r="J83" s="415"/>
      <c r="K83" s="241"/>
      <c r="L83" s="292" t="s">
        <v>75</v>
      </c>
      <c r="M83" s="292">
        <f>'აგრო ბარათი'!I75/12+'აგრო ბარათი დამატებითი'!I74/12</f>
        <v>270.40000000000003</v>
      </c>
      <c r="P83" s="241"/>
      <c r="Q83" s="241"/>
    </row>
    <row r="84" spans="1:23" ht="21" customHeight="1" thickTop="1" thickBot="1">
      <c r="A84" s="290" t="s">
        <v>437</v>
      </c>
      <c r="B84" s="413">
        <f>O118</f>
        <v>0</v>
      </c>
      <c r="C84" s="414"/>
      <c r="D84" s="414"/>
      <c r="E84" s="414"/>
      <c r="F84" s="414"/>
      <c r="G84" s="414"/>
      <c r="H84" s="414"/>
      <c r="I84" s="414"/>
      <c r="J84" s="415"/>
      <c r="K84" s="241"/>
      <c r="L84" s="292" t="s">
        <v>509</v>
      </c>
      <c r="M84" s="293">
        <f>IFERROR(M83/M82,"")</f>
        <v>0.36363228850313228</v>
      </c>
      <c r="P84" s="241"/>
      <c r="Q84" s="241"/>
    </row>
    <row r="85" spans="1:23" ht="21" customHeight="1" thickTop="1" thickBot="1">
      <c r="A85" s="288" t="s">
        <v>378</v>
      </c>
      <c r="B85" s="410"/>
      <c r="C85" s="411"/>
      <c r="D85" s="411"/>
      <c r="E85" s="411"/>
      <c r="F85" s="411"/>
      <c r="G85" s="411"/>
      <c r="H85" s="411"/>
      <c r="I85" s="411"/>
      <c r="J85" s="412"/>
      <c r="K85" s="241"/>
      <c r="O85" s="294"/>
    </row>
    <row r="86" spans="1:23" ht="21" customHeight="1" thickTop="1" thickBot="1">
      <c r="A86" s="288" t="s">
        <v>379</v>
      </c>
      <c r="B86" s="410"/>
      <c r="C86" s="411"/>
      <c r="D86" s="411"/>
      <c r="E86" s="411"/>
      <c r="F86" s="411"/>
      <c r="G86" s="411"/>
      <c r="H86" s="411"/>
      <c r="I86" s="411"/>
      <c r="J86" s="412"/>
      <c r="K86" s="241"/>
      <c r="N86" s="243" t="s">
        <v>599</v>
      </c>
      <c r="O86" s="295">
        <f>IFERROR(IF(I49="თანხმობა",F49,0),0)</f>
        <v>0</v>
      </c>
      <c r="Q86" s="241"/>
    </row>
    <row r="87" spans="1:23" ht="33" customHeight="1" thickTop="1" thickBot="1">
      <c r="A87" s="288" t="s">
        <v>155</v>
      </c>
      <c r="B87" s="560">
        <f>MAX(M8:M10)</f>
        <v>500</v>
      </c>
      <c r="C87" s="561"/>
      <c r="D87" s="561"/>
      <c r="E87" s="561"/>
      <c r="F87" s="561"/>
      <c r="G87" s="561"/>
      <c r="H87" s="561"/>
      <c r="I87" s="561"/>
      <c r="J87" s="562"/>
      <c r="K87" s="241"/>
      <c r="M87" s="296"/>
      <c r="N87" s="296" t="s">
        <v>180</v>
      </c>
      <c r="O87" s="295">
        <f>IFERROR(IF(I49="თანხმობა",(B32*E34)+O86+J46,B32*E34+J46),0)</f>
        <v>108.13555555555556</v>
      </c>
      <c r="P87" s="295">
        <f>IFERROR(B32*J34,0)</f>
        <v>0</v>
      </c>
      <c r="Q87" s="296"/>
      <c r="R87" s="297" t="s">
        <v>561</v>
      </c>
      <c r="S87" s="298">
        <f>O87+O88+P87+P88</f>
        <v>108.13555555555556</v>
      </c>
      <c r="T87" s="295">
        <f>IFERROR(-PMT(C29/12,48,I34)+P88,"")</f>
        <v>0</v>
      </c>
    </row>
    <row r="88" spans="1:23" ht="38.25" customHeight="1" thickTop="1" thickBot="1">
      <c r="A88" s="288" t="s">
        <v>157</v>
      </c>
      <c r="B88" s="413">
        <f>B82+B85+B86-B87</f>
        <v>243.60833333333335</v>
      </c>
      <c r="C88" s="414"/>
      <c r="D88" s="414"/>
      <c r="E88" s="414"/>
      <c r="F88" s="414"/>
      <c r="G88" s="414"/>
      <c r="H88" s="414"/>
      <c r="I88" s="414"/>
      <c r="J88" s="415"/>
      <c r="K88" s="241"/>
      <c r="M88" s="296"/>
      <c r="N88" s="296" t="s">
        <v>560</v>
      </c>
      <c r="O88" s="295">
        <f>SUM(R102:R117)</f>
        <v>0</v>
      </c>
      <c r="P88" s="295">
        <f>SUM(S102:S117)</f>
        <v>0</v>
      </c>
      <c r="Q88" s="297"/>
      <c r="R88" s="299" t="s">
        <v>559</v>
      </c>
      <c r="S88" s="298">
        <f>(B88)*0.9</f>
        <v>219.24750000000003</v>
      </c>
      <c r="T88" s="296"/>
    </row>
    <row r="89" spans="1:23" ht="22.5" customHeight="1" thickTop="1" thickBot="1">
      <c r="A89" s="247" t="s">
        <v>374</v>
      </c>
      <c r="B89" s="498">
        <f>IFERROR(IF(I49="თანხმობა",K106+B32+F49+J46,K106+B32+J46),0)</f>
        <v>108.13555555555556</v>
      </c>
      <c r="C89" s="499"/>
      <c r="D89" s="499"/>
      <c r="E89" s="499"/>
      <c r="F89" s="499"/>
      <c r="G89" s="499"/>
      <c r="H89" s="499"/>
      <c r="I89" s="499"/>
      <c r="J89" s="500"/>
      <c r="K89" s="241"/>
      <c r="M89" s="296"/>
      <c r="N89" s="296"/>
      <c r="O89" s="297"/>
      <c r="P89" s="297"/>
      <c r="Q89" s="296"/>
      <c r="R89" s="297"/>
      <c r="S89" s="296"/>
      <c r="T89" s="296"/>
    </row>
    <row r="90" spans="1:23" ht="21" customHeight="1" thickTop="1" thickBot="1">
      <c r="A90" s="247" t="s">
        <v>436</v>
      </c>
      <c r="B90" s="498">
        <f>K118</f>
        <v>0</v>
      </c>
      <c r="C90" s="499"/>
      <c r="D90" s="499"/>
      <c r="E90" s="499"/>
      <c r="F90" s="499"/>
      <c r="G90" s="499"/>
      <c r="H90" s="499"/>
      <c r="I90" s="499"/>
      <c r="J90" s="500"/>
      <c r="K90" s="241"/>
      <c r="M90" s="296"/>
      <c r="N90" s="296"/>
      <c r="O90" s="296"/>
      <c r="P90" s="300" t="s">
        <v>553</v>
      </c>
      <c r="Q90" s="301">
        <f>IFERROR((O88+O87+P87+P88)/(B88+B83+B84),"")</f>
        <v>0.44389103638581967</v>
      </c>
      <c r="R90" s="300" t="s">
        <v>225</v>
      </c>
      <c r="S90" s="301">
        <f>IFERROR(((P87+P88)/(S91-O87-O88))," ")</f>
        <v>0</v>
      </c>
      <c r="T90" s="301">
        <f>IFERROR((T87/(S91-O87-O88))," ")</f>
        <v>0</v>
      </c>
    </row>
    <row r="91" spans="1:23" ht="33" customHeight="1" thickTop="1" thickBot="1">
      <c r="A91" s="247" t="s">
        <v>156</v>
      </c>
      <c r="B91" s="416">
        <f>B82+B85+B86-B87-B89-B90</f>
        <v>135.47277777777779</v>
      </c>
      <c r="C91" s="417"/>
      <c r="D91" s="417"/>
      <c r="E91" s="417"/>
      <c r="F91" s="417"/>
      <c r="G91" s="417"/>
      <c r="H91" s="417"/>
      <c r="I91" s="417"/>
      <c r="J91" s="417"/>
      <c r="K91" s="241"/>
      <c r="M91" s="302">
        <v>1</v>
      </c>
      <c r="N91" s="303">
        <v>0.25</v>
      </c>
      <c r="O91" s="303">
        <v>0.35</v>
      </c>
      <c r="P91" s="297"/>
      <c r="Q91" s="297"/>
      <c r="R91" s="304" t="s">
        <v>555</v>
      </c>
      <c r="S91" s="305">
        <f>(B88+B87+B83+B84)</f>
        <v>743.60833333333335</v>
      </c>
      <c r="T91" s="296"/>
    </row>
    <row r="92" spans="1:23" ht="21" customHeight="1" thickTop="1" thickBot="1">
      <c r="A92" s="374" t="s">
        <v>363</v>
      </c>
      <c r="B92" s="503" t="str">
        <f>IF((SUM(G103:G106)+SUM(G109:G118))&gt;0,"დიახ","არა")</f>
        <v>არა</v>
      </c>
      <c r="C92" s="504"/>
      <c r="D92" s="504"/>
      <c r="E92" s="504"/>
      <c r="F92" s="504"/>
      <c r="G92" s="504"/>
      <c r="H92" s="504"/>
      <c r="I92" s="504"/>
      <c r="J92" s="505"/>
      <c r="K92" s="241"/>
      <c r="M92" s="302">
        <v>1000</v>
      </c>
      <c r="N92" s="303">
        <v>0.35</v>
      </c>
      <c r="O92" s="303">
        <v>0.45</v>
      </c>
      <c r="P92" s="297"/>
      <c r="Q92" s="297"/>
      <c r="R92" s="306" t="s">
        <v>535</v>
      </c>
      <c r="S92" s="307">
        <f>IFERROR(ROUNDDOWN(-PV(34%/12,48,S91*VLOOKUP(S91,M91:N94,2)),-2),"")</f>
        <v>4800</v>
      </c>
      <c r="T92" s="296"/>
    </row>
    <row r="93" spans="1:23" ht="33.75" customHeight="1" thickBot="1">
      <c r="A93" s="637" t="s">
        <v>627</v>
      </c>
      <c r="B93" s="638"/>
      <c r="C93" s="638"/>
      <c r="D93" s="638"/>
      <c r="E93" s="638"/>
      <c r="F93" s="638"/>
      <c r="G93" s="638"/>
      <c r="H93" s="638"/>
      <c r="I93" s="638"/>
      <c r="J93" s="639"/>
      <c r="M93" s="302">
        <v>2000</v>
      </c>
      <c r="N93" s="303">
        <v>0.45</v>
      </c>
      <c r="O93" s="303">
        <v>0.55000000000000004</v>
      </c>
      <c r="P93" s="636"/>
      <c r="Q93" s="308"/>
      <c r="R93" s="310" t="s">
        <v>518</v>
      </c>
      <c r="S93" s="310" t="s">
        <v>153</v>
      </c>
      <c r="T93" s="296"/>
    </row>
    <row r="94" spans="1:23" ht="33.75" customHeight="1" thickTop="1" thickBot="1">
      <c r="A94" s="375"/>
      <c r="B94" s="391" t="s">
        <v>628</v>
      </c>
      <c r="C94" s="391"/>
      <c r="D94" s="391"/>
      <c r="E94" s="391"/>
      <c r="F94" s="391"/>
      <c r="G94" s="392" t="s">
        <v>629</v>
      </c>
      <c r="H94" s="392"/>
      <c r="I94" s="392"/>
      <c r="J94" s="393"/>
      <c r="M94" s="302">
        <v>4000</v>
      </c>
      <c r="N94" s="303">
        <v>0.5</v>
      </c>
      <c r="O94" s="303">
        <v>0.6</v>
      </c>
      <c r="P94" s="636"/>
      <c r="Q94" s="309"/>
      <c r="R94" s="310" t="s">
        <v>519</v>
      </c>
      <c r="S94" s="310" t="s">
        <v>154</v>
      </c>
      <c r="T94" s="296"/>
    </row>
    <row r="95" spans="1:23" ht="39.75" customHeight="1" thickTop="1" thickBot="1">
      <c r="A95" s="376" t="s">
        <v>557</v>
      </c>
      <c r="B95" s="390" t="s">
        <v>636</v>
      </c>
      <c r="C95" s="390"/>
      <c r="D95" s="390"/>
      <c r="E95" s="390"/>
      <c r="F95" s="377">
        <f>IF(OR(J33="ბიზნესი",J33="შერეული"),90%,"")</f>
        <v>0.9</v>
      </c>
      <c r="G95" s="389" t="s">
        <v>637</v>
      </c>
      <c r="H95" s="389"/>
      <c r="I95" s="389"/>
      <c r="J95" s="378">
        <f>IF(OR(J33="ბიზნესი",J33="შერეული"),Q90,"")</f>
        <v>0.44389103638581967</v>
      </c>
      <c r="K95" s="373" t="str">
        <f>IF(OR(J95&gt;F95,J95&lt;0%), "1. PTI საკონტრაქტო ვადიანობაზე, ბიზნეს მიზნობრიობით გაცემულ თანხაზე აღემატება ნორმატივს","")</f>
        <v/>
      </c>
      <c r="O95" s="297"/>
      <c r="P95" s="297"/>
      <c r="Q95" s="297"/>
      <c r="R95" s="297"/>
      <c r="S95" s="296"/>
      <c r="T95" s="296"/>
    </row>
    <row r="96" spans="1:23" ht="39.75" customHeight="1" thickTop="1" thickBot="1">
      <c r="A96" s="496" t="s">
        <v>556</v>
      </c>
      <c r="B96" s="390" t="s">
        <v>633</v>
      </c>
      <c r="C96" s="390"/>
      <c r="D96" s="390"/>
      <c r="E96" s="390"/>
      <c r="F96" s="377" t="str">
        <f>IF(J33="ბიზნესი","",IFERROR(VLOOKUP(S91,M91:O94,3)," "))</f>
        <v/>
      </c>
      <c r="G96" s="389" t="s">
        <v>635</v>
      </c>
      <c r="H96" s="389"/>
      <c r="I96" s="389"/>
      <c r="J96" s="378" t="str">
        <f>IF(J33="ბიზნესი","",S90)</f>
        <v/>
      </c>
      <c r="K96" s="373" t="str">
        <f>IF(J96&gt;F96, "2. PTI საკონტრაქტო ვადიანობაზე, სამომხმარებლო მიზნობრიობით გაცემულ თანხაზე აღემატება ნორმატივს","")</f>
        <v/>
      </c>
      <c r="O96" s="297"/>
      <c r="P96" s="297"/>
      <c r="Q96" s="297"/>
      <c r="R96" s="297"/>
      <c r="S96" s="296"/>
      <c r="T96" s="296"/>
      <c r="U96" s="241"/>
      <c r="V96" s="241"/>
      <c r="W96" s="241"/>
    </row>
    <row r="97" spans="1:23" ht="39.75" customHeight="1" thickTop="1" thickBot="1">
      <c r="A97" s="496"/>
      <c r="B97" s="390" t="s">
        <v>634</v>
      </c>
      <c r="C97" s="390"/>
      <c r="D97" s="390"/>
      <c r="E97" s="390"/>
      <c r="F97" s="377" t="str">
        <f>IF(J33="ბიზნესი","",IFERROR(VLOOKUP(S91,M91:O94,2)," "))</f>
        <v/>
      </c>
      <c r="G97" s="389" t="s">
        <v>638</v>
      </c>
      <c r="H97" s="389"/>
      <c r="I97" s="389"/>
      <c r="J97" s="378" t="str">
        <f>IF(J33="ბიზნესი","",T90)</f>
        <v/>
      </c>
      <c r="K97" s="373" t="str">
        <f>IF(J97&gt;F97, "3. PTI მაქსიმალურ ვადიანობაზე, სამომხმარებლო მიზნობრიობით გაცემულ თანხაზე აღემატება ნორმატივს","")</f>
        <v/>
      </c>
      <c r="M97" s="310"/>
      <c r="N97" s="310"/>
      <c r="O97" s="297"/>
      <c r="P97" s="297"/>
      <c r="Q97" s="297"/>
      <c r="R97" s="297"/>
      <c r="S97" s="296"/>
      <c r="T97" s="296"/>
      <c r="U97" s="241"/>
      <c r="V97" s="241"/>
      <c r="W97" s="241"/>
    </row>
    <row r="98" spans="1:23" ht="39.75" customHeight="1" thickTop="1" thickBot="1">
      <c r="A98" s="375" t="s">
        <v>562</v>
      </c>
      <c r="B98" s="640" t="s">
        <v>563</v>
      </c>
      <c r="C98" s="640"/>
      <c r="D98" s="640"/>
      <c r="E98" s="640"/>
      <c r="F98" s="380">
        <f>S88</f>
        <v>219.24750000000003</v>
      </c>
      <c r="G98" s="640" t="s">
        <v>564</v>
      </c>
      <c r="H98" s="640"/>
      <c r="I98" s="640"/>
      <c r="J98" s="381">
        <f>S87</f>
        <v>108.13555555555556</v>
      </c>
      <c r="K98" s="373" t="str">
        <f>IF(J98&gt;F98,"4. ჯამური შენატანი აღემატება მაქსიმალურ შესაძლო შენატანს","")</f>
        <v/>
      </c>
      <c r="M98" s="310"/>
      <c r="N98" s="310"/>
      <c r="O98" s="297"/>
      <c r="P98" s="297"/>
      <c r="Q98" s="297"/>
      <c r="R98" s="297"/>
      <c r="S98" s="296"/>
      <c r="T98" s="296"/>
      <c r="U98" s="241"/>
      <c r="V98" s="241"/>
      <c r="W98" s="241"/>
    </row>
    <row r="99" spans="1:23" ht="39.75" customHeight="1" thickTop="1" thickBot="1">
      <c r="A99" s="379"/>
      <c r="B99" s="491" t="s">
        <v>613</v>
      </c>
      <c r="C99" s="491"/>
      <c r="D99" s="491"/>
      <c r="E99" s="491"/>
      <c r="F99" s="382" t="str">
        <f>IF(J33="ბიზნესი","",S92)</f>
        <v/>
      </c>
      <c r="G99" s="491" t="s">
        <v>605</v>
      </c>
      <c r="H99" s="491"/>
      <c r="I99" s="491"/>
      <c r="J99" s="383">
        <f>F98-J98</f>
        <v>111.11194444444448</v>
      </c>
      <c r="K99" s="373" t="str">
        <f>IF(I34&gt;F99,"5. სამომხმარებლო მიზნობრიობით გასაცემი თანხა ცდება მაქსიმალურ ლიმიტს","")</f>
        <v/>
      </c>
      <c r="M99" s="310"/>
      <c r="N99" s="310"/>
      <c r="O99" s="297"/>
      <c r="P99" s="297"/>
      <c r="Q99" s="297"/>
      <c r="R99" s="297"/>
      <c r="S99" s="296"/>
      <c r="T99" s="296"/>
      <c r="U99" s="241"/>
      <c r="V99" s="241"/>
      <c r="W99" s="241"/>
    </row>
    <row r="100" spans="1:23" ht="96.75" customHeight="1" thickTop="1" thickBot="1">
      <c r="A100" s="384" t="s">
        <v>630</v>
      </c>
      <c r="B100" s="645" t="str">
        <f>K95&amp;" "&amp;K96&amp;" "&amp;K97&amp;" "&amp;K98&amp;" "&amp;K99</f>
        <v xml:space="preserve">    </v>
      </c>
      <c r="C100" s="646"/>
      <c r="D100" s="646"/>
      <c r="E100" s="646"/>
      <c r="F100" s="646"/>
      <c r="G100" s="646"/>
      <c r="H100" s="646"/>
      <c r="I100" s="646"/>
      <c r="J100" s="647"/>
      <c r="M100" s="310"/>
      <c r="N100" s="310"/>
      <c r="O100" s="297"/>
      <c r="P100" s="297"/>
      <c r="Q100" s="297"/>
      <c r="R100" s="297"/>
      <c r="S100" s="296"/>
      <c r="T100" s="296"/>
      <c r="U100" s="241"/>
      <c r="V100" s="241"/>
      <c r="W100" s="241"/>
    </row>
    <row r="101" spans="1:23" ht="26.25" customHeight="1" thickBot="1">
      <c r="A101" s="439" t="s">
        <v>545</v>
      </c>
      <c r="B101" s="439"/>
      <c r="C101" s="439"/>
      <c r="D101" s="439"/>
      <c r="E101" s="439"/>
      <c r="F101" s="439"/>
      <c r="G101" s="439"/>
      <c r="H101" s="439"/>
      <c r="I101" s="439"/>
      <c r="J101" s="439"/>
      <c r="K101" s="241" t="s">
        <v>490</v>
      </c>
      <c r="L101" s="241" t="s">
        <v>489</v>
      </c>
      <c r="M101" s="241"/>
      <c r="N101" s="241" t="s">
        <v>520</v>
      </c>
      <c r="O101" s="241" t="s">
        <v>521</v>
      </c>
      <c r="P101" s="241"/>
      <c r="Q101" s="241"/>
      <c r="R101" s="313" t="s">
        <v>558</v>
      </c>
      <c r="S101" s="313" t="s">
        <v>225</v>
      </c>
      <c r="U101" s="241"/>
      <c r="V101" s="241"/>
      <c r="W101" s="241"/>
    </row>
    <row r="102" spans="1:23" ht="27.75" customHeight="1" thickTop="1" thickBot="1">
      <c r="A102" s="311" t="s">
        <v>132</v>
      </c>
      <c r="B102" s="311" t="s">
        <v>474</v>
      </c>
      <c r="C102" s="311" t="s">
        <v>479</v>
      </c>
      <c r="D102" s="311" t="s">
        <v>486</v>
      </c>
      <c r="E102" s="311" t="s">
        <v>484</v>
      </c>
      <c r="F102" s="312" t="s">
        <v>485</v>
      </c>
      <c r="G102" s="311" t="s">
        <v>151</v>
      </c>
      <c r="H102" s="494" t="s">
        <v>152</v>
      </c>
      <c r="I102" s="494"/>
      <c r="J102" s="311" t="s">
        <v>227</v>
      </c>
      <c r="K102" s="315" t="str">
        <f>IF(H103="დიახ",0,IF(E103="","",IF(E103="ლარი",F103,IF(E103="დოლარი",F103*$J$2,IF(E103="ევრო",F103*$J$3)))))</f>
        <v/>
      </c>
      <c r="L102" s="316" t="str">
        <f>IF(E103="","",IF(E103="ლარი",G103,IF(E103="დოლარი",G103*$J$2,IF(E103="ევრო",G103*$J$3))))</f>
        <v/>
      </c>
      <c r="M102" s="241"/>
      <c r="N102" s="315" t="str">
        <f>IF(B103="","",IF(J103="ბიზნეს საკრედიტო ბარათი/ოვერდრაფტი",B103*0.03,IF(J103="ბიზნეს სესხი/განვადება",G103*D103/12,"")))</f>
        <v/>
      </c>
      <c r="O102" s="315" t="str">
        <f>IF(E103="დოლარი",N102*$J$2,IF(E103="ევრო",N102*$J$3,N102))</f>
        <v/>
      </c>
      <c r="P102" s="241"/>
      <c r="Q102" s="241"/>
      <c r="R102" s="317">
        <f>IF(AND(NOT(H103="დიახ"),OR(J103=$R$93,J103=$R$94)),F103,0)*T102</f>
        <v>0</v>
      </c>
      <c r="S102" s="317">
        <f>IF(AND(NOT(H103="დიახ"),OR(J103=$S$93,J103=$S$94)),F103,0)*T102</f>
        <v>0</v>
      </c>
      <c r="T102" s="243">
        <f>IF(E103="დოლარი",$J$2,IF(E103="ევრო",$J$3,1))</f>
        <v>1</v>
      </c>
      <c r="U102" s="241"/>
      <c r="V102" s="241"/>
      <c r="W102" s="241"/>
    </row>
    <row r="103" spans="1:23" ht="38.25" customHeight="1" thickTop="1" thickBot="1">
      <c r="A103" s="191"/>
      <c r="B103" s="237"/>
      <c r="C103" s="237"/>
      <c r="D103" s="192"/>
      <c r="E103" s="237"/>
      <c r="F103" s="314" t="str">
        <f>IF(B103="","",IF(OR(J103="საკრედიტო ბარათი/ოვერდრაფტი",J103="ბიზნეს საკრედიტო ბარათი/ოვერდრაფტი"),B103*0.05,IF(OR(J103="ბიზნეს სესხი/განვადება",J103="სესხი/განვადება"),-PMT(D103/12,C103,B103),"")))</f>
        <v/>
      </c>
      <c r="G103" s="237"/>
      <c r="H103" s="495"/>
      <c r="I103" s="495"/>
      <c r="J103" s="237"/>
      <c r="K103" s="315" t="str">
        <f>IF(H104="დიახ",0,IF(E104="","",IF(E104="ლარი",F104,IF(E104="დოლარი",F104*$J$2,IF(E104="ევრო",F104*$J$3)))))</f>
        <v/>
      </c>
      <c r="L103" s="316" t="str">
        <f>IF(E104="","",IF(E104="ლარი",G104,IF(E104="დოლარი",G104*$J$2,IF(E104="ევრო",G104*$J$3))))</f>
        <v/>
      </c>
      <c r="M103" s="241"/>
      <c r="N103" s="315" t="str">
        <f>IF(B104="","",IF(J104="ბიზნეს საკრედიტო ბარათი/ოვერდრაფტი",B104*0.03,IF(J104="ბიზნეს სესხი/განვადება",G104*D104/12,"")))</f>
        <v/>
      </c>
      <c r="O103" s="315" t="str">
        <f>IF(OR(J104="სესხი/განვადება",J104="საკრედიტო ბარათი/ოვერდრაფტი"),0,IF(E104="დოლარი",N103*$J$2,IF(E104="ევრო",N103*$J$3,N103)))</f>
        <v/>
      </c>
      <c r="P103" s="241"/>
      <c r="Q103" s="241"/>
      <c r="R103" s="317">
        <f>IF(AND(NOT(H104="დიახ"),OR(J104=$R$93,J104=$R$94)),F104,0)*T103</f>
        <v>0</v>
      </c>
      <c r="S103" s="317">
        <f>IF(AND(NOT(H104="დიახ"),OR(J104=$S$93,J104=$S$94)),F104,0)*T103</f>
        <v>0</v>
      </c>
      <c r="T103" s="243">
        <f>IF(E104="დოლარი",$J$2,IF(E104="ევრო",$J$3,1))</f>
        <v>1</v>
      </c>
      <c r="U103" s="241"/>
      <c r="V103" s="241"/>
      <c r="W103" s="241"/>
    </row>
    <row r="104" spans="1:23" ht="27" customHeight="1" thickTop="1" thickBot="1">
      <c r="A104" s="191"/>
      <c r="B104" s="237"/>
      <c r="C104" s="237"/>
      <c r="D104" s="192"/>
      <c r="E104" s="237"/>
      <c r="F104" s="314" t="str">
        <f>IF(B104="","",IF(OR(J104="საკრედიტო ბარათი/ოვერდრაფტი",J104="ბიზნეს საკრედიტო ბარათი/ოვერდრაფტი"),B104*0.05,IF(OR(J104="ბიზნეს სესხი/განვადება",J104="სესხი/განვადება"),-PMT(D104/12,C104,B104),"")))</f>
        <v/>
      </c>
      <c r="G104" s="237"/>
      <c r="H104" s="495"/>
      <c r="I104" s="495"/>
      <c r="J104" s="237"/>
      <c r="K104" s="315" t="str">
        <f>IF(H105="დიახ",0,IF(E105="","",IF(E105="ლარი",F105,IF(E105="დოლარი",F105*$J$2,IF(E105="ევრო",F105*$J$3)))))</f>
        <v/>
      </c>
      <c r="L104" s="316" t="str">
        <f>IF(E105="","",IF(E105="ლარი",G105,IF(E105="დოლარი",G105*$J$2,IF(E105="ევრო",G105*$J$3))))</f>
        <v/>
      </c>
      <c r="M104" s="241"/>
      <c r="N104" s="315" t="str">
        <f>IF(B105="","",IF(J105="ბიზნეს საკრედიტო ბარათი/ოვერდრაფტი",B105*0.03,IF(J105="ბიზნეს სესხი/განვადება",G105*D105/12,"")))</f>
        <v/>
      </c>
      <c r="O104" s="315" t="str">
        <f>IF(OR(J105="სესხი/განვადება",J105="საკრედიტო ბარათი/ოვერდრაფტი"),0,IF(E105="დოლარი",N104*$J$2,IF(E105="ევრო",N104*$J$3,N104)))</f>
        <v/>
      </c>
      <c r="P104" s="241"/>
      <c r="Q104" s="241"/>
      <c r="R104" s="317">
        <f>IF(AND(NOT(H105="დიახ"),OR(J105=$R$93,J105=$R$94)),F105,0)*T104</f>
        <v>0</v>
      </c>
      <c r="S104" s="317">
        <f>IF(AND(NOT(H105="დიახ"),OR(J105=$S$93,J105=$S$94)),F105,0)*T104</f>
        <v>0</v>
      </c>
      <c r="T104" s="243">
        <f>IF(E105="დოლარი",$J$2,IF(E105="ევრო",$J$3,1))</f>
        <v>1</v>
      </c>
      <c r="U104" s="241"/>
      <c r="V104" s="241"/>
      <c r="W104" s="241"/>
    </row>
    <row r="105" spans="1:23" ht="27" customHeight="1" thickTop="1" thickBot="1">
      <c r="A105" s="191"/>
      <c r="B105" s="237"/>
      <c r="C105" s="237"/>
      <c r="D105" s="192"/>
      <c r="E105" s="237"/>
      <c r="F105" s="314" t="str">
        <f>IF(B105="","",IF(OR(J105="საკრედიტო ბარათი/ოვერდრაფტი",J105="ბიზნეს საკრედიტო ბარათი/ოვერდრაფტი"),B105*0.05,IF(OR(J105="ბიზნეს სესხი/განვადება",J105="სესხი/განვადება"),-PMT(D105/12,C105,B105),"")))</f>
        <v/>
      </c>
      <c r="G105" s="237"/>
      <c r="H105" s="495"/>
      <c r="I105" s="495"/>
      <c r="J105" s="237"/>
      <c r="K105" s="315" t="str">
        <f>IF(H106="დიახ",0,IF(E106="","",IF(E106="ლარი",F106,IF(E106="დოლარი",F106*$J$2,IF(E106="ევრო",F106*$J$3)))))</f>
        <v/>
      </c>
      <c r="L105" s="316" t="str">
        <f>IF(E106="","",IF(E106="ლარი",G106,IF(E106="დოლარი",G106*$J$2,IF(E106="ევრო",G106*$J$3))))</f>
        <v/>
      </c>
      <c r="M105" s="241"/>
      <c r="N105" s="315" t="str">
        <f>IF(B106="","",IF(J106="ბიზნეს საკრედიტო ბარათი/ოვერდრაფტი",B106*0.03,IF(J106="ბიზნეს სესხი/განვადება",G106*D106/12,"")))</f>
        <v/>
      </c>
      <c r="O105" s="315" t="str">
        <f>IF(OR(J106="სესხი/განვადება",J106="საკრედიტო ბარათი/ოვერდრაფტი"),0,IF(E106="დოლარი",N105*$J$2,IF(E106="ევრო",N105*$J$3,N105)))</f>
        <v/>
      </c>
      <c r="P105" s="241"/>
      <c r="Q105" s="241"/>
      <c r="R105" s="317">
        <f>IF(AND(NOT(H106="დიახ"),OR(J106=$R$93,J106=$R$94)),F106,0)*T105</f>
        <v>0</v>
      </c>
      <c r="S105" s="317">
        <f>IF(AND(NOT(H106="დიახ"),OR(J106=$S$93,J106=$S$94)),F106,0)*T105</f>
        <v>0</v>
      </c>
      <c r="T105" s="243">
        <f>IF(E106="დოლარი",$J$2,IF(E106="ევრო",$J$3,1))</f>
        <v>1</v>
      </c>
      <c r="U105" s="241"/>
      <c r="V105" s="241"/>
      <c r="W105" s="241"/>
    </row>
    <row r="106" spans="1:23" ht="27" customHeight="1" thickTop="1" thickBot="1">
      <c r="A106" s="191"/>
      <c r="B106" s="237"/>
      <c r="C106" s="237"/>
      <c r="D106" s="192"/>
      <c r="E106" s="237"/>
      <c r="F106" s="314" t="str">
        <f>IF(B106="","",IF(OR(J106="საკრედიტო ბარათი/ოვერდრაფტი",J106="ბიზნეს საკრედიტო ბარათი/ოვერდრაფტი"),B106*0.05,IF(OR(J106="ბიზნეს სესხი/განვადება",J106="სესხი/განვადება"),-PMT(D106/12,C106,B106),"")))</f>
        <v/>
      </c>
      <c r="G106" s="237"/>
      <c r="H106" s="495"/>
      <c r="I106" s="495"/>
      <c r="J106" s="237"/>
      <c r="K106" s="315">
        <f>SUM(K102:K105)</f>
        <v>0</v>
      </c>
      <c r="L106" s="315">
        <f>SUM(L102:L105)</f>
        <v>0</v>
      </c>
      <c r="O106" s="315">
        <f>SUM(O102:O105)</f>
        <v>0</v>
      </c>
      <c r="P106" s="241"/>
      <c r="Q106" s="241"/>
      <c r="R106" s="317"/>
      <c r="S106" s="317"/>
      <c r="U106" s="241"/>
      <c r="V106" s="241"/>
      <c r="W106" s="241"/>
    </row>
    <row r="107" spans="1:23" ht="27" customHeight="1" thickTop="1" thickBot="1">
      <c r="A107" s="501" t="s">
        <v>546</v>
      </c>
      <c r="B107" s="502"/>
      <c r="C107" s="502"/>
      <c r="D107" s="502"/>
      <c r="E107" s="502"/>
      <c r="F107" s="502"/>
      <c r="G107" s="502"/>
      <c r="H107" s="502"/>
      <c r="I107" s="502"/>
      <c r="J107" s="502"/>
      <c r="K107" s="315"/>
      <c r="L107" s="316"/>
      <c r="M107" s="241"/>
      <c r="N107" s="315"/>
      <c r="O107" s="315"/>
      <c r="P107" s="241"/>
      <c r="Q107" s="241"/>
      <c r="R107" s="317"/>
      <c r="S107" s="317"/>
      <c r="U107" s="241"/>
      <c r="V107" s="241"/>
      <c r="W107" s="241"/>
    </row>
    <row r="108" spans="1:23" ht="27" customHeight="1" thickTop="1" thickBot="1">
      <c r="A108" s="318" t="s">
        <v>483</v>
      </c>
      <c r="B108" s="318" t="s">
        <v>474</v>
      </c>
      <c r="C108" s="318" t="s">
        <v>479</v>
      </c>
      <c r="D108" s="318" t="s">
        <v>486</v>
      </c>
      <c r="E108" s="318" t="s">
        <v>484</v>
      </c>
      <c r="F108" s="319" t="s">
        <v>485</v>
      </c>
      <c r="G108" s="318" t="s">
        <v>151</v>
      </c>
      <c r="H108" s="318" t="s">
        <v>152</v>
      </c>
      <c r="I108" s="318" t="s">
        <v>132</v>
      </c>
      <c r="J108" s="318" t="s">
        <v>227</v>
      </c>
      <c r="K108" s="315" t="str">
        <f t="shared" ref="K108:K117" si="3">IF(H109="დიახ",0,IF(E109="","",IF(E109="ლარი",F109,IF(E109="დოლარი",F109*$J$2,IF(E109="ევრო",F109*$J$3)))))</f>
        <v/>
      </c>
      <c r="L108" s="316" t="str">
        <f t="shared" ref="L108:L117" si="4">IF(E109="","",IF(E109="ლარი",G109,IF(E109="დოლარი",G109*$J$2,IF(E109="ევრო",G109*$J$3))))</f>
        <v/>
      </c>
      <c r="M108" s="241"/>
      <c r="N108" s="315" t="str">
        <f t="shared" ref="N108:N117" si="5">IF(B109="","",IF(J109="ბიზნეს საკრედიტო ბარათი/ოვერდრაფტი",B109*0.03,IF(J109="ბიზნეს სესხი/განვადება",G109*D109/12,"")))</f>
        <v/>
      </c>
      <c r="O108" s="315" t="str">
        <f t="shared" ref="O108:O117" si="6">IF(OR(J109="სესხი/განვადება",J109="საკრედიტო ბარათი/ოვერდრაფტი"),0,IF(E109="დოლარი",N108*$J$2,IF(E109="ევრო",N108*$J$3,N108)))</f>
        <v/>
      </c>
      <c r="P108" s="241"/>
      <c r="Q108" s="241"/>
      <c r="R108" s="317">
        <f t="shared" ref="R108:R117" si="7">IF(AND(NOT(H109="დიახ"),OR(J109=$R$93,J109=$R$94)),F109,0)*T108</f>
        <v>0</v>
      </c>
      <c r="S108" s="317">
        <f t="shared" ref="S108:S117" si="8">IF(AND(NOT(H109="დიახ"),OR(J109=$S$93,J109=$S$94)),F109,0)*T108</f>
        <v>0</v>
      </c>
      <c r="T108" s="243">
        <f t="shared" ref="T108:T117" si="9">IF(E109="დოლარი",$J$2,IF(E109="ევრო",$J$3,1))</f>
        <v>1</v>
      </c>
      <c r="U108" s="241"/>
      <c r="V108" s="241"/>
      <c r="W108" s="241"/>
    </row>
    <row r="109" spans="1:23" ht="27" customHeight="1" thickTop="1" thickBot="1">
      <c r="A109" s="191"/>
      <c r="B109" s="237"/>
      <c r="C109" s="237"/>
      <c r="D109" s="192"/>
      <c r="E109" s="237"/>
      <c r="F109" s="314" t="str">
        <f>IF(B109="","",IF(OR(J109="საკრედიტო ბარათი/ოვერდრაფტი",J109="ბიზნეს საკრედიტო ბარათი/ოვერდრაფტი"),B109*0.05,IF(OR(J109="ბიზნეს სესხი/განვადება",J109="სესხი/განვადება"),-PMT(D109/12,C109,B109),"")))</f>
        <v/>
      </c>
      <c r="G109" s="237"/>
      <c r="H109" s="237"/>
      <c r="I109" s="209"/>
      <c r="J109" s="237"/>
      <c r="K109" s="315" t="str">
        <f t="shared" si="3"/>
        <v/>
      </c>
      <c r="L109" s="316" t="str">
        <f t="shared" si="4"/>
        <v/>
      </c>
      <c r="M109" s="241"/>
      <c r="N109" s="315" t="str">
        <f t="shared" si="5"/>
        <v/>
      </c>
      <c r="O109" s="315" t="str">
        <f t="shared" si="6"/>
        <v/>
      </c>
      <c r="P109" s="241"/>
      <c r="Q109" s="241"/>
      <c r="R109" s="317">
        <f t="shared" si="7"/>
        <v>0</v>
      </c>
      <c r="S109" s="317">
        <f t="shared" si="8"/>
        <v>0</v>
      </c>
      <c r="T109" s="243">
        <f t="shared" si="9"/>
        <v>1</v>
      </c>
      <c r="U109" s="241"/>
      <c r="V109" s="241"/>
      <c r="W109" s="241"/>
    </row>
    <row r="110" spans="1:23" ht="27" customHeight="1" thickTop="1" thickBot="1">
      <c r="A110" s="191"/>
      <c r="B110" s="237"/>
      <c r="C110" s="237"/>
      <c r="D110" s="192"/>
      <c r="E110" s="237"/>
      <c r="F110" s="314" t="str">
        <f t="shared" ref="F110:F118" si="10">IF(B110="","",IF(OR(J110="საკრედიტო ბარათი/ოვერდრაფტი",J110="ბიზნეს საკრედიტო ბარათი/ოვერდრაფტი"),B110*0.05,IF(OR(J110="ბიზნეს სესხი/განვადება",J110="სესხი/განვადება"),-PMT(D110/12,C110,B110),"")))</f>
        <v/>
      </c>
      <c r="G110" s="237"/>
      <c r="H110" s="237"/>
      <c r="I110" s="209"/>
      <c r="J110" s="237"/>
      <c r="K110" s="315" t="str">
        <f t="shared" si="3"/>
        <v/>
      </c>
      <c r="L110" s="316" t="str">
        <f t="shared" si="4"/>
        <v/>
      </c>
      <c r="M110" s="241"/>
      <c r="N110" s="315" t="str">
        <f t="shared" si="5"/>
        <v/>
      </c>
      <c r="O110" s="315" t="str">
        <f t="shared" si="6"/>
        <v/>
      </c>
      <c r="P110" s="241"/>
      <c r="Q110" s="241"/>
      <c r="R110" s="317">
        <f t="shared" si="7"/>
        <v>0</v>
      </c>
      <c r="S110" s="317">
        <f t="shared" si="8"/>
        <v>0</v>
      </c>
      <c r="T110" s="243">
        <f t="shared" si="9"/>
        <v>1</v>
      </c>
      <c r="U110" s="241"/>
      <c r="V110" s="241"/>
      <c r="W110" s="241"/>
    </row>
    <row r="111" spans="1:23" ht="27" customHeight="1" thickTop="1" thickBot="1">
      <c r="A111" s="191"/>
      <c r="B111" s="237"/>
      <c r="C111" s="237"/>
      <c r="D111" s="192"/>
      <c r="E111" s="237"/>
      <c r="F111" s="314" t="str">
        <f t="shared" si="10"/>
        <v/>
      </c>
      <c r="G111" s="237"/>
      <c r="H111" s="237"/>
      <c r="I111" s="209"/>
      <c r="J111" s="237"/>
      <c r="K111" s="315" t="str">
        <f t="shared" si="3"/>
        <v/>
      </c>
      <c r="L111" s="316" t="str">
        <f t="shared" si="4"/>
        <v/>
      </c>
      <c r="M111" s="241"/>
      <c r="N111" s="315" t="str">
        <f t="shared" si="5"/>
        <v/>
      </c>
      <c r="O111" s="315" t="str">
        <f t="shared" si="6"/>
        <v/>
      </c>
      <c r="P111" s="241"/>
      <c r="Q111" s="241"/>
      <c r="R111" s="317">
        <f t="shared" si="7"/>
        <v>0</v>
      </c>
      <c r="S111" s="317">
        <f t="shared" si="8"/>
        <v>0</v>
      </c>
      <c r="T111" s="243">
        <f t="shared" si="9"/>
        <v>1</v>
      </c>
      <c r="U111" s="241"/>
      <c r="V111" s="241"/>
      <c r="W111" s="241"/>
    </row>
    <row r="112" spans="1:23" ht="27" customHeight="1" thickTop="1" thickBot="1">
      <c r="A112" s="191"/>
      <c r="B112" s="237"/>
      <c r="C112" s="237"/>
      <c r="D112" s="192"/>
      <c r="E112" s="237"/>
      <c r="F112" s="314" t="str">
        <f t="shared" si="10"/>
        <v/>
      </c>
      <c r="G112" s="237"/>
      <c r="H112" s="237"/>
      <c r="I112" s="209"/>
      <c r="J112" s="237"/>
      <c r="K112" s="315" t="str">
        <f t="shared" si="3"/>
        <v/>
      </c>
      <c r="L112" s="316" t="str">
        <f t="shared" si="4"/>
        <v/>
      </c>
      <c r="M112" s="241"/>
      <c r="N112" s="315" t="str">
        <f t="shared" si="5"/>
        <v/>
      </c>
      <c r="O112" s="315" t="str">
        <f t="shared" si="6"/>
        <v/>
      </c>
      <c r="P112" s="241"/>
      <c r="Q112" s="241"/>
      <c r="R112" s="317">
        <f t="shared" si="7"/>
        <v>0</v>
      </c>
      <c r="S112" s="317">
        <f t="shared" si="8"/>
        <v>0</v>
      </c>
      <c r="T112" s="243">
        <f t="shared" si="9"/>
        <v>1</v>
      </c>
      <c r="U112" s="241"/>
      <c r="V112" s="241"/>
      <c r="W112" s="241"/>
    </row>
    <row r="113" spans="1:23" ht="27" customHeight="1" thickTop="1" thickBot="1">
      <c r="A113" s="191"/>
      <c r="B113" s="237"/>
      <c r="C113" s="237"/>
      <c r="D113" s="192"/>
      <c r="E113" s="237"/>
      <c r="F113" s="314" t="str">
        <f t="shared" si="10"/>
        <v/>
      </c>
      <c r="G113" s="237"/>
      <c r="H113" s="237"/>
      <c r="I113" s="209"/>
      <c r="J113" s="237"/>
      <c r="K113" s="315" t="str">
        <f t="shared" si="3"/>
        <v/>
      </c>
      <c r="L113" s="316" t="str">
        <f t="shared" si="4"/>
        <v/>
      </c>
      <c r="M113" s="241"/>
      <c r="N113" s="315" t="str">
        <f t="shared" si="5"/>
        <v/>
      </c>
      <c r="O113" s="315" t="str">
        <f t="shared" si="6"/>
        <v/>
      </c>
      <c r="P113" s="241"/>
      <c r="Q113" s="241"/>
      <c r="R113" s="317">
        <f t="shared" si="7"/>
        <v>0</v>
      </c>
      <c r="S113" s="317">
        <f t="shared" si="8"/>
        <v>0</v>
      </c>
      <c r="T113" s="243">
        <f t="shared" si="9"/>
        <v>1</v>
      </c>
      <c r="U113" s="241"/>
      <c r="V113" s="241"/>
      <c r="W113" s="241"/>
    </row>
    <row r="114" spans="1:23" ht="21" customHeight="1" thickTop="1" thickBot="1">
      <c r="A114" s="191"/>
      <c r="B114" s="237"/>
      <c r="C114" s="237"/>
      <c r="D114" s="192"/>
      <c r="E114" s="237"/>
      <c r="F114" s="314" t="str">
        <f t="shared" si="10"/>
        <v/>
      </c>
      <c r="G114" s="237"/>
      <c r="H114" s="237"/>
      <c r="I114" s="209"/>
      <c r="J114" s="237"/>
      <c r="K114" s="315" t="str">
        <f t="shared" si="3"/>
        <v/>
      </c>
      <c r="L114" s="316" t="str">
        <f t="shared" si="4"/>
        <v/>
      </c>
      <c r="M114" s="241"/>
      <c r="N114" s="315" t="str">
        <f t="shared" si="5"/>
        <v/>
      </c>
      <c r="O114" s="315" t="str">
        <f t="shared" si="6"/>
        <v/>
      </c>
      <c r="P114" s="241"/>
      <c r="Q114" s="241"/>
      <c r="R114" s="317">
        <f t="shared" si="7"/>
        <v>0</v>
      </c>
      <c r="S114" s="317">
        <f t="shared" si="8"/>
        <v>0</v>
      </c>
      <c r="T114" s="243">
        <f t="shared" si="9"/>
        <v>1</v>
      </c>
      <c r="U114" s="241"/>
      <c r="V114" s="241"/>
      <c r="W114" s="241"/>
    </row>
    <row r="115" spans="1:23" ht="21" customHeight="1" thickTop="1" thickBot="1">
      <c r="A115" s="191"/>
      <c r="B115" s="237"/>
      <c r="C115" s="237"/>
      <c r="D115" s="192"/>
      <c r="E115" s="237"/>
      <c r="F115" s="314" t="str">
        <f t="shared" si="10"/>
        <v/>
      </c>
      <c r="G115" s="237"/>
      <c r="H115" s="237"/>
      <c r="I115" s="209"/>
      <c r="J115" s="237"/>
      <c r="K115" s="315" t="str">
        <f t="shared" si="3"/>
        <v/>
      </c>
      <c r="L115" s="316" t="str">
        <f t="shared" si="4"/>
        <v/>
      </c>
      <c r="M115" s="241"/>
      <c r="N115" s="315" t="str">
        <f t="shared" si="5"/>
        <v/>
      </c>
      <c r="O115" s="315" t="str">
        <f t="shared" si="6"/>
        <v/>
      </c>
      <c r="P115" s="241"/>
      <c r="Q115" s="241"/>
      <c r="R115" s="317">
        <f t="shared" si="7"/>
        <v>0</v>
      </c>
      <c r="S115" s="317">
        <f t="shared" si="8"/>
        <v>0</v>
      </c>
      <c r="T115" s="243">
        <f t="shared" si="9"/>
        <v>1</v>
      </c>
      <c r="U115" s="241"/>
      <c r="V115" s="241"/>
      <c r="W115" s="241"/>
    </row>
    <row r="116" spans="1:23" ht="21" customHeight="1" thickTop="1" thickBot="1">
      <c r="A116" s="191"/>
      <c r="B116" s="237"/>
      <c r="C116" s="237"/>
      <c r="D116" s="192"/>
      <c r="E116" s="237"/>
      <c r="F116" s="314" t="str">
        <f t="shared" si="10"/>
        <v/>
      </c>
      <c r="G116" s="237"/>
      <c r="H116" s="237"/>
      <c r="I116" s="209"/>
      <c r="J116" s="237"/>
      <c r="K116" s="315" t="str">
        <f t="shared" si="3"/>
        <v/>
      </c>
      <c r="L116" s="316" t="str">
        <f t="shared" si="4"/>
        <v/>
      </c>
      <c r="M116" s="241"/>
      <c r="N116" s="315" t="str">
        <f t="shared" si="5"/>
        <v/>
      </c>
      <c r="O116" s="315" t="str">
        <f t="shared" si="6"/>
        <v/>
      </c>
      <c r="P116" s="241"/>
      <c r="Q116" s="241"/>
      <c r="R116" s="317">
        <f t="shared" si="7"/>
        <v>0</v>
      </c>
      <c r="S116" s="317">
        <f t="shared" si="8"/>
        <v>0</v>
      </c>
      <c r="T116" s="243">
        <f t="shared" si="9"/>
        <v>1</v>
      </c>
      <c r="U116" s="241"/>
      <c r="V116" s="241"/>
      <c r="W116" s="241"/>
    </row>
    <row r="117" spans="1:23" ht="21" customHeight="1" thickTop="1" thickBot="1">
      <c r="A117" s="191"/>
      <c r="B117" s="237"/>
      <c r="C117" s="237"/>
      <c r="D117" s="192"/>
      <c r="E117" s="237"/>
      <c r="F117" s="314" t="str">
        <f t="shared" si="10"/>
        <v/>
      </c>
      <c r="G117" s="237"/>
      <c r="H117" s="237"/>
      <c r="I117" s="209"/>
      <c r="J117" s="237"/>
      <c r="K117" s="315" t="str">
        <f t="shared" si="3"/>
        <v/>
      </c>
      <c r="L117" s="316" t="str">
        <f t="shared" si="4"/>
        <v/>
      </c>
      <c r="M117" s="241"/>
      <c r="N117" s="315" t="str">
        <f t="shared" si="5"/>
        <v/>
      </c>
      <c r="O117" s="315" t="str">
        <f t="shared" si="6"/>
        <v/>
      </c>
      <c r="P117" s="241"/>
      <c r="Q117" s="241"/>
      <c r="R117" s="317">
        <f t="shared" si="7"/>
        <v>0</v>
      </c>
      <c r="S117" s="317">
        <f t="shared" si="8"/>
        <v>0</v>
      </c>
      <c r="T117" s="243">
        <f t="shared" si="9"/>
        <v>1</v>
      </c>
      <c r="U117" s="241"/>
      <c r="V117" s="241"/>
      <c r="W117" s="241"/>
    </row>
    <row r="118" spans="1:23" ht="21" customHeight="1" thickTop="1" thickBot="1">
      <c r="A118" s="191"/>
      <c r="B118" s="237"/>
      <c r="C118" s="237"/>
      <c r="D118" s="192"/>
      <c r="E118" s="237"/>
      <c r="F118" s="314" t="str">
        <f t="shared" si="10"/>
        <v/>
      </c>
      <c r="G118" s="237"/>
      <c r="H118" s="237"/>
      <c r="I118" s="209"/>
      <c r="J118" s="237"/>
      <c r="K118" s="316">
        <f>SUM(K108:K117)</f>
        <v>0</v>
      </c>
      <c r="L118" s="316">
        <f>SUM(L108:L117)</f>
        <v>0</v>
      </c>
      <c r="M118" s="241"/>
      <c r="O118" s="315">
        <f>SUM(O108:O117)</f>
        <v>0</v>
      </c>
      <c r="P118" s="241"/>
      <c r="Q118" s="241"/>
      <c r="T118" s="241"/>
      <c r="U118" s="241"/>
      <c r="V118" s="241"/>
      <c r="W118" s="241"/>
    </row>
    <row r="119" spans="1:23" ht="21" customHeight="1" thickTop="1" thickBot="1">
      <c r="A119" s="501" t="s">
        <v>423</v>
      </c>
      <c r="B119" s="502"/>
      <c r="C119" s="502"/>
      <c r="D119" s="502"/>
      <c r="E119" s="502"/>
      <c r="F119" s="502"/>
      <c r="G119" s="502"/>
      <c r="H119" s="502"/>
      <c r="I119" s="502"/>
      <c r="J119" s="502"/>
      <c r="O119" s="241"/>
      <c r="P119" s="241"/>
      <c r="Q119" s="241"/>
      <c r="R119" s="241"/>
      <c r="S119" s="241"/>
      <c r="T119" s="241"/>
      <c r="U119" s="241"/>
      <c r="V119" s="241"/>
      <c r="W119" s="241"/>
    </row>
    <row r="120" spans="1:23" ht="21" customHeight="1" thickTop="1" thickBot="1">
      <c r="A120" s="641" t="s">
        <v>424</v>
      </c>
      <c r="B120" s="642"/>
      <c r="C120" s="642"/>
      <c r="D120" s="642"/>
      <c r="E120" s="465" t="s">
        <v>425</v>
      </c>
      <c r="F120" s="642"/>
      <c r="G120" s="642"/>
      <c r="H120" s="642"/>
      <c r="I120" s="643"/>
      <c r="J120" s="644"/>
      <c r="O120" s="241"/>
      <c r="P120" s="241"/>
      <c r="Q120" s="241"/>
      <c r="R120" s="241"/>
      <c r="S120" s="241"/>
      <c r="T120" s="241"/>
      <c r="U120" s="241"/>
      <c r="V120" s="241"/>
      <c r="W120" s="241"/>
    </row>
    <row r="121" spans="1:23" ht="21" customHeight="1" thickTop="1" thickBot="1">
      <c r="A121" s="320" t="s">
        <v>426</v>
      </c>
      <c r="B121" s="486">
        <v>150</v>
      </c>
      <c r="C121" s="486"/>
      <c r="D121" s="487"/>
      <c r="E121" s="482" t="s">
        <v>433</v>
      </c>
      <c r="F121" s="483"/>
      <c r="G121" s="483"/>
      <c r="H121" s="484"/>
      <c r="I121" s="492"/>
      <c r="J121" s="493"/>
      <c r="O121" s="241"/>
      <c r="P121" s="241"/>
      <c r="Q121" s="241"/>
      <c r="R121" s="241"/>
      <c r="S121" s="241"/>
      <c r="T121" s="241"/>
      <c r="U121" s="241"/>
      <c r="V121" s="241"/>
      <c r="W121" s="241"/>
    </row>
    <row r="122" spans="1:23" ht="21" customHeight="1" thickTop="1" thickBot="1">
      <c r="A122" s="321" t="s">
        <v>427</v>
      </c>
      <c r="B122" s="497"/>
      <c r="C122" s="497"/>
      <c r="D122" s="493"/>
      <c r="E122" s="482" t="s">
        <v>434</v>
      </c>
      <c r="F122" s="483"/>
      <c r="G122" s="483"/>
      <c r="H122" s="484"/>
      <c r="I122" s="492"/>
      <c r="J122" s="493"/>
      <c r="O122" s="241"/>
      <c r="P122" s="241"/>
      <c r="Q122" s="241"/>
      <c r="R122" s="241"/>
      <c r="S122" s="241"/>
      <c r="T122" s="241"/>
      <c r="U122" s="241"/>
      <c r="V122" s="241"/>
      <c r="W122" s="241"/>
    </row>
    <row r="123" spans="1:23" s="323" customFormat="1" ht="24.75" customHeight="1" thickTop="1" thickBot="1">
      <c r="A123" s="320" t="s">
        <v>428</v>
      </c>
      <c r="B123" s="497"/>
      <c r="C123" s="497"/>
      <c r="D123" s="493"/>
      <c r="E123" s="482" t="s">
        <v>435</v>
      </c>
      <c r="F123" s="483"/>
      <c r="G123" s="483"/>
      <c r="H123" s="484"/>
      <c r="I123" s="492"/>
      <c r="J123" s="493"/>
      <c r="K123" s="241"/>
      <c r="L123" s="241"/>
      <c r="M123" s="241"/>
      <c r="N123" s="241"/>
      <c r="O123" s="241"/>
      <c r="P123" s="241"/>
      <c r="Q123" s="241"/>
      <c r="R123" s="241"/>
      <c r="S123" s="241"/>
      <c r="T123" s="241"/>
      <c r="U123" s="241"/>
      <c r="V123" s="241"/>
      <c r="W123" s="241"/>
    </row>
    <row r="124" spans="1:23" s="323" customFormat="1" ht="24.75" customHeight="1" thickTop="1" thickBot="1">
      <c r="A124" s="321" t="s">
        <v>429</v>
      </c>
      <c r="B124" s="497">
        <v>350</v>
      </c>
      <c r="C124" s="497"/>
      <c r="D124" s="493"/>
      <c r="E124" s="482" t="s">
        <v>438</v>
      </c>
      <c r="F124" s="483"/>
      <c r="G124" s="483"/>
      <c r="H124" s="484"/>
      <c r="I124" s="492"/>
      <c r="J124" s="493"/>
      <c r="K124" s="241"/>
      <c r="L124" s="241" t="s">
        <v>86</v>
      </c>
      <c r="M124" s="241"/>
      <c r="N124" s="241"/>
      <c r="O124" s="241"/>
      <c r="P124" s="241"/>
      <c r="Q124" s="241"/>
      <c r="R124" s="241"/>
      <c r="S124" s="241"/>
      <c r="T124" s="241"/>
      <c r="U124" s="241"/>
      <c r="V124" s="241"/>
      <c r="W124" s="241"/>
    </row>
    <row r="125" spans="1:23" s="323" customFormat="1" ht="24.75" customHeight="1" thickTop="1" thickBot="1">
      <c r="A125" s="320" t="s">
        <v>430</v>
      </c>
      <c r="B125" s="497"/>
      <c r="C125" s="497"/>
      <c r="D125" s="493"/>
      <c r="E125" s="482" t="s">
        <v>439</v>
      </c>
      <c r="F125" s="483"/>
      <c r="G125" s="483"/>
      <c r="H125" s="484"/>
      <c r="I125" s="492"/>
      <c r="J125" s="493"/>
      <c r="K125" s="241"/>
      <c r="L125" s="241" t="s">
        <v>597</v>
      </c>
      <c r="M125" s="241"/>
      <c r="N125" s="241"/>
      <c r="O125" s="241"/>
      <c r="P125" s="241"/>
      <c r="Q125" s="241"/>
      <c r="R125" s="241"/>
      <c r="S125" s="241"/>
      <c r="T125" s="241"/>
      <c r="U125" s="241"/>
      <c r="V125" s="241"/>
      <c r="W125" s="241"/>
    </row>
    <row r="126" spans="1:23" s="323" customFormat="1" ht="24.75" customHeight="1" thickTop="1" thickBot="1">
      <c r="A126" s="322" t="s">
        <v>432</v>
      </c>
      <c r="B126" s="485">
        <v>5000</v>
      </c>
      <c r="C126" s="486"/>
      <c r="D126" s="487"/>
      <c r="E126" s="482" t="s">
        <v>440</v>
      </c>
      <c r="F126" s="483"/>
      <c r="G126" s="483"/>
      <c r="H126" s="484"/>
      <c r="I126" s="490"/>
      <c r="J126" s="487"/>
      <c r="K126" s="241"/>
      <c r="L126" s="241" t="s">
        <v>87</v>
      </c>
      <c r="M126" s="241"/>
      <c r="N126" s="241"/>
      <c r="O126" s="241"/>
      <c r="P126" s="241"/>
      <c r="Q126" s="241"/>
      <c r="R126" s="241"/>
      <c r="S126" s="241"/>
      <c r="T126" s="241"/>
      <c r="U126" s="241"/>
    </row>
    <row r="127" spans="1:23" s="323" customFormat="1" ht="24.75" customHeight="1" thickTop="1" thickBot="1">
      <c r="A127" s="322" t="s">
        <v>431</v>
      </c>
      <c r="B127" s="485">
        <v>5500</v>
      </c>
      <c r="C127" s="486"/>
      <c r="D127" s="487"/>
      <c r="E127" s="482" t="s">
        <v>441</v>
      </c>
      <c r="F127" s="483"/>
      <c r="G127" s="483"/>
      <c r="H127" s="484"/>
      <c r="I127" s="488">
        <f>SUM(I121:J126)</f>
        <v>0</v>
      </c>
      <c r="J127" s="489"/>
      <c r="L127" s="323" t="s">
        <v>373</v>
      </c>
    </row>
    <row r="128" spans="1:23" ht="21" customHeight="1" thickTop="1" thickBot="1">
      <c r="A128" s="465" t="s">
        <v>442</v>
      </c>
      <c r="B128" s="467">
        <f>SUM(B121:D127)</f>
        <v>11000</v>
      </c>
      <c r="C128" s="468"/>
      <c r="D128" s="469"/>
      <c r="E128" s="483" t="s">
        <v>443</v>
      </c>
      <c r="F128" s="483"/>
      <c r="G128" s="483"/>
      <c r="H128" s="484"/>
      <c r="I128" s="488">
        <f>B128-I127</f>
        <v>11000</v>
      </c>
      <c r="J128" s="489"/>
      <c r="K128" s="323"/>
      <c r="L128" s="323" t="s">
        <v>598</v>
      </c>
      <c r="M128" s="323"/>
      <c r="N128" s="323"/>
      <c r="O128" s="323"/>
      <c r="P128" s="323"/>
      <c r="Q128" s="323"/>
      <c r="R128" s="323"/>
      <c r="S128" s="323"/>
      <c r="T128" s="323"/>
      <c r="U128" s="323"/>
      <c r="V128" s="323"/>
      <c r="W128" s="323"/>
    </row>
    <row r="129" spans="1:26" ht="21" customHeight="1" thickTop="1" thickBot="1">
      <c r="A129" s="466"/>
      <c r="B129" s="470"/>
      <c r="C129" s="471"/>
      <c r="D129" s="472"/>
      <c r="E129" s="483" t="s">
        <v>444</v>
      </c>
      <c r="F129" s="483"/>
      <c r="G129" s="483"/>
      <c r="H129" s="484"/>
      <c r="I129" s="488">
        <f>SUM(I127:J128)</f>
        <v>11000</v>
      </c>
      <c r="J129" s="489"/>
      <c r="K129" s="323"/>
      <c r="L129" s="323"/>
      <c r="M129" s="323"/>
      <c r="N129" s="323"/>
      <c r="O129" s="323"/>
      <c r="P129" s="323"/>
      <c r="Q129" s="323"/>
      <c r="R129" s="323"/>
      <c r="S129" s="323"/>
      <c r="T129" s="323"/>
      <c r="U129" s="323"/>
      <c r="V129" s="323"/>
      <c r="W129" s="323"/>
    </row>
    <row r="130" spans="1:26" ht="21" customHeight="1" thickTop="1" thickBot="1">
      <c r="A130" s="439" t="s">
        <v>377</v>
      </c>
      <c r="B130" s="439"/>
      <c r="C130" s="439"/>
      <c r="D130" s="439"/>
      <c r="E130" s="439"/>
      <c r="F130" s="439"/>
      <c r="G130" s="439"/>
      <c r="H130" s="439"/>
      <c r="I130" s="439"/>
      <c r="J130" s="439"/>
      <c r="K130" s="323"/>
      <c r="L130" s="323"/>
      <c r="M130" s="323"/>
      <c r="N130" s="323"/>
      <c r="O130" s="323"/>
      <c r="P130" s="323"/>
      <c r="Q130" s="323"/>
      <c r="R130" s="323"/>
      <c r="S130" s="323"/>
      <c r="T130" s="323"/>
      <c r="U130" s="323"/>
      <c r="V130" s="323"/>
      <c r="W130" s="323"/>
    </row>
    <row r="131" spans="1:26" ht="21" customHeight="1" thickTop="1">
      <c r="A131" s="473" t="s">
        <v>656</v>
      </c>
      <c r="B131" s="474"/>
      <c r="C131" s="474"/>
      <c r="D131" s="474"/>
      <c r="E131" s="474"/>
      <c r="F131" s="474"/>
      <c r="G131" s="474"/>
      <c r="H131" s="474"/>
      <c r="I131" s="474"/>
      <c r="J131" s="475"/>
      <c r="K131" s="323"/>
      <c r="L131" s="323"/>
      <c r="M131" s="323"/>
      <c r="N131" s="323"/>
      <c r="O131" s="323"/>
      <c r="P131" s="323"/>
      <c r="Q131" s="323"/>
      <c r="R131" s="323"/>
      <c r="S131" s="323"/>
      <c r="T131" s="323"/>
      <c r="U131" s="323"/>
      <c r="V131" s="241"/>
      <c r="W131" s="241"/>
    </row>
    <row r="132" spans="1:26" ht="23.25" customHeight="1">
      <c r="A132" s="476"/>
      <c r="B132" s="477"/>
      <c r="C132" s="477"/>
      <c r="D132" s="477"/>
      <c r="E132" s="477"/>
      <c r="F132" s="477"/>
      <c r="G132" s="477"/>
      <c r="H132" s="477"/>
      <c r="I132" s="477"/>
      <c r="J132" s="478"/>
      <c r="K132" s="241"/>
      <c r="L132" s="241"/>
      <c r="M132" s="241"/>
      <c r="N132" s="241"/>
      <c r="O132" s="241"/>
      <c r="P132" s="241"/>
      <c r="Q132" s="241"/>
      <c r="R132" s="241"/>
      <c r="S132" s="241"/>
      <c r="T132" s="241"/>
      <c r="U132" s="241"/>
      <c r="V132" s="241"/>
      <c r="W132" s="241"/>
    </row>
    <row r="133" spans="1:26" ht="23.25" customHeight="1">
      <c r="A133" s="476"/>
      <c r="B133" s="477"/>
      <c r="C133" s="477"/>
      <c r="D133" s="477"/>
      <c r="E133" s="477"/>
      <c r="F133" s="477"/>
      <c r="G133" s="477"/>
      <c r="H133" s="477"/>
      <c r="I133" s="477"/>
      <c r="J133" s="478"/>
      <c r="K133" s="241"/>
      <c r="L133" s="241"/>
      <c r="M133" s="241"/>
      <c r="N133" s="241"/>
      <c r="O133" s="241"/>
      <c r="P133" s="241"/>
      <c r="Q133" s="241"/>
      <c r="R133" s="241"/>
      <c r="S133" s="241"/>
      <c r="T133" s="241"/>
      <c r="U133" s="241"/>
      <c r="V133" s="241"/>
      <c r="W133" s="241"/>
    </row>
    <row r="134" spans="1:26" ht="23.25" customHeight="1" thickBot="1">
      <c r="A134" s="479"/>
      <c r="B134" s="480"/>
      <c r="C134" s="480"/>
      <c r="D134" s="480"/>
      <c r="E134" s="480"/>
      <c r="F134" s="480"/>
      <c r="G134" s="480"/>
      <c r="H134" s="480"/>
      <c r="I134" s="480"/>
      <c r="J134" s="481"/>
      <c r="K134" s="241"/>
      <c r="L134" s="241"/>
      <c r="M134" s="241"/>
      <c r="N134" s="241"/>
      <c r="O134" s="241"/>
      <c r="P134" s="241"/>
      <c r="Q134" s="241"/>
      <c r="R134" s="241"/>
      <c r="S134" s="241"/>
      <c r="T134" s="241"/>
      <c r="U134" s="241"/>
      <c r="V134" s="241"/>
      <c r="W134" s="241"/>
    </row>
    <row r="135" spans="1:26" ht="32.25" customHeight="1" thickTop="1" thickBot="1">
      <c r="A135" s="439" t="s">
        <v>450</v>
      </c>
      <c r="B135" s="439"/>
      <c r="C135" s="439"/>
      <c r="D135" s="439"/>
      <c r="E135" s="439"/>
      <c r="F135" s="439"/>
      <c r="G135" s="439"/>
      <c r="H135" s="439"/>
      <c r="I135" s="439"/>
      <c r="J135" s="439"/>
      <c r="L135" s="454" t="s">
        <v>155</v>
      </c>
      <c r="M135" s="454"/>
      <c r="N135" s="241"/>
      <c r="O135" s="241"/>
      <c r="P135" s="241"/>
      <c r="Q135" s="241"/>
      <c r="R135" s="241"/>
      <c r="S135" s="241"/>
      <c r="T135" s="241"/>
      <c r="U135" s="241"/>
      <c r="V135" s="241"/>
      <c r="W135" s="241"/>
    </row>
    <row r="136" spans="1:26" ht="36" customHeight="1" thickTop="1" thickBot="1">
      <c r="A136" s="324"/>
      <c r="B136" s="455" t="s">
        <v>452</v>
      </c>
      <c r="C136" s="456"/>
      <c r="D136" s="457"/>
      <c r="E136" s="455" t="s">
        <v>453</v>
      </c>
      <c r="F136" s="456"/>
      <c r="G136" s="457"/>
      <c r="H136" s="455" t="s">
        <v>454</v>
      </c>
      <c r="I136" s="456"/>
      <c r="J136" s="457"/>
      <c r="L136" s="360" t="s">
        <v>452</v>
      </c>
      <c r="M136" s="327">
        <f>D140</f>
        <v>0</v>
      </c>
      <c r="O136" s="241"/>
      <c r="P136" s="241"/>
      <c r="Q136" s="241"/>
      <c r="R136" s="241"/>
      <c r="S136" s="241"/>
      <c r="T136" s="241"/>
      <c r="U136" s="241"/>
      <c r="V136" s="241"/>
      <c r="W136" s="241"/>
    </row>
    <row r="137" spans="1:26" ht="23.25" customHeight="1" thickTop="1" thickBot="1">
      <c r="A137" s="325" t="s">
        <v>150</v>
      </c>
      <c r="B137" s="436" t="s">
        <v>313</v>
      </c>
      <c r="C137" s="437"/>
      <c r="D137" s="438"/>
      <c r="E137" s="436" t="s">
        <v>313</v>
      </c>
      <c r="F137" s="437"/>
      <c r="G137" s="438"/>
      <c r="H137" s="436" t="s">
        <v>313</v>
      </c>
      <c r="I137" s="437"/>
      <c r="J137" s="438"/>
      <c r="L137" s="326" t="s">
        <v>143</v>
      </c>
      <c r="M137" s="327">
        <f>IF(AND(B140="სოფელი",C140&lt;3,C140&gt;0),250,IF(AND(B140="სოფელი",C140&gt;2),((C140)-2)*50+250,0))</f>
        <v>0</v>
      </c>
      <c r="O137" s="241"/>
      <c r="P137" s="241"/>
      <c r="Q137" s="241"/>
      <c r="R137" s="241"/>
      <c r="S137" s="241"/>
      <c r="T137" s="241"/>
      <c r="U137" s="241"/>
      <c r="V137" s="241"/>
      <c r="W137" s="241"/>
    </row>
    <row r="138" spans="1:26" ht="36" customHeight="1" thickTop="1" thickBot="1">
      <c r="A138" s="325" t="s">
        <v>84</v>
      </c>
      <c r="B138" s="436"/>
      <c r="C138" s="437"/>
      <c r="D138" s="438"/>
      <c r="E138" s="436"/>
      <c r="F138" s="437"/>
      <c r="G138" s="438"/>
      <c r="H138" s="436"/>
      <c r="I138" s="437"/>
      <c r="J138" s="438"/>
      <c r="K138" s="241"/>
      <c r="L138" s="326" t="s">
        <v>142</v>
      </c>
      <c r="M138" s="327">
        <f>IF(AND(B140="ქალაქი",C140&lt;3,C140&gt;0),300,IF(AND(B140="ქალაქი",C140&gt;2),((C140)-2)*100+300,0))</f>
        <v>0</v>
      </c>
      <c r="N138" s="315"/>
      <c r="O138" s="241"/>
      <c r="P138" s="241"/>
      <c r="Q138" s="241"/>
      <c r="R138" s="241"/>
      <c r="S138" s="241"/>
      <c r="T138" s="241"/>
      <c r="U138" s="241"/>
      <c r="V138" s="241"/>
      <c r="W138" s="241"/>
    </row>
    <row r="139" spans="1:26" ht="23.25" customHeight="1" thickTop="1" thickBot="1">
      <c r="A139" s="328" t="s">
        <v>383</v>
      </c>
      <c r="B139" s="436"/>
      <c r="C139" s="437"/>
      <c r="D139" s="438"/>
      <c r="E139" s="436"/>
      <c r="F139" s="437"/>
      <c r="G139" s="438"/>
      <c r="H139" s="436"/>
      <c r="I139" s="437"/>
      <c r="J139" s="438"/>
      <c r="K139" s="241"/>
      <c r="L139" s="361" t="s">
        <v>453</v>
      </c>
      <c r="M139" s="327">
        <f>G140</f>
        <v>0</v>
      </c>
      <c r="N139" s="315"/>
      <c r="O139" s="241"/>
      <c r="P139" s="241"/>
      <c r="Q139" s="241"/>
      <c r="R139" s="241"/>
      <c r="S139" s="241"/>
      <c r="T139" s="241"/>
      <c r="U139" s="241"/>
      <c r="V139" s="241"/>
      <c r="W139" s="241"/>
    </row>
    <row r="140" spans="1:26" ht="23.25" customHeight="1" thickTop="1" thickBot="1">
      <c r="A140" s="328" t="s">
        <v>620</v>
      </c>
      <c r="B140" s="358"/>
      <c r="C140" s="358"/>
      <c r="D140" s="359"/>
      <c r="E140" s="358"/>
      <c r="F140" s="358"/>
      <c r="G140" s="359"/>
      <c r="H140" s="358"/>
      <c r="I140" s="358"/>
      <c r="J140" s="359"/>
      <c r="K140" s="241"/>
      <c r="L140" s="330" t="s">
        <v>143</v>
      </c>
      <c r="M140" s="331">
        <f>IF(AND(E140="სოფელი",F140&lt;3,F140&gt;0),250,IF(AND(E140="სოფელი",F140&gt;2),((F140)-2)*50+250,0))</f>
        <v>0</v>
      </c>
      <c r="N140" s="315"/>
      <c r="O140" s="241"/>
      <c r="P140" s="241"/>
      <c r="Q140" s="241"/>
      <c r="R140" s="241"/>
      <c r="S140" s="241"/>
      <c r="T140" s="241"/>
      <c r="U140" s="241"/>
      <c r="V140" s="241"/>
      <c r="W140" s="241"/>
    </row>
    <row r="141" spans="1:26" ht="23.25" customHeight="1" thickTop="1" thickBot="1">
      <c r="A141" s="329" t="s">
        <v>362</v>
      </c>
      <c r="B141" s="436"/>
      <c r="C141" s="437"/>
      <c r="D141" s="438"/>
      <c r="E141" s="436"/>
      <c r="F141" s="437"/>
      <c r="G141" s="438"/>
      <c r="H141" s="436"/>
      <c r="I141" s="437"/>
      <c r="J141" s="438"/>
      <c r="K141" s="241"/>
      <c r="L141" s="330" t="s">
        <v>142</v>
      </c>
      <c r="M141" s="331">
        <f>IF(AND(E140="ქალაქი",F140&lt;3,F140&gt;0),300,IF(AND(E140="ქალაქი",F140&gt;2),((F140)-2)*100+300,0))</f>
        <v>0</v>
      </c>
      <c r="N141" s="315"/>
      <c r="O141" s="241"/>
      <c r="P141" s="241"/>
      <c r="Q141" s="241"/>
      <c r="R141" s="241"/>
      <c r="S141" s="241"/>
      <c r="T141" s="241"/>
      <c r="U141" s="241"/>
      <c r="V141" s="241"/>
      <c r="W141" s="241"/>
      <c r="X141" s="243"/>
      <c r="Y141" s="243"/>
      <c r="Z141" s="243"/>
    </row>
    <row r="142" spans="1:26" ht="23.25" customHeight="1" thickTop="1" thickBot="1">
      <c r="A142" s="328" t="s">
        <v>445</v>
      </c>
      <c r="B142" s="436"/>
      <c r="C142" s="437"/>
      <c r="D142" s="438"/>
      <c r="E142" s="436"/>
      <c r="F142" s="437"/>
      <c r="G142" s="438"/>
      <c r="H142" s="436"/>
      <c r="I142" s="437"/>
      <c r="J142" s="438"/>
      <c r="K142" s="241"/>
      <c r="L142" s="362" t="s">
        <v>454</v>
      </c>
      <c r="M142" s="331">
        <f>J140</f>
        <v>0</v>
      </c>
      <c r="N142" s="315"/>
      <c r="O142" s="241"/>
      <c r="P142" s="241"/>
      <c r="Q142" s="241"/>
      <c r="R142" s="241"/>
      <c r="S142" s="241"/>
      <c r="T142" s="241"/>
      <c r="U142" s="241"/>
      <c r="V142" s="241"/>
      <c r="W142" s="241"/>
    </row>
    <row r="143" spans="1:26" ht="23.25" customHeight="1" thickTop="1" thickBot="1">
      <c r="A143" s="329" t="s">
        <v>446</v>
      </c>
      <c r="B143" s="436"/>
      <c r="C143" s="437"/>
      <c r="D143" s="438"/>
      <c r="E143" s="436"/>
      <c r="F143" s="437"/>
      <c r="G143" s="438"/>
      <c r="H143" s="436"/>
      <c r="I143" s="437"/>
      <c r="J143" s="438"/>
      <c r="K143" s="241"/>
      <c r="L143" s="332" t="s">
        <v>143</v>
      </c>
      <c r="M143" s="333">
        <f>IF(AND(H140="სოფელი",I140&lt;3,I140&gt;0),250,IF(AND(H140="სოფელი",I140&gt;2),((I140)-2)*50+250,0))</f>
        <v>0</v>
      </c>
      <c r="N143" s="315"/>
      <c r="O143" s="241"/>
      <c r="P143" s="241"/>
      <c r="Q143" s="241"/>
      <c r="R143" s="241"/>
      <c r="S143" s="241"/>
      <c r="T143" s="241"/>
      <c r="U143" s="241"/>
      <c r="V143" s="241"/>
      <c r="W143" s="241"/>
    </row>
    <row r="144" spans="1:26" ht="23.25" customHeight="1" thickTop="1" thickBot="1">
      <c r="A144" s="328" t="s">
        <v>591</v>
      </c>
      <c r="B144" s="436"/>
      <c r="C144" s="437"/>
      <c r="D144" s="220"/>
      <c r="E144" s="436"/>
      <c r="F144" s="437"/>
      <c r="G144" s="220"/>
      <c r="H144" s="436"/>
      <c r="I144" s="437"/>
      <c r="J144" s="220"/>
      <c r="K144" s="241"/>
      <c r="L144" s="332" t="s">
        <v>142</v>
      </c>
      <c r="M144" s="333">
        <f>IF(AND(H140="ქალაქი",I140&lt;3,I140&gt;0),300,IF(AND(H140="ქალაქი",I140&gt;2),((I140)-2)*100+300,0))</f>
        <v>0</v>
      </c>
      <c r="N144" s="315"/>
      <c r="O144" s="241"/>
      <c r="P144" s="241"/>
      <c r="Q144" s="241"/>
      <c r="R144" s="241"/>
      <c r="S144" s="241"/>
      <c r="T144" s="241"/>
      <c r="U144" s="241"/>
    </row>
    <row r="145" spans="1:23" ht="23.25" customHeight="1" thickTop="1" thickBot="1">
      <c r="A145" s="328" t="s">
        <v>447</v>
      </c>
      <c r="B145" s="436"/>
      <c r="C145" s="437"/>
      <c r="D145" s="438"/>
      <c r="E145" s="436"/>
      <c r="F145" s="437"/>
      <c r="G145" s="438"/>
      <c r="H145" s="436"/>
      <c r="I145" s="437"/>
      <c r="J145" s="438"/>
      <c r="L145" s="241"/>
      <c r="M145" s="241"/>
      <c r="N145" s="241"/>
      <c r="O145" s="241"/>
      <c r="V145" s="241"/>
      <c r="W145" s="241"/>
    </row>
    <row r="146" spans="1:23" ht="20.25" customHeight="1" thickTop="1" thickBot="1">
      <c r="A146" s="329" t="s">
        <v>309</v>
      </c>
      <c r="B146" s="436"/>
      <c r="C146" s="437"/>
      <c r="D146" s="438"/>
      <c r="E146" s="436"/>
      <c r="F146" s="437"/>
      <c r="G146" s="438"/>
      <c r="H146" s="436"/>
      <c r="I146" s="437"/>
      <c r="J146" s="438"/>
      <c r="L146" s="634" t="s">
        <v>581</v>
      </c>
      <c r="M146" s="635"/>
      <c r="N146" s="635"/>
      <c r="O146" s="635"/>
      <c r="V146" s="241"/>
      <c r="W146" s="241"/>
    </row>
    <row r="147" spans="1:23" ht="20.25" customHeight="1" thickTop="1" thickBot="1">
      <c r="A147" s="328" t="s">
        <v>448</v>
      </c>
      <c r="B147" s="436"/>
      <c r="C147" s="437"/>
      <c r="D147" s="438"/>
      <c r="E147" s="436"/>
      <c r="F147" s="437"/>
      <c r="G147" s="438"/>
      <c r="H147" s="436"/>
      <c r="I147" s="437"/>
      <c r="J147" s="438"/>
      <c r="L147" s="334"/>
      <c r="M147" s="335" t="s">
        <v>452</v>
      </c>
      <c r="N147" s="335" t="s">
        <v>453</v>
      </c>
      <c r="O147" s="335" t="s">
        <v>454</v>
      </c>
      <c r="V147" s="241"/>
      <c r="W147" s="241"/>
    </row>
    <row r="148" spans="1:23" ht="20.25" customHeight="1" thickTop="1" thickBot="1">
      <c r="A148" s="328" t="s">
        <v>577</v>
      </c>
      <c r="B148" s="458"/>
      <c r="C148" s="459"/>
      <c r="D148" s="460"/>
      <c r="E148" s="458"/>
      <c r="F148" s="459"/>
      <c r="G148" s="460"/>
      <c r="H148" s="458"/>
      <c r="I148" s="459"/>
      <c r="J148" s="460"/>
      <c r="L148" s="334" t="s">
        <v>577</v>
      </c>
      <c r="M148" s="336">
        <f>IF(B148="ბიზნესი/აგრო","ბიზნესი",B148)</f>
        <v>0</v>
      </c>
      <c r="N148" s="336">
        <f>IF(E148="ბიზნესი/აგრო","ბიზნესი",E148)</f>
        <v>0</v>
      </c>
      <c r="O148" s="336">
        <f>IF(H148="ბიზნესი/აგრო","ბიზნესი",H148)</f>
        <v>0</v>
      </c>
      <c r="V148" s="241"/>
      <c r="W148" s="241"/>
    </row>
    <row r="149" spans="1:23" ht="20.25" customHeight="1" thickTop="1" thickBot="1">
      <c r="A149" s="328" t="s">
        <v>547</v>
      </c>
      <c r="B149" s="446"/>
      <c r="C149" s="447"/>
      <c r="D149" s="448"/>
      <c r="E149" s="446"/>
      <c r="F149" s="447"/>
      <c r="G149" s="448"/>
      <c r="H149" s="446"/>
      <c r="I149" s="447"/>
      <c r="J149" s="448"/>
      <c r="L149" s="334" t="s">
        <v>583</v>
      </c>
      <c r="M149" s="336">
        <f>B152</f>
        <v>0</v>
      </c>
      <c r="N149" s="336">
        <f>E152</f>
        <v>0</v>
      </c>
      <c r="O149" s="336">
        <f>H152</f>
        <v>0</v>
      </c>
      <c r="V149" s="241"/>
      <c r="W149" s="241"/>
    </row>
    <row r="150" spans="1:23" ht="20.25" customHeight="1" thickTop="1" thickBot="1">
      <c r="A150" s="328" t="s">
        <v>548</v>
      </c>
      <c r="B150" s="446"/>
      <c r="C150" s="447"/>
      <c r="D150" s="448"/>
      <c r="E150" s="446"/>
      <c r="F150" s="447"/>
      <c r="G150" s="448"/>
      <c r="H150" s="446"/>
      <c r="I150" s="447"/>
      <c r="J150" s="448"/>
      <c r="L150" s="334" t="s">
        <v>157</v>
      </c>
      <c r="M150" s="336">
        <f>B156</f>
        <v>0</v>
      </c>
      <c r="N150" s="336">
        <f>E156</f>
        <v>0</v>
      </c>
      <c r="O150" s="336">
        <f>H156</f>
        <v>0</v>
      </c>
      <c r="V150" s="241"/>
      <c r="W150" s="241"/>
    </row>
    <row r="151" spans="1:23" ht="58.5" customHeight="1" thickTop="1" thickBot="1">
      <c r="A151" s="328" t="s">
        <v>549</v>
      </c>
      <c r="B151" s="446"/>
      <c r="C151" s="447"/>
      <c r="D151" s="448"/>
      <c r="E151" s="446"/>
      <c r="F151" s="447"/>
      <c r="G151" s="448"/>
      <c r="H151" s="446"/>
      <c r="I151" s="447"/>
      <c r="J151" s="448"/>
      <c r="L151" s="334" t="s">
        <v>582</v>
      </c>
      <c r="M151" s="336">
        <f>B153</f>
        <v>0</v>
      </c>
      <c r="N151" s="336">
        <f>E153</f>
        <v>0</v>
      </c>
      <c r="O151" s="336">
        <f>H153</f>
        <v>0</v>
      </c>
      <c r="V151" s="241"/>
      <c r="W151" s="241"/>
    </row>
    <row r="152" spans="1:23" ht="72" customHeight="1" thickTop="1" thickBot="1">
      <c r="A152" s="328" t="s">
        <v>578</v>
      </c>
      <c r="B152" s="449">
        <f>B149-B150-B151</f>
        <v>0</v>
      </c>
      <c r="C152" s="450"/>
      <c r="D152" s="451"/>
      <c r="E152" s="449">
        <f>E149-E150-E151</f>
        <v>0</v>
      </c>
      <c r="F152" s="450"/>
      <c r="G152" s="451"/>
      <c r="H152" s="449">
        <f>H149-H150-H151</f>
        <v>0</v>
      </c>
      <c r="I152" s="450"/>
      <c r="J152" s="451"/>
      <c r="L152" s="334" t="s">
        <v>225</v>
      </c>
      <c r="M152" s="336">
        <f>B154</f>
        <v>0</v>
      </c>
      <c r="N152" s="336">
        <f>E154</f>
        <v>0</v>
      </c>
      <c r="O152" s="336">
        <f>H154</f>
        <v>0</v>
      </c>
      <c r="V152" s="241"/>
      <c r="W152" s="241"/>
    </row>
    <row r="153" spans="1:23" ht="30.75" customHeight="1" thickTop="1" thickBot="1">
      <c r="A153" s="328" t="s">
        <v>608</v>
      </c>
      <c r="B153" s="446"/>
      <c r="C153" s="447"/>
      <c r="D153" s="448"/>
      <c r="E153" s="446"/>
      <c r="F153" s="447"/>
      <c r="G153" s="448"/>
      <c r="H153" s="446"/>
      <c r="I153" s="447"/>
      <c r="J153" s="448"/>
      <c r="K153" s="337"/>
      <c r="L153" s="338" t="s">
        <v>588</v>
      </c>
      <c r="M153" s="339">
        <f>(M150+M152+M151)*0.9</f>
        <v>0</v>
      </c>
      <c r="N153" s="339">
        <f>(N150+N152+N151)*0.9</f>
        <v>0</v>
      </c>
      <c r="O153" s="339">
        <f>(O150+O152+O151)*0.9</f>
        <v>0</v>
      </c>
      <c r="V153" s="241"/>
      <c r="W153" s="241"/>
    </row>
    <row r="154" spans="1:23" ht="26.25" customHeight="1" thickTop="1" thickBot="1">
      <c r="A154" s="325" t="s">
        <v>609</v>
      </c>
      <c r="B154" s="446"/>
      <c r="C154" s="447"/>
      <c r="D154" s="448"/>
      <c r="E154" s="446"/>
      <c r="F154" s="447"/>
      <c r="G154" s="448"/>
      <c r="H154" s="446"/>
      <c r="I154" s="447"/>
      <c r="J154" s="448"/>
      <c r="K154" s="337"/>
      <c r="L154" s="340" t="s">
        <v>589</v>
      </c>
      <c r="M154" s="341">
        <f>M153-M152-M151</f>
        <v>0</v>
      </c>
      <c r="N154" s="341">
        <f>N153-N152-N151</f>
        <v>0</v>
      </c>
      <c r="O154" s="341">
        <f>O153-O152-O151</f>
        <v>0</v>
      </c>
      <c r="V154" s="241"/>
      <c r="W154" s="241"/>
    </row>
    <row r="155" spans="1:23" ht="30.75" customHeight="1" thickTop="1" thickBot="1">
      <c r="A155" s="325" t="s">
        <v>585</v>
      </c>
      <c r="B155" s="449">
        <f>MAX(M136:M138)</f>
        <v>0</v>
      </c>
      <c r="C155" s="450"/>
      <c r="D155" s="451"/>
      <c r="E155" s="449">
        <f>MAX(M139:M141)</f>
        <v>0</v>
      </c>
      <c r="F155" s="450"/>
      <c r="G155" s="451"/>
      <c r="H155" s="449">
        <f>MAX(M142:M144)</f>
        <v>0</v>
      </c>
      <c r="I155" s="450"/>
      <c r="J155" s="451"/>
      <c r="K155" s="337"/>
      <c r="L155" s="338" t="s">
        <v>586</v>
      </c>
      <c r="M155" s="339" t="e">
        <f>MIN((M149*M156),(M149-B155))</f>
        <v>#N/A</v>
      </c>
      <c r="N155" s="339" t="e">
        <f>MIN((N149*N156),(N149-E155))</f>
        <v>#N/A</v>
      </c>
      <c r="O155" s="339" t="e">
        <f>MIN((O149*O156),(O149-H155))</f>
        <v>#N/A</v>
      </c>
      <c r="V155" s="241"/>
      <c r="W155" s="241"/>
    </row>
    <row r="156" spans="1:23" ht="21" customHeight="1" thickTop="1" thickBot="1">
      <c r="A156" s="328" t="s">
        <v>550</v>
      </c>
      <c r="B156" s="449">
        <f>B152-B153-B154-B155</f>
        <v>0</v>
      </c>
      <c r="C156" s="450"/>
      <c r="D156" s="451"/>
      <c r="E156" s="449">
        <f>E152-E153-E154-E155</f>
        <v>0</v>
      </c>
      <c r="F156" s="450"/>
      <c r="G156" s="451"/>
      <c r="H156" s="449">
        <f>H152-H153-H154-H155</f>
        <v>0</v>
      </c>
      <c r="I156" s="450"/>
      <c r="J156" s="451"/>
      <c r="L156" s="338" t="s">
        <v>584</v>
      </c>
      <c r="M156" s="339" t="e">
        <f>VLOOKUP(M149,M91:O94,3)</f>
        <v>#N/A</v>
      </c>
      <c r="N156" s="339" t="e">
        <f>VLOOKUP(N149,M91:O94,3)</f>
        <v>#N/A</v>
      </c>
      <c r="O156" s="339" t="e">
        <f>VLOOKUP(O149,M91:O94,3)</f>
        <v>#N/A</v>
      </c>
      <c r="V156" s="241"/>
      <c r="W156" s="241"/>
    </row>
    <row r="157" spans="1:23" ht="30" customHeight="1" thickTop="1" thickBot="1">
      <c r="A157" s="328" t="s">
        <v>587</v>
      </c>
      <c r="B157" s="449" t="str">
        <f>IFERROR(IF(M148="ბიზნესი",M154,IF(M148="სამომხმარებლო",M157,"")),0)</f>
        <v/>
      </c>
      <c r="C157" s="450"/>
      <c r="D157" s="451"/>
      <c r="E157" s="449" t="str">
        <f>IFERROR(IF(N148="ბიზნესი",N154,IF(N148="სამომხმარებლო",N157,"")),0)</f>
        <v/>
      </c>
      <c r="F157" s="450"/>
      <c r="G157" s="451"/>
      <c r="H157" s="449" t="str">
        <f>IFERROR(IF(O148="ბიზნესი",O154,IF(O148="სამომხმარებლო",O157,"")),0)</f>
        <v/>
      </c>
      <c r="I157" s="450"/>
      <c r="J157" s="451"/>
      <c r="L157" s="340" t="s">
        <v>590</v>
      </c>
      <c r="M157" s="341" t="e">
        <f>M155-M151-M152</f>
        <v>#N/A</v>
      </c>
      <c r="N157" s="341" t="e">
        <f>N155-N151-N152</f>
        <v>#N/A</v>
      </c>
      <c r="O157" s="341" t="e">
        <f>O155-O151-O152</f>
        <v>#N/A</v>
      </c>
      <c r="S157" s="241"/>
      <c r="T157" s="241"/>
      <c r="U157" s="241"/>
      <c r="V157" s="241"/>
      <c r="W157" s="241"/>
    </row>
    <row r="158" spans="1:23" ht="27.75" customHeight="1" thickTop="1" thickBot="1">
      <c r="A158" s="328" t="s">
        <v>552</v>
      </c>
      <c r="B158" s="440">
        <f>IFERROR(B157*B25,0)</f>
        <v>0</v>
      </c>
      <c r="C158" s="441"/>
      <c r="D158" s="442"/>
      <c r="E158" s="440">
        <f>IFERROR(E157*B25,0)</f>
        <v>0</v>
      </c>
      <c r="F158" s="441"/>
      <c r="G158" s="442"/>
      <c r="H158" s="440">
        <f>IFERROR(H157*B25,0)</f>
        <v>0</v>
      </c>
      <c r="I158" s="441"/>
      <c r="J158" s="442"/>
      <c r="S158" s="241"/>
      <c r="T158" s="241"/>
      <c r="U158" s="241"/>
    </row>
    <row r="159" spans="1:23" ht="21" customHeight="1" thickTop="1" thickBot="1">
      <c r="A159" s="328" t="s">
        <v>579</v>
      </c>
      <c r="B159" s="443" t="str">
        <f>IFERROR(B157/B32,"")</f>
        <v/>
      </c>
      <c r="C159" s="444"/>
      <c r="D159" s="445"/>
      <c r="E159" s="443" t="str">
        <f>IFERROR(E157/B32,"")</f>
        <v/>
      </c>
      <c r="F159" s="444"/>
      <c r="G159" s="445"/>
      <c r="H159" s="443" t="str">
        <f>IFERROR(H157/B32,"")</f>
        <v/>
      </c>
      <c r="I159" s="444"/>
      <c r="J159" s="445"/>
    </row>
    <row r="160" spans="1:23" ht="21" customHeight="1" thickTop="1" thickBot="1">
      <c r="A160" s="342" t="s">
        <v>451</v>
      </c>
      <c r="B160" s="436"/>
      <c r="C160" s="437"/>
      <c r="D160" s="438"/>
      <c r="E160" s="436"/>
      <c r="F160" s="437"/>
      <c r="G160" s="438"/>
      <c r="H160" s="436"/>
      <c r="I160" s="437"/>
      <c r="J160" s="438"/>
    </row>
    <row r="161" spans="1:10" ht="21" customHeight="1" thickTop="1" thickBot="1">
      <c r="A161" s="439" t="s">
        <v>604</v>
      </c>
      <c r="B161" s="439"/>
      <c r="C161" s="439"/>
      <c r="D161" s="439"/>
      <c r="E161" s="439"/>
      <c r="F161" s="439"/>
      <c r="G161" s="439"/>
      <c r="H161" s="439"/>
      <c r="I161" s="439"/>
      <c r="J161" s="439"/>
    </row>
    <row r="162" spans="1:10" ht="21" customHeight="1" thickTop="1">
      <c r="A162" s="427"/>
      <c r="B162" s="428"/>
      <c r="C162" s="428"/>
      <c r="D162" s="428"/>
      <c r="E162" s="428"/>
      <c r="F162" s="428"/>
      <c r="G162" s="428"/>
      <c r="H162" s="428"/>
      <c r="I162" s="428"/>
      <c r="J162" s="429"/>
    </row>
    <row r="163" spans="1:10" ht="21" customHeight="1">
      <c r="A163" s="430"/>
      <c r="B163" s="431"/>
      <c r="C163" s="431"/>
      <c r="D163" s="431"/>
      <c r="E163" s="431"/>
      <c r="F163" s="431"/>
      <c r="G163" s="431"/>
      <c r="H163" s="431"/>
      <c r="I163" s="431"/>
      <c r="J163" s="432"/>
    </row>
    <row r="164" spans="1:10" ht="21" customHeight="1">
      <c r="A164" s="430"/>
      <c r="B164" s="431"/>
      <c r="C164" s="431"/>
      <c r="D164" s="431"/>
      <c r="E164" s="431"/>
      <c r="F164" s="431"/>
      <c r="G164" s="431"/>
      <c r="H164" s="431"/>
      <c r="I164" s="431"/>
      <c r="J164" s="432"/>
    </row>
    <row r="165" spans="1:10" ht="21" customHeight="1">
      <c r="A165" s="430"/>
      <c r="B165" s="431"/>
      <c r="C165" s="431"/>
      <c r="D165" s="431"/>
      <c r="E165" s="431"/>
      <c r="F165" s="431"/>
      <c r="G165" s="431"/>
      <c r="H165" s="431"/>
      <c r="I165" s="431"/>
      <c r="J165" s="432"/>
    </row>
    <row r="166" spans="1:10" ht="21" customHeight="1">
      <c r="A166" s="430"/>
      <c r="B166" s="431"/>
      <c r="C166" s="431"/>
      <c r="D166" s="431"/>
      <c r="E166" s="431"/>
      <c r="F166" s="431"/>
      <c r="G166" s="431"/>
      <c r="H166" s="431"/>
      <c r="I166" s="431"/>
      <c r="J166" s="432"/>
    </row>
    <row r="167" spans="1:10" ht="21" customHeight="1">
      <c r="A167" s="430"/>
      <c r="B167" s="431"/>
      <c r="C167" s="431"/>
      <c r="D167" s="431"/>
      <c r="E167" s="431"/>
      <c r="F167" s="431"/>
      <c r="G167" s="431"/>
      <c r="H167" s="431"/>
      <c r="I167" s="431"/>
      <c r="J167" s="432"/>
    </row>
    <row r="168" spans="1:10" ht="21" customHeight="1">
      <c r="A168" s="430"/>
      <c r="B168" s="431"/>
      <c r="C168" s="431"/>
      <c r="D168" s="431"/>
      <c r="E168" s="431"/>
      <c r="F168" s="431"/>
      <c r="G168" s="431"/>
      <c r="H168" s="431"/>
      <c r="I168" s="431"/>
      <c r="J168" s="432"/>
    </row>
    <row r="169" spans="1:10" ht="21" customHeight="1">
      <c r="A169" s="430"/>
      <c r="B169" s="431"/>
      <c r="C169" s="431"/>
      <c r="D169" s="431"/>
      <c r="E169" s="431"/>
      <c r="F169" s="431"/>
      <c r="G169" s="431"/>
      <c r="H169" s="431"/>
      <c r="I169" s="431"/>
      <c r="J169" s="432"/>
    </row>
    <row r="170" spans="1:10" ht="21" customHeight="1" thickBot="1">
      <c r="A170" s="433"/>
      <c r="B170" s="434"/>
      <c r="C170" s="434"/>
      <c r="D170" s="434"/>
      <c r="E170" s="434"/>
      <c r="F170" s="434"/>
      <c r="G170" s="434"/>
      <c r="H170" s="434"/>
      <c r="I170" s="434"/>
      <c r="J170" s="435"/>
    </row>
    <row r="171" spans="1:10" ht="21" customHeight="1" thickTop="1" thickBot="1">
      <c r="A171" s="439" t="s">
        <v>455</v>
      </c>
      <c r="B171" s="439"/>
      <c r="C171" s="439"/>
      <c r="D171" s="439"/>
      <c r="E171" s="439"/>
      <c r="F171" s="439"/>
      <c r="G171" s="439"/>
      <c r="H171" s="439"/>
      <c r="I171" s="439"/>
      <c r="J171" s="439"/>
    </row>
    <row r="172" spans="1:10" ht="21" customHeight="1" thickTop="1" thickBot="1">
      <c r="A172" s="324"/>
      <c r="B172" s="455" t="s">
        <v>456</v>
      </c>
      <c r="C172" s="456"/>
      <c r="D172" s="456"/>
      <c r="E172" s="457"/>
      <c r="F172" s="455" t="s">
        <v>457</v>
      </c>
      <c r="G172" s="456"/>
      <c r="H172" s="457"/>
      <c r="I172" s="455" t="s">
        <v>458</v>
      </c>
      <c r="J172" s="457"/>
    </row>
    <row r="173" spans="1:10" ht="21" customHeight="1" thickTop="1" thickBot="1">
      <c r="A173" s="325" t="s">
        <v>150</v>
      </c>
      <c r="B173" s="436"/>
      <c r="C173" s="437"/>
      <c r="D173" s="437"/>
      <c r="E173" s="437"/>
      <c r="F173" s="436"/>
      <c r="G173" s="437"/>
      <c r="H173" s="438"/>
      <c r="I173" s="437"/>
      <c r="J173" s="438"/>
    </row>
    <row r="174" spans="1:10" ht="21" customHeight="1" thickTop="1" thickBot="1">
      <c r="A174" s="325" t="s">
        <v>84</v>
      </c>
      <c r="B174" s="436"/>
      <c r="C174" s="437"/>
      <c r="D174" s="437"/>
      <c r="E174" s="438"/>
      <c r="F174" s="436"/>
      <c r="G174" s="437"/>
      <c r="H174" s="438"/>
      <c r="I174" s="436"/>
      <c r="J174" s="438"/>
    </row>
    <row r="175" spans="1:10" ht="21" customHeight="1" thickTop="1" thickBot="1">
      <c r="A175" s="328" t="s">
        <v>383</v>
      </c>
      <c r="B175" s="436"/>
      <c r="C175" s="437"/>
      <c r="D175" s="437"/>
      <c r="E175" s="437"/>
      <c r="F175" s="436"/>
      <c r="G175" s="437"/>
      <c r="H175" s="438"/>
      <c r="I175" s="437"/>
      <c r="J175" s="438"/>
    </row>
    <row r="176" spans="1:10" ht="21" customHeight="1" thickTop="1" thickBot="1">
      <c r="A176" s="329" t="s">
        <v>459</v>
      </c>
      <c r="B176" s="436"/>
      <c r="C176" s="437"/>
      <c r="D176" s="437"/>
      <c r="E176" s="437"/>
      <c r="F176" s="436"/>
      <c r="G176" s="437"/>
      <c r="H176" s="438"/>
      <c r="I176" s="437"/>
      <c r="J176" s="438"/>
    </row>
    <row r="177" spans="1:10" ht="21" customHeight="1" thickTop="1" thickBot="1">
      <c r="A177" s="328" t="s">
        <v>309</v>
      </c>
      <c r="B177" s="436"/>
      <c r="C177" s="437"/>
      <c r="D177" s="437"/>
      <c r="E177" s="437"/>
      <c r="F177" s="436"/>
      <c r="G177" s="437"/>
      <c r="H177" s="438"/>
      <c r="I177" s="437"/>
      <c r="J177" s="438"/>
    </row>
    <row r="178" spans="1:10" ht="21" customHeight="1" thickTop="1"/>
  </sheetData>
  <sheetProtection algorithmName="SHA-512" hashValue="yhxnxFZhCVA+v9BEVaHo3+0/j7MnuRumGAGGZxaDK9V1AECJxGHGTZMcFzOXqMncJhejYD0q4ZdQCA4rPJmWBA==" saltValue="g1GlIvPUuWeFkjQ2NWzEjA==" spinCount="100000" sheet="1" autoFilter="0"/>
  <mergeCells count="322">
    <mergeCell ref="A51:J51"/>
    <mergeCell ref="L146:O146"/>
    <mergeCell ref="P93:P94"/>
    <mergeCell ref="A93:J93"/>
    <mergeCell ref="G98:I98"/>
    <mergeCell ref="B98:E98"/>
    <mergeCell ref="B97:E97"/>
    <mergeCell ref="G97:I97"/>
    <mergeCell ref="A120:D120"/>
    <mergeCell ref="E120:J120"/>
    <mergeCell ref="H105:I105"/>
    <mergeCell ref="B100:J100"/>
    <mergeCell ref="A107:J107"/>
    <mergeCell ref="H104:I104"/>
    <mergeCell ref="H106:I106"/>
    <mergeCell ref="I125:J125"/>
    <mergeCell ref="B124:D124"/>
    <mergeCell ref="E124:H124"/>
    <mergeCell ref="I123:J123"/>
    <mergeCell ref="I124:J124"/>
    <mergeCell ref="E129:H129"/>
    <mergeCell ref="I129:J129"/>
    <mergeCell ref="I128:J128"/>
    <mergeCell ref="H144:I144"/>
    <mergeCell ref="H2:I2"/>
    <mergeCell ref="H3:I3"/>
    <mergeCell ref="E2:G3"/>
    <mergeCell ref="B26:E26"/>
    <mergeCell ref="F26:I26"/>
    <mergeCell ref="B46:C46"/>
    <mergeCell ref="C27:E27"/>
    <mergeCell ref="G27:I27"/>
    <mergeCell ref="B28:J28"/>
    <mergeCell ref="B38:J38"/>
    <mergeCell ref="B33:E33"/>
    <mergeCell ref="B32:D32"/>
    <mergeCell ref="E32:I32"/>
    <mergeCell ref="B30:J30"/>
    <mergeCell ref="B40:J40"/>
    <mergeCell ref="F14:H14"/>
    <mergeCell ref="B9:F9"/>
    <mergeCell ref="G9:I9"/>
    <mergeCell ref="H31:I31"/>
    <mergeCell ref="I13:J13"/>
    <mergeCell ref="B20:J20"/>
    <mergeCell ref="F33:I33"/>
    <mergeCell ref="H29:I29"/>
    <mergeCell ref="E45:G45"/>
    <mergeCell ref="I49:J49"/>
    <mergeCell ref="H46:I46"/>
    <mergeCell ref="D44:D45"/>
    <mergeCell ref="B43:C43"/>
    <mergeCell ref="B44:C44"/>
    <mergeCell ref="B45:C45"/>
    <mergeCell ref="B48:C48"/>
    <mergeCell ref="G48:H48"/>
    <mergeCell ref="I48:J48"/>
    <mergeCell ref="H44:I45"/>
    <mergeCell ref="F34:H34"/>
    <mergeCell ref="B35:J35"/>
    <mergeCell ref="B88:J88"/>
    <mergeCell ref="B86:J86"/>
    <mergeCell ref="B87:J87"/>
    <mergeCell ref="B83:J83"/>
    <mergeCell ref="B81:J81"/>
    <mergeCell ref="B75:D75"/>
    <mergeCell ref="B42:C42"/>
    <mergeCell ref="B39:J39"/>
    <mergeCell ref="B58:J58"/>
    <mergeCell ref="B57:J57"/>
    <mergeCell ref="A56:J56"/>
    <mergeCell ref="A41:J41"/>
    <mergeCell ref="E42:G42"/>
    <mergeCell ref="H42:I42"/>
    <mergeCell ref="E43:G43"/>
    <mergeCell ref="E44:G44"/>
    <mergeCell ref="E46:G46"/>
    <mergeCell ref="H43:I43"/>
    <mergeCell ref="A47:J47"/>
    <mergeCell ref="A50:J50"/>
    <mergeCell ref="B49:C49"/>
    <mergeCell ref="G49:H49"/>
    <mergeCell ref="B89:J89"/>
    <mergeCell ref="B84:J84"/>
    <mergeCell ref="F23:I23"/>
    <mergeCell ref="B1:J1"/>
    <mergeCell ref="B4:J4"/>
    <mergeCell ref="B5:F5"/>
    <mergeCell ref="G5:J5"/>
    <mergeCell ref="B8:F8"/>
    <mergeCell ref="G8:J8"/>
    <mergeCell ref="A7:J7"/>
    <mergeCell ref="A22:J22"/>
    <mergeCell ref="B6:D6"/>
    <mergeCell ref="E6:J6"/>
    <mergeCell ref="B10:J10"/>
    <mergeCell ref="B12:E12"/>
    <mergeCell ref="F12:H12"/>
    <mergeCell ref="I12:J12"/>
    <mergeCell ref="B2:D2"/>
    <mergeCell ref="B3:D3"/>
    <mergeCell ref="B11:J11"/>
    <mergeCell ref="B13:E13"/>
    <mergeCell ref="F13:H13"/>
    <mergeCell ref="A15:A16"/>
    <mergeCell ref="C15:E16"/>
    <mergeCell ref="B14:E14"/>
    <mergeCell ref="I14:J14"/>
    <mergeCell ref="E74:F74"/>
    <mergeCell ref="E75:F75"/>
    <mergeCell ref="E76:F76"/>
    <mergeCell ref="B15:B16"/>
    <mergeCell ref="B19:J19"/>
    <mergeCell ref="B21:J21"/>
    <mergeCell ref="A18:J18"/>
    <mergeCell ref="B23:E23"/>
    <mergeCell ref="J15:J16"/>
    <mergeCell ref="A30:A31"/>
    <mergeCell ref="B61:D61"/>
    <mergeCell ref="B63:D63"/>
    <mergeCell ref="E69:F69"/>
    <mergeCell ref="E70:F70"/>
    <mergeCell ref="E71:F71"/>
    <mergeCell ref="E72:F72"/>
    <mergeCell ref="G66:J67"/>
    <mergeCell ref="E66:F66"/>
    <mergeCell ref="B59:I59"/>
    <mergeCell ref="G61:J61"/>
    <mergeCell ref="A60:J60"/>
    <mergeCell ref="G62:J62"/>
    <mergeCell ref="G71:J71"/>
    <mergeCell ref="B70:D70"/>
    <mergeCell ref="G68:J68"/>
    <mergeCell ref="B71:D71"/>
    <mergeCell ref="B72:D72"/>
    <mergeCell ref="B73:D73"/>
    <mergeCell ref="G72:J73"/>
    <mergeCell ref="B74:D74"/>
    <mergeCell ref="F15:F16"/>
    <mergeCell ref="G15:I16"/>
    <mergeCell ref="B24:J24"/>
    <mergeCell ref="B25:J25"/>
    <mergeCell ref="G65:J65"/>
    <mergeCell ref="G63:J64"/>
    <mergeCell ref="E61:F61"/>
    <mergeCell ref="B64:D64"/>
    <mergeCell ref="B67:D67"/>
    <mergeCell ref="B65:D65"/>
    <mergeCell ref="B66:D66"/>
    <mergeCell ref="B36:D36"/>
    <mergeCell ref="F36:I36"/>
    <mergeCell ref="B37:D37"/>
    <mergeCell ref="F37:I37"/>
    <mergeCell ref="B34:C34"/>
    <mergeCell ref="B62:D62"/>
    <mergeCell ref="E62:F62"/>
    <mergeCell ref="E63:F63"/>
    <mergeCell ref="E64:F64"/>
    <mergeCell ref="E65:F65"/>
    <mergeCell ref="B68:D68"/>
    <mergeCell ref="B69:D69"/>
    <mergeCell ref="G69:J70"/>
    <mergeCell ref="E68:F68"/>
    <mergeCell ref="B177:E177"/>
    <mergeCell ref="F177:H177"/>
    <mergeCell ref="I177:J177"/>
    <mergeCell ref="B172:E172"/>
    <mergeCell ref="F172:H172"/>
    <mergeCell ref="I172:J172"/>
    <mergeCell ref="A171:J171"/>
    <mergeCell ref="B173:E173"/>
    <mergeCell ref="F173:H173"/>
    <mergeCell ref="I173:J173"/>
    <mergeCell ref="B175:E175"/>
    <mergeCell ref="F175:H175"/>
    <mergeCell ref="I175:J175"/>
    <mergeCell ref="B176:E176"/>
    <mergeCell ref="F176:H176"/>
    <mergeCell ref="I176:J176"/>
    <mergeCell ref="B174:E174"/>
    <mergeCell ref="F174:H174"/>
    <mergeCell ref="I174:J174"/>
    <mergeCell ref="B147:D147"/>
    <mergeCell ref="B148:D148"/>
    <mergeCell ref="B152:D152"/>
    <mergeCell ref="B144:C144"/>
    <mergeCell ref="E147:G147"/>
    <mergeCell ref="E148:G148"/>
    <mergeCell ref="E73:F73"/>
    <mergeCell ref="B125:D125"/>
    <mergeCell ref="B90:J90"/>
    <mergeCell ref="A119:J119"/>
    <mergeCell ref="B121:D121"/>
    <mergeCell ref="E121:H121"/>
    <mergeCell ref="B123:D123"/>
    <mergeCell ref="E122:H122"/>
    <mergeCell ref="E123:H123"/>
    <mergeCell ref="B122:D122"/>
    <mergeCell ref="I122:J122"/>
    <mergeCell ref="B78:J78"/>
    <mergeCell ref="B92:J92"/>
    <mergeCell ref="E125:H125"/>
    <mergeCell ref="B79:J79"/>
    <mergeCell ref="A77:J77"/>
    <mergeCell ref="G74:J74"/>
    <mergeCell ref="B76:D76"/>
    <mergeCell ref="I126:J126"/>
    <mergeCell ref="B99:E99"/>
    <mergeCell ref="G99:I99"/>
    <mergeCell ref="I121:J121"/>
    <mergeCell ref="G96:I96"/>
    <mergeCell ref="A101:J101"/>
    <mergeCell ref="H102:I102"/>
    <mergeCell ref="H103:I103"/>
    <mergeCell ref="E126:H126"/>
    <mergeCell ref="B126:D126"/>
    <mergeCell ref="A96:A97"/>
    <mergeCell ref="E157:G157"/>
    <mergeCell ref="H157:J157"/>
    <mergeCell ref="E149:G149"/>
    <mergeCell ref="E150:G150"/>
    <mergeCell ref="A128:A129"/>
    <mergeCell ref="B128:D129"/>
    <mergeCell ref="A131:J134"/>
    <mergeCell ref="A135:J135"/>
    <mergeCell ref="E127:H127"/>
    <mergeCell ref="E128:H128"/>
    <mergeCell ref="B127:D127"/>
    <mergeCell ref="E136:G136"/>
    <mergeCell ref="E137:G137"/>
    <mergeCell ref="A130:J130"/>
    <mergeCell ref="I127:J127"/>
    <mergeCell ref="B136:D136"/>
    <mergeCell ref="B137:D137"/>
    <mergeCell ref="B141:D141"/>
    <mergeCell ref="B142:D142"/>
    <mergeCell ref="B143:D143"/>
    <mergeCell ref="B145:D145"/>
    <mergeCell ref="B146:D146"/>
    <mergeCell ref="B138:D138"/>
    <mergeCell ref="B139:D139"/>
    <mergeCell ref="E139:G139"/>
    <mergeCell ref="E141:G141"/>
    <mergeCell ref="E142:G142"/>
    <mergeCell ref="E143:G143"/>
    <mergeCell ref="E145:G145"/>
    <mergeCell ref="E146:G146"/>
    <mergeCell ref="E144:F144"/>
    <mergeCell ref="H143:J143"/>
    <mergeCell ref="E156:G156"/>
    <mergeCell ref="L7:M7"/>
    <mergeCell ref="L135:M135"/>
    <mergeCell ref="B157:D157"/>
    <mergeCell ref="H155:J155"/>
    <mergeCell ref="H156:J156"/>
    <mergeCell ref="B151:D151"/>
    <mergeCell ref="B153:D153"/>
    <mergeCell ref="B154:D154"/>
    <mergeCell ref="B155:D155"/>
    <mergeCell ref="B156:D156"/>
    <mergeCell ref="H136:J136"/>
    <mergeCell ref="H137:J137"/>
    <mergeCell ref="H138:J138"/>
    <mergeCell ref="H139:J139"/>
    <mergeCell ref="H141:J141"/>
    <mergeCell ref="H142:J142"/>
    <mergeCell ref="E138:G138"/>
    <mergeCell ref="H145:J145"/>
    <mergeCell ref="H146:J146"/>
    <mergeCell ref="H147:J147"/>
    <mergeCell ref="H148:J148"/>
    <mergeCell ref="B91:J91"/>
    <mergeCell ref="E52:F52"/>
    <mergeCell ref="G52:H52"/>
    <mergeCell ref="A162:J170"/>
    <mergeCell ref="B160:D160"/>
    <mergeCell ref="A161:J161"/>
    <mergeCell ref="H158:J158"/>
    <mergeCell ref="H159:J159"/>
    <mergeCell ref="H160:J160"/>
    <mergeCell ref="H149:J149"/>
    <mergeCell ref="H150:J150"/>
    <mergeCell ref="H151:J151"/>
    <mergeCell ref="H153:J153"/>
    <mergeCell ref="H154:J154"/>
    <mergeCell ref="E151:G151"/>
    <mergeCell ref="E153:G153"/>
    <mergeCell ref="E154:G154"/>
    <mergeCell ref="E155:G155"/>
    <mergeCell ref="E158:G158"/>
    <mergeCell ref="E159:G159"/>
    <mergeCell ref="E160:G160"/>
    <mergeCell ref="B149:D149"/>
    <mergeCell ref="B150:D150"/>
    <mergeCell ref="B158:D158"/>
    <mergeCell ref="B159:D159"/>
    <mergeCell ref="E152:G152"/>
    <mergeCell ref="H152:J152"/>
    <mergeCell ref="B17:E17"/>
    <mergeCell ref="G17:I17"/>
    <mergeCell ref="G95:I95"/>
    <mergeCell ref="B95:E95"/>
    <mergeCell ref="B96:E96"/>
    <mergeCell ref="B94:F94"/>
    <mergeCell ref="G94:J94"/>
    <mergeCell ref="A36:A37"/>
    <mergeCell ref="A34:A35"/>
    <mergeCell ref="I52:J52"/>
    <mergeCell ref="E53:F53"/>
    <mergeCell ref="E54:F54"/>
    <mergeCell ref="E55:F55"/>
    <mergeCell ref="G53:H53"/>
    <mergeCell ref="G54:H54"/>
    <mergeCell ref="G55:H55"/>
    <mergeCell ref="I53:J53"/>
    <mergeCell ref="I54:J54"/>
    <mergeCell ref="I55:J55"/>
    <mergeCell ref="B85:J85"/>
    <mergeCell ref="B82:J82"/>
    <mergeCell ref="B80:J80"/>
    <mergeCell ref="E67:F67"/>
    <mergeCell ref="G75:J76"/>
  </mergeCells>
  <conditionalFormatting sqref="B58:C58">
    <cfRule type="expression" dxfId="169" priority="93">
      <formula>$B$57="ხელფასი"</formula>
    </cfRule>
    <cfRule type="expression" dxfId="168" priority="94">
      <formula>$B$57="გზავნილი"</formula>
    </cfRule>
  </conditionalFormatting>
  <conditionalFormatting sqref="B27">
    <cfRule type="expression" dxfId="167" priority="9">
      <formula>$A$27=" "</formula>
    </cfRule>
  </conditionalFormatting>
  <conditionalFormatting sqref="E62:E76">
    <cfRule type="expression" dxfId="166" priority="8">
      <formula>A62="-"</formula>
    </cfRule>
  </conditionalFormatting>
  <conditionalFormatting sqref="B87:C87">
    <cfRule type="expression" dxfId="165" priority="102">
      <formula>A87="-"</formula>
    </cfRule>
  </conditionalFormatting>
  <conditionalFormatting sqref="G61:J62 G65:J76">
    <cfRule type="expression" dxfId="164" priority="6">
      <formula>$G$61=""</formula>
    </cfRule>
  </conditionalFormatting>
  <conditionalFormatting sqref="G63:J64">
    <cfRule type="expression" dxfId="163" priority="5">
      <formula>$G$61=""</formula>
    </cfRule>
  </conditionalFormatting>
  <conditionalFormatting sqref="J95 F95">
    <cfRule type="expression" dxfId="162" priority="3">
      <formula>OR($J$95&gt;$F$95,$J$95&lt;0%)</formula>
    </cfRule>
  </conditionalFormatting>
  <conditionalFormatting sqref="J96 F96">
    <cfRule type="expression" dxfId="161" priority="2">
      <formula>$J$96&gt;$F$96</formula>
    </cfRule>
  </conditionalFormatting>
  <conditionalFormatting sqref="J97 F97">
    <cfRule type="expression" dxfId="160" priority="1">
      <formula>$J$97&gt;$F$97</formula>
    </cfRule>
  </conditionalFormatting>
  <dataValidations count="32">
    <dataValidation type="list" allowBlank="1" showInputMessage="1" showErrorMessage="1" sqref="B57:J57">
      <formula1>SAQ</formula1>
    </dataValidation>
    <dataValidation type="list" allowBlank="1" showInputMessage="1" showErrorMessage="1" sqref="B4:J4">
      <formula1>SC</formula1>
    </dataValidation>
    <dataValidation type="list" allowBlank="1" showInputMessage="1" showErrorMessage="1" sqref="B12:C12">
      <formula1>QS</formula1>
    </dataValidation>
    <dataValidation type="list" allowBlank="1" showInputMessage="1" showErrorMessage="1" sqref="B72:B76">
      <formula1>IF($B$57="აგრო",list3,"")</formula1>
    </dataValidation>
    <dataValidation type="list" allowBlank="1" showInputMessage="1" showErrorMessage="1" sqref="B62:B66">
      <formula1>IF($B$57="აგრო",list1,"")</formula1>
    </dataValidation>
    <dataValidation type="list" allowBlank="1" showInputMessage="1" showErrorMessage="1" sqref="B67:B71">
      <formula1>IF($B$57="აგრო",list2,"")</formula1>
    </dataValidation>
    <dataValidation type="list" allowBlank="1" showInputMessage="1" showErrorMessage="1" sqref="B28:C28">
      <formula1>"ხელმოწერა, ინტერნეტ ბანკი"</formula1>
    </dataValidation>
    <dataValidation type="list" allowBlank="1" showInputMessage="1" showErrorMessage="1" sqref="B23">
      <formula1>PRODUCT</formula1>
    </dataValidation>
    <dataValidation type="whole" operator="lessThan" allowBlank="1" showInputMessage="1" showErrorMessage="1" error="საშეღავათო პერიოდი უნდა იყოს სესხის ვადაზე ნაკლები_x000a_" sqref="B27">
      <formula1>B25</formula1>
    </dataValidation>
    <dataValidation type="list" allowBlank="1" showInputMessage="1" showErrorMessage="1" sqref="B21:J21">
      <formula1>"ალტერნატიული,საკრედიტო კომიტეტი"</formula1>
    </dataValidation>
    <dataValidation type="list" allowBlank="1" showInputMessage="1" showErrorMessage="1" sqref="B11:J11">
      <formula1>"ფიზიკური პირი, იურიდიული პირი"</formula1>
    </dataValidation>
    <dataValidation type="list" allowBlank="1" showInputMessage="1" showErrorMessage="1" sqref="B6:D6">
      <formula1>"ბანკის მიერ, სტაჟიორი, პრომოუტერი, უმცროსი პრომოუტერი, ქოლცენტრი"</formula1>
    </dataValidation>
    <dataValidation type="textLength" allowBlank="1" showInputMessage="1" showErrorMessage="1" errorTitle="შეცდომა" error="პირადი ნომერი უნდა შედგებოდეს 11 ციფრისაგან_x000a__x000a_" sqref="G8:J8">
      <formula1>11</formula1>
      <formula2>11</formula2>
    </dataValidation>
    <dataValidation type="whole" allowBlank="1" showInputMessage="1" showErrorMessage="1" errorTitle="შეცდომა " error="სესხის თანხა უნდა იყოს 1000-15000 ლარის ფარგლებში_x000a__x000a_" sqref="B24:J24">
      <formula1>1</formula1>
      <formula2>15000</formula2>
    </dataValidation>
    <dataValidation type="list" allowBlank="1" showInputMessage="1" showErrorMessage="1" sqref="E103:E106 E109:E118">
      <formula1>"ლარი,დოლარი,ევრო"</formula1>
    </dataValidation>
    <dataValidation type="list" allowBlank="1" showInputMessage="1" showErrorMessage="1" sqref="H103:I106 B15:B16 J31 H109:H118 B144:B145 C145:J145 E144 H144 J9 F15:F17">
      <formula1>"დიახ,არა"</formula1>
    </dataValidation>
    <dataValidation type="list" allowBlank="1" showInputMessage="1" showErrorMessage="1" sqref="B3">
      <formula1>"სერვის ცენტრი, ქოლ ცენტრი"</formula1>
    </dataValidation>
    <dataValidation type="whole" allowBlank="1" showInputMessage="1" showErrorMessage="1" errorTitle="შეცდომა" error="აირჩიეთ რიცხვი 1-31 შუალედში_x000a_" sqref="B39:J39">
      <formula1>1</formula1>
      <formula2>31</formula2>
    </dataValidation>
    <dataValidation type="textLength" allowBlank="1" showInputMessage="1" showErrorMessage="1" errorTitle="შეცდომა" error="ტელეფონის  ნომერი უნდა შედგებოდეს 9 ციფრისაგან" sqref="G5:J5">
      <formula1>9</formula1>
      <formula2>9</formula2>
    </dataValidation>
    <dataValidation type="whole" allowBlank="1" showInputMessage="1" showErrorMessage="1" errorTitle="შეცდომა" error="სქორი უნდა იყოს -1 დან 400-ის ჩათვლით შუალედში_x000a_" sqref="B19:J19">
      <formula1>-1</formula1>
      <formula2>400</formula2>
    </dataValidation>
    <dataValidation type="list" allowBlank="1" showInputMessage="1" showErrorMessage="1" sqref="J23">
      <formula1>"კი,არა"</formula1>
    </dataValidation>
    <dataValidation type="list" allowBlank="1" showInputMessage="1" showErrorMessage="1" sqref="I49:J49">
      <formula1>"თანხმობა, უარყოფა"</formula1>
    </dataValidation>
    <dataValidation type="list" allowBlank="1" showInputMessage="1" showErrorMessage="1" sqref="D43">
      <formula1>"ანუიტეტური, ნულოვანი საშეღავათო"</formula1>
    </dataValidation>
    <dataValidation type="list" allowBlank="1" showInputMessage="1" showErrorMessage="1" sqref="D46">
      <formula1>"1,2,3,4,5,6,7,8,9,10,11"</formula1>
    </dataValidation>
    <dataValidation type="list" allowBlank="1" showInputMessage="1" showErrorMessage="1" sqref="H43:I43">
      <formula1>"1,2,3,4,5,6,7,8,9,10,11,12"</formula1>
    </dataValidation>
    <dataValidation type="list" allowBlank="1" showInputMessage="1" showErrorMessage="1" sqref="F27 J27">
      <formula1>"2%,10%,30%,50%,100%"</formula1>
    </dataValidation>
    <dataValidation type="list" allowBlank="1" showInputMessage="1" showErrorMessage="1" sqref="J33">
      <formula1>"ბიზნესი, სამომხმარებლო, შერეული"</formula1>
    </dataValidation>
    <dataValidation type="list" allowBlank="1" showInputMessage="1" showErrorMessage="1" sqref="B148:J148">
      <formula1>"ბიზნესი/აგრო, სამომხმარებლო"</formula1>
    </dataValidation>
    <dataValidation type="list" allowBlank="1" showInputMessage="1" showErrorMessage="1" sqref="B140 E140 H140">
      <formula1>"ქალაქი,სოფელი"</formula1>
    </dataValidation>
    <dataValidation type="list" allowBlank="1" showInputMessage="1" showErrorMessage="1" sqref="B160:J160">
      <formula1>"გარე თავდები, ოჯახის წევრი"</formula1>
    </dataValidation>
    <dataValidation type="list" allowBlank="1" showInputMessage="1" showErrorMessage="1" sqref="B141:J141">
      <formula1>$L$124:$L$128</formula1>
    </dataValidation>
    <dataValidation type="list" allowBlank="1" showInputMessage="1" showErrorMessage="1" sqref="G53:G55">
      <formula1>"თანხმობა,უარყოფა"</formula1>
    </dataValidation>
  </dataValidations>
  <printOptions horizontalCentered="1"/>
  <pageMargins left="0.25" right="0.25" top="0.75" bottom="0.75" header="0.3" footer="0.3"/>
  <pageSetup scale="39" orientation="portrait" r:id="rId1"/>
  <headerFooter alignWithMargins="0"/>
  <rowBreaks count="2" manualBreakCount="2">
    <brk id="76" max="9" man="1"/>
    <brk id="134" max="9" man="1"/>
  </rowBreaks>
  <extLst>
    <ext xmlns:x14="http://schemas.microsoft.com/office/spreadsheetml/2009/9/main" uri="{CCE6A557-97BC-4b89-ADB6-D9C93CAAB3DF}">
      <x14:dataValidations xmlns:xm="http://schemas.microsoft.com/office/excel/2006/main" count="5">
        <x14:dataValidation type="list" allowBlank="1" showInputMessage="1" showErrorMessage="1">
          <x14:formula1>
            <xm:f>lists!$S$1:$S$5</xm:f>
          </x14:formula1>
          <xm:sqref>B26</xm:sqref>
        </x14:dataValidation>
        <x14:dataValidation type="list" allowBlank="1" showInputMessage="1" showErrorMessage="1" errorTitle="შეცდომა" error="ჩაასწორეთ სესხის ვადა">
          <x14:formula1>
            <xm:f>IF($B$23="სწრაფი სესხი",lists!$E$1:$E$19,lists!$D$1:$D$55)</xm:f>
          </x14:formula1>
          <xm:sqref>B25:J25</xm:sqref>
        </x14:dataValidation>
        <x14:dataValidation type="list" allowBlank="1" showInputMessage="1" showErrorMessage="1">
          <x14:formula1>
            <xm:f>lists!$AI$1:$AI$4</xm:f>
          </x14:formula1>
          <xm:sqref>J103:J106 J109:J118</xm:sqref>
        </x14:dataValidation>
        <x14:dataValidation type="list" allowBlank="1" showInputMessage="1" showErrorMessage="1">
          <x14:formula1>
            <xm:f>lists!$AC$1:$AC$3</xm:f>
          </x14:formula1>
          <xm:sqref>J26</xm:sqref>
        </x14:dataValidation>
        <x14:dataValidation type="list" allowBlank="1" showInputMessage="1" showErrorMessage="1">
          <x14:formula1>
            <xm:f>IF(NOT($B$23=""),lists!$AE$1:$AE$19,"")</xm:f>
          </x14:formula1>
          <xm:sqref>B33:E33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G586"/>
  <sheetViews>
    <sheetView topLeftCell="A19" workbookViewId="0">
      <selection activeCell="L26" sqref="L26"/>
    </sheetView>
  </sheetViews>
  <sheetFormatPr defaultColWidth="0" defaultRowHeight="15" zeroHeight="1"/>
  <cols>
    <col min="1" max="1" width="1.7109375" customWidth="1"/>
    <col min="2" max="8" width="11.7109375" style="1" customWidth="1"/>
    <col min="9" max="9" width="1.7109375" customWidth="1"/>
    <col min="10" max="10" width="11.7109375" customWidth="1"/>
    <col min="11" max="11" width="1.7109375" customWidth="1"/>
    <col min="12" max="18" width="11.7109375" customWidth="1"/>
    <col min="19" max="19" width="1.7109375" customWidth="1"/>
    <col min="20" max="20" width="9.140625" hidden="1" customWidth="1"/>
    <col min="21" max="26" width="10.7109375" hidden="1" customWidth="1"/>
    <col min="27" max="27" width="5.7109375" hidden="1" customWidth="1"/>
    <col min="28" max="34" width="10.7109375" hidden="1" customWidth="1"/>
    <col min="35" max="35" width="5.7109375" hidden="1" customWidth="1"/>
    <col min="36" max="36" width="10.140625" hidden="1" customWidth="1"/>
    <col min="37" max="37" width="10" hidden="1" customWidth="1"/>
    <col min="38" max="39" width="9.140625" hidden="1" customWidth="1"/>
    <col min="40" max="40" width="10.7109375" hidden="1" customWidth="1"/>
    <col min="41" max="43" width="9.140625" hidden="1" customWidth="1"/>
    <col min="44" max="50" width="10.7109375" hidden="1" customWidth="1"/>
    <col min="51" max="51" width="5.7109375" hidden="1" customWidth="1"/>
    <col min="52" max="58" width="10.7109375" hidden="1" customWidth="1"/>
    <col min="59" max="62" width="9.140625" hidden="1" customWidth="1"/>
    <col min="63" max="65" width="10.42578125" hidden="1" customWidth="1"/>
    <col min="66" max="71" width="9.140625" hidden="1" customWidth="1"/>
    <col min="72" max="73" width="10.140625" hidden="1" customWidth="1"/>
    <col min="74" max="293" width="0" hidden="1" customWidth="1"/>
    <col min="294" max="16384" width="9.140625" hidden="1"/>
  </cols>
  <sheetData>
    <row r="1" spans="1:36" ht="32.25">
      <c r="A1" s="21"/>
      <c r="B1" s="22"/>
      <c r="C1" s="22"/>
      <c r="D1" s="23"/>
      <c r="E1" s="23" t="s">
        <v>186</v>
      </c>
      <c r="F1" s="23"/>
      <c r="G1" s="21"/>
      <c r="H1" s="21"/>
      <c r="I1" s="21"/>
      <c r="J1" s="24"/>
      <c r="K1" s="24"/>
      <c r="L1" s="24"/>
      <c r="M1" s="24"/>
      <c r="N1" s="24"/>
      <c r="O1" s="24"/>
      <c r="P1" s="24"/>
      <c r="Q1" s="24"/>
      <c r="R1" s="24"/>
      <c r="S1" s="24"/>
    </row>
    <row r="2" spans="1:36" ht="3.75" customHeight="1" thickBot="1">
      <c r="A2" s="25"/>
      <c r="B2" s="26"/>
      <c r="C2" s="26"/>
      <c r="D2" s="27"/>
      <c r="E2" s="27"/>
      <c r="F2" s="25"/>
      <c r="G2" s="25"/>
      <c r="H2" s="25"/>
      <c r="I2" s="25"/>
      <c r="J2" s="25"/>
      <c r="K2" s="25"/>
      <c r="L2" s="25"/>
      <c r="M2" s="25"/>
      <c r="N2" s="25"/>
      <c r="O2" s="25"/>
      <c r="P2" s="25"/>
      <c r="Q2" s="25"/>
      <c r="R2" s="25"/>
      <c r="S2" s="25"/>
    </row>
    <row r="3" spans="1:36" ht="33.75" thickTop="1" thickBot="1">
      <c r="A3" s="25"/>
      <c r="B3" s="28" t="str">
        <f>IF($F$10="ბიზნეს ოვერდრაფტი","ეფექტური საპროცენტო განაკვეთი (ესგ) განაღდებით","ეფექტური საპროცენტო განაკვეთი (ესგ)")</f>
        <v>ეფექტური საპროცენტო განაკვეთი (ესგ)</v>
      </c>
      <c r="C3" s="26"/>
      <c r="D3" s="27"/>
      <c r="E3" s="27"/>
      <c r="F3" s="25"/>
      <c r="G3" s="25"/>
      <c r="H3" s="29">
        <f>IFERROR(IF(OR($F$46="",$G$46="",$H$46=""),ROUND(XIRR(CHOOSE({1,2},$AB$80:$AB$200,$AG$80:$AG$200),CHOOSE({1,2},$C$80:$C$200,$AF$80:$AF$200),$H$22),4),ROUND(XIRR(CHOOSE({1,2,3,4},$AR$80:$AR$200,$AW$80:$AW$200,$AZ$80:$AZ$200,$BE$80:$BE$200),CHOOSE({1,2,3,4},$C$80:$C$200,$AV$80:$AV$200,$L$80:$L$200,$BD$80:$BD$200),$H$22),4)),"შეცდომაა!")</f>
        <v>0.49840000000000001</v>
      </c>
      <c r="I3" s="25"/>
      <c r="J3" s="25"/>
      <c r="K3" s="25"/>
      <c r="L3" s="28" t="s">
        <v>187</v>
      </c>
      <c r="M3" s="25"/>
      <c r="N3" s="25"/>
      <c r="O3" s="25"/>
      <c r="P3" s="25"/>
      <c r="Q3" s="25"/>
      <c r="R3" s="29" t="str">
        <f>IFERROR(ROUND(XIRR(CHOOSE({1,2,3,4},$AS$80:$AS$200,$AW$80:$AW$200,$BA$80:$BA$200,$BE$80:$BE$200),CHOOSE({1,2,3,4},$C$80:$C$200,$AV$80:$AV$200,$L$80:$L$200,$BD$80:$BD$200),$H$22),4),"შეცდომაა!")</f>
        <v>შეცდომაა!</v>
      </c>
      <c r="S3" s="25"/>
      <c r="V3" s="30"/>
      <c r="W3" s="30"/>
      <c r="AB3" s="30"/>
      <c r="AD3" s="30"/>
      <c r="AI3" s="30"/>
      <c r="AJ3" s="30"/>
    </row>
    <row r="4" spans="1:36" ht="3.75" customHeight="1" thickTop="1">
      <c r="A4" s="25"/>
      <c r="B4" s="28"/>
      <c r="C4" s="26"/>
      <c r="D4" s="27"/>
      <c r="E4" s="27"/>
      <c r="F4" s="25"/>
      <c r="G4" s="25"/>
      <c r="H4" s="31"/>
      <c r="I4" s="25"/>
      <c r="J4" s="25"/>
      <c r="K4" s="25"/>
      <c r="L4" s="25"/>
      <c r="M4" s="25"/>
      <c r="N4" s="25"/>
      <c r="O4" s="25"/>
      <c r="P4" s="25"/>
      <c r="Q4" s="25"/>
      <c r="R4" s="25"/>
      <c r="S4" s="25"/>
    </row>
    <row r="5" spans="1:36" ht="3" customHeight="1">
      <c r="A5" s="32"/>
      <c r="B5" s="33"/>
      <c r="C5" s="34"/>
      <c r="D5" s="35"/>
      <c r="E5" s="35"/>
      <c r="F5" s="32"/>
      <c r="G5" s="32"/>
      <c r="H5" s="36"/>
      <c r="I5" s="32"/>
      <c r="J5" s="32"/>
      <c r="K5" s="32"/>
      <c r="L5" s="32"/>
      <c r="M5" s="32"/>
      <c r="N5" s="32"/>
      <c r="O5" s="32"/>
      <c r="P5" s="32"/>
      <c r="Q5" s="32"/>
      <c r="R5" s="32"/>
      <c r="S5" s="32"/>
    </row>
    <row r="6" spans="1:36" ht="32.25" hidden="1">
      <c r="A6" s="25"/>
      <c r="B6" s="26"/>
      <c r="C6" s="26"/>
      <c r="D6" s="27"/>
      <c r="E6" s="27"/>
      <c r="F6" s="25"/>
      <c r="G6" s="25"/>
      <c r="H6" s="25"/>
      <c r="I6" s="25"/>
      <c r="J6" s="25"/>
      <c r="K6" s="25"/>
      <c r="L6" s="25"/>
      <c r="M6" s="25"/>
      <c r="N6" s="25"/>
      <c r="O6" s="25"/>
      <c r="P6" s="25"/>
      <c r="Q6" s="25"/>
      <c r="R6" s="25"/>
      <c r="S6" s="25"/>
    </row>
    <row r="7" spans="1:36" ht="33.75" hidden="1" thickTop="1" thickBot="1">
      <c r="A7" s="25"/>
      <c r="B7" s="28" t="s">
        <v>188</v>
      </c>
      <c r="C7" s="26"/>
      <c r="D7" s="27"/>
      <c r="E7" s="27"/>
      <c r="F7" s="25"/>
      <c r="G7" s="25"/>
      <c r="H7" s="29" t="str">
        <f ca="1">IFERROR(ROUND(XIRR(CHOOSE({1,2,3,4},$AT$80:$AT$212,$AW$80:$AW$212,$BB$80:$BB$212,$BE$80:$BE$212),CHOOSE({1,2,3,4},$C$80:$C$212,$AV$80:$AV$212,$L$80:$L$212,$BD$80:$BD$212),$H$22),4),"შეცდომაა!")</f>
        <v>შეცდომაა!</v>
      </c>
      <c r="I7" s="25"/>
      <c r="J7" s="25"/>
      <c r="K7" s="25"/>
      <c r="L7" s="28" t="s">
        <v>187</v>
      </c>
      <c r="M7" s="25"/>
      <c r="N7" s="25"/>
      <c r="O7" s="25"/>
      <c r="P7" s="25"/>
      <c r="Q7" s="25"/>
      <c r="R7" s="29" t="str">
        <f>IFERROR(ROUND(XIRR(CHOOSE({1,2,3,4},$AU$80:$AU$212,$AW$80:$AW$212,$BC$80:$BC$212,$BE$80:$BE$212),CHOOSE({1,2,3,4},$C$80:$C$212,$AV$80:$AV$212,$L$80:$L$212,$BD$80:$BD$212),$H$22),4),"შეცდომაა!")</f>
        <v>შეცდომაა!</v>
      </c>
      <c r="S7" s="25"/>
      <c r="AD7" s="30"/>
    </row>
    <row r="8" spans="1:36" ht="33" hidden="1" thickTop="1">
      <c r="A8" s="25"/>
      <c r="B8" s="28"/>
      <c r="C8" s="26"/>
      <c r="D8" s="27"/>
      <c r="E8" s="27"/>
      <c r="F8" s="25"/>
      <c r="G8" s="25"/>
      <c r="H8" s="31"/>
      <c r="I8" s="25"/>
      <c r="J8" s="25"/>
      <c r="K8" s="25"/>
      <c r="L8" s="25"/>
      <c r="M8" s="25"/>
      <c r="N8" s="25"/>
      <c r="O8" s="25"/>
      <c r="P8" s="25"/>
      <c r="Q8" s="25"/>
      <c r="R8" s="25"/>
      <c r="S8" s="25"/>
    </row>
    <row r="9" spans="1:36" hidden="1">
      <c r="A9" s="37"/>
      <c r="B9" s="37"/>
      <c r="C9" s="37"/>
      <c r="D9" s="37"/>
      <c r="E9" s="37"/>
      <c r="F9" s="37"/>
      <c r="G9" s="37"/>
      <c r="H9" s="37"/>
      <c r="I9" s="37"/>
      <c r="J9" s="37"/>
      <c r="K9" s="37"/>
      <c r="L9" s="37"/>
      <c r="M9" s="37"/>
      <c r="N9" s="37"/>
      <c r="O9" s="37"/>
      <c r="P9" s="37"/>
      <c r="Q9" s="37"/>
      <c r="R9" s="37"/>
      <c r="S9" s="37"/>
    </row>
    <row r="10" spans="1:36">
      <c r="A10" s="37"/>
      <c r="B10" s="38" t="s">
        <v>189</v>
      </c>
      <c r="C10" s="37"/>
      <c r="D10" s="37"/>
      <c r="E10" s="37"/>
      <c r="F10" s="654" t="str">
        <f>საქმიანობა!B26</f>
        <v>ანუიტეტური</v>
      </c>
      <c r="G10" s="655"/>
      <c r="H10" s="656"/>
      <c r="I10" s="37"/>
      <c r="J10" s="657" t="str">
        <f>IF($H$22="-","აღნიშნული სესხის თანხაზე და/ან ვადაზე არ გაიცემა სესხი! გთხოვთ გადახედოთ სესხის პირობებს!",IF($H$3&gt;50%,"ეფექტური საპროცენტო განაკვეთი მეტია 50%-ზე! გთხოვთ დააკორექტიროთ გაწითლებული უჯრიდან ერთ-ერთი ან რამოდენიმე!",IF(MIN($F$81:$F$200)&lt;0,"დაფიქსირდა შეცდომა! გთხოვთ ჩაასწორეთ სესხის თანხა / ვადა / პროცენტი / გრაფიკი!","")))</f>
        <v/>
      </c>
      <c r="K10" s="37"/>
      <c r="L10" s="38" t="s">
        <v>491</v>
      </c>
      <c r="M10" s="37"/>
      <c r="N10" s="37"/>
      <c r="O10" s="37"/>
      <c r="P10" s="37"/>
      <c r="Q10" s="37"/>
      <c r="R10" s="39"/>
      <c r="S10" s="37"/>
    </row>
    <row r="11" spans="1:36">
      <c r="A11" s="37"/>
      <c r="B11" s="37"/>
      <c r="C11" s="37"/>
      <c r="D11" s="37"/>
      <c r="E11" s="37"/>
      <c r="F11" s="37"/>
      <c r="G11" s="37"/>
      <c r="H11" s="37"/>
      <c r="I11" s="37"/>
      <c r="J11" s="657"/>
      <c r="K11" s="37"/>
      <c r="L11" s="37"/>
      <c r="M11" s="37"/>
      <c r="N11" s="37"/>
      <c r="O11" s="37"/>
      <c r="P11" s="37"/>
      <c r="Q11" s="37"/>
      <c r="R11" s="37"/>
      <c r="S11" s="37"/>
    </row>
    <row r="12" spans="1:36">
      <c r="A12" s="37"/>
      <c r="B12" s="38" t="str">
        <f>IF(F10="ანუიტეტური","",IF(OR(F10="საშეღავათო",F10="ნულოვანი საშეღავათო"),CONCATENATE(F10," პერიოდი (თვე)"),IF(OR(F10="ასიმეტრიული",F10="ასიმეტრიული პროცენტით"),"გთხოვთ შეავსოთ შესატანი ძირი თანხები",IF(F10="სამომხმარებლო","სამომხმარებლო სესხის ჯგუფი",IF(F10="ბიზნეს ოვერდრაფტი","",IF(F10="საკრედიტო ბარათი","",IF(F10="დეპოზიტით უზრუნველყოფილი","",)))))))</f>
        <v/>
      </c>
      <c r="C12" s="37"/>
      <c r="D12" s="37"/>
      <c r="E12" s="37"/>
      <c r="F12" s="38"/>
      <c r="G12" s="658">
        <f>საქმიანობა!B27</f>
        <v>0</v>
      </c>
      <c r="H12" s="656"/>
      <c r="I12" s="37"/>
      <c r="J12" s="657"/>
      <c r="K12" s="37"/>
      <c r="L12" s="38" t="s">
        <v>492</v>
      </c>
      <c r="M12" s="37"/>
      <c r="N12" s="37"/>
      <c r="O12" s="37"/>
      <c r="P12" s="37"/>
      <c r="Q12" s="37"/>
      <c r="R12" s="40"/>
      <c r="S12" s="37"/>
      <c r="AB12" s="41"/>
    </row>
    <row r="13" spans="1:36">
      <c r="A13" s="37"/>
      <c r="B13" s="37"/>
      <c r="C13" s="37"/>
      <c r="D13" s="37"/>
      <c r="E13" s="37"/>
      <c r="F13" s="37"/>
      <c r="G13" s="37"/>
      <c r="H13" s="37"/>
      <c r="I13" s="37"/>
      <c r="J13" s="657"/>
      <c r="K13" s="37"/>
      <c r="L13" s="37"/>
      <c r="M13" s="37"/>
      <c r="N13" s="37"/>
      <c r="O13" s="37"/>
      <c r="P13" s="37"/>
      <c r="Q13" s="37"/>
      <c r="R13" s="37"/>
      <c r="S13" s="37"/>
    </row>
    <row r="14" spans="1:36">
      <c r="A14" s="37"/>
      <c r="B14" s="38" t="s">
        <v>128</v>
      </c>
      <c r="C14" s="37"/>
      <c r="D14" s="37"/>
      <c r="E14" s="37"/>
      <c r="F14" s="37"/>
      <c r="G14" s="37"/>
      <c r="H14" s="40">
        <f>საქმიანობა!B24</f>
        <v>1500</v>
      </c>
      <c r="I14" s="37"/>
      <c r="J14" s="657"/>
      <c r="K14" s="37"/>
      <c r="L14" s="38" t="s">
        <v>192</v>
      </c>
      <c r="M14" s="37"/>
      <c r="N14" s="37"/>
      <c r="O14" s="37"/>
      <c r="P14" s="37"/>
      <c r="Q14" s="37"/>
      <c r="R14" s="40">
        <v>1.5</v>
      </c>
      <c r="S14" s="37"/>
    </row>
    <row r="15" spans="1:36">
      <c r="A15" s="37"/>
      <c r="B15" s="37"/>
      <c r="C15" s="37"/>
      <c r="D15" s="37"/>
      <c r="E15" s="37"/>
      <c r="F15" s="37"/>
      <c r="G15" s="37"/>
      <c r="H15" s="37"/>
      <c r="I15" s="37"/>
      <c r="J15" s="657"/>
      <c r="K15" s="37"/>
      <c r="L15" s="37"/>
      <c r="M15" s="37"/>
      <c r="N15" s="37"/>
      <c r="O15" s="37"/>
      <c r="P15" s="37"/>
      <c r="Q15" s="37"/>
      <c r="R15" s="37"/>
      <c r="S15" s="37"/>
    </row>
    <row r="16" spans="1:36">
      <c r="A16" s="37"/>
      <c r="B16" s="38" t="s">
        <v>131</v>
      </c>
      <c r="C16" s="37"/>
      <c r="D16" s="37"/>
      <c r="E16" s="37"/>
      <c r="F16" s="37"/>
      <c r="G16" s="37"/>
      <c r="H16" s="42" t="s">
        <v>144</v>
      </c>
      <c r="I16" s="37"/>
      <c r="J16" s="657"/>
      <c r="K16" s="37"/>
      <c r="L16" s="38" t="s">
        <v>193</v>
      </c>
      <c r="M16" s="37"/>
      <c r="N16" s="37"/>
      <c r="O16" s="37"/>
      <c r="P16" s="43"/>
      <c r="Q16" s="44" t="str">
        <f>IF(AND(H16="GEL",(H14-I24)*R16&lt;0.5,P16="",F10&lt;&gt;"დეპოზიტით უზრუნველყოფილი"),"Min GEL 0.5",IF(AND(H16="USD",H14*R16&lt;0.2,P16="",F10&lt;&gt;"დეპოზიტით უზრუნველყოფილი"),"Min USD 0.2",""))</f>
        <v/>
      </c>
      <c r="R16" s="45">
        <f>IF($P$16&lt;&gt;"",$P$16,IF(AND($H$16=$CO$82,$R$14=$CP$82),$CQ$82,IF(AND($H$16=$CO$81,$R$14=$CP$81),$CQ$81,IF(AND($H$16=$CO$85,$R$14=$CP$85),$CQ$85,IF(AND($H$16=$CO$84,$R$14=$CP$84),$CQ$84,0)))))</f>
        <v>5.0000000000000001E-3</v>
      </c>
      <c r="S16" s="46"/>
    </row>
    <row r="17" spans="1:34">
      <c r="A17" s="37"/>
      <c r="B17" s="37"/>
      <c r="C17" s="37"/>
      <c r="D17" s="37"/>
      <c r="E17" s="37"/>
      <c r="F17" s="37"/>
      <c r="G17" s="37"/>
      <c r="H17" s="37"/>
      <c r="I17" s="37"/>
      <c r="J17" s="657"/>
      <c r="K17" s="37"/>
      <c r="L17" s="37"/>
      <c r="M17" s="37"/>
      <c r="N17" s="37"/>
      <c r="O17" s="37"/>
      <c r="P17" s="37"/>
      <c r="Q17" s="37"/>
      <c r="R17" s="37"/>
      <c r="S17" s="37"/>
    </row>
    <row r="18" spans="1:34">
      <c r="A18" s="37"/>
      <c r="B18" s="38" t="s">
        <v>194</v>
      </c>
      <c r="C18" s="37"/>
      <c r="D18" s="37"/>
      <c r="E18" s="37"/>
      <c r="F18" s="37"/>
      <c r="G18" s="37"/>
      <c r="H18" s="47">
        <v>2.6223000000000001</v>
      </c>
      <c r="I18" s="37"/>
      <c r="J18" s="657"/>
      <c r="K18" s="37"/>
      <c r="L18" s="38" t="str">
        <f>IF(H16="GEL","თანხის განაღდების საკომისიო (ლარი)","თანხის განაღდების საკომისიო (აშშ დ.)")</f>
        <v>თანხის განაღდების საკომისიო (ლარი)</v>
      </c>
      <c r="M18" s="37"/>
      <c r="N18" s="37"/>
      <c r="O18" s="37"/>
      <c r="P18" s="40"/>
      <c r="Q18" s="37"/>
      <c r="R18" s="48">
        <f>IF($P$18&lt;&gt;"",$P$18,IF(AND($H$16="GEL",($H$14-$I$24)*$R$16&lt;0.5,$P$16=""),0.5,IF(AND($H$16="USD",($H$14-$I$24)*$R$16&lt;0.2,$P$16=""),0.2,ROUND(($H$14-$I$24)*$R$16,2))))</f>
        <v>7.28</v>
      </c>
      <c r="S18" s="37"/>
    </row>
    <row r="19" spans="1:34">
      <c r="A19" s="37"/>
      <c r="B19" s="38"/>
      <c r="C19" s="37"/>
      <c r="D19" s="37"/>
      <c r="E19" s="37"/>
      <c r="F19" s="37"/>
      <c r="G19" s="37"/>
      <c r="H19" s="37"/>
      <c r="I19" s="37"/>
      <c r="J19" s="657"/>
      <c r="K19" s="37"/>
      <c r="L19" s="38"/>
      <c r="M19" s="37"/>
      <c r="N19" s="37"/>
      <c r="O19" s="37"/>
      <c r="P19" s="37"/>
      <c r="Q19" s="37"/>
      <c r="R19" s="37"/>
      <c r="S19" s="37"/>
    </row>
    <row r="20" spans="1:34">
      <c r="A20" s="49"/>
      <c r="B20" s="38" t="str">
        <f>IF(F10="დეპოზიტით უზრუნველყოფილი","სესხის ვადა (დღე)","სესხის ვადა (თვე)")</f>
        <v>სესხის ვადა (თვე)</v>
      </c>
      <c r="C20" s="37"/>
      <c r="D20" s="37"/>
      <c r="E20" s="37"/>
      <c r="F20" s="37"/>
      <c r="G20" s="48" t="str">
        <f>IF(F10="დეპოზიტით უზრუნველყოფილი",DATE(F30,G30,H30)-DATE(F28,G28,H28),"")</f>
        <v/>
      </c>
      <c r="H20" s="50">
        <f>საქმიანობა!B25</f>
        <v>18</v>
      </c>
      <c r="I20" s="49">
        <v>12</v>
      </c>
      <c r="J20" s="657"/>
      <c r="K20" s="37"/>
      <c r="L20" s="38" t="s">
        <v>195</v>
      </c>
      <c r="M20" s="37"/>
      <c r="N20" s="37"/>
      <c r="O20" s="37"/>
      <c r="P20" s="43">
        <f>საქმიანობა!G29</f>
        <v>6.0000000000000001E-3</v>
      </c>
      <c r="Q20" s="37"/>
      <c r="R20" s="45">
        <f>IF($P$20&lt;&gt;"",$P$20,
IF(AND(OR($F$10="ანუიტეტური",$F$10="საშეღავათო",$F$10="ნულოვანი საშეღავათო",$F$10="ასიმეტრიული",$F$10="ასიმეტრიული პროცენტით"),$H$16="GEL"),VLOOKUP($H$14,$BT$83:$CG$89,14,TRUE),IF(AND(OR($F$10="ანუიტეტური",$F$10="საშეღავათო",$F$10="ნულოვანი საშეღავათო",$F$10="ასიმეტრიული",$F$10="ასიმეტრიული პროცენტით"),$H$16="USD"),VLOOKUP($H$14,$BT$92:$CG$98,14,TRUE),
IF(AND($F$10="სამომხმარებლო",$G$12="დოკ. ხელფასი",$H$16="GEL"),VLOOKUP($H$14,$BT$103:$CG$109,14,TRUE),IF(AND($F$10="სამომხმარებლო",$G$12="დოკ. ხელფასი",$H$16="USD"),VLOOKUP($H$14,$BT$112:$CG$112,14,TRUE),
IF(AND($F$10="სამომხმარებლო",$G$12="შემოს. გზავნილებიდან",$H$16="GEL"),VLOOKUP($H$14,$BT$117:$CG$121,14,TRUE),IF(AND($F$10="სამომხმარებლო",$G$12="შემოს. გზავნილებიდან",$H$16="USD"),VLOOKUP($H$14,$BT$124:$CG$124,14,TRUE),
IF(AND($F$10="ბიზნეს ოვერდრაფტი",$H$16="GEL"),VLOOKUP($H$14,$CJ$85:$CL$85,3,TRUE),IF(AND($F$10="ბიზნეს ოვერდრაფტი",$H$16="USD"),VLOOKUP($H$14,$CJ$86:$CL$86,3,TRUE),
IF(AND($F$10="დეპოზიტით უზრუნველყოფილი",$H$16="GEL"),VLOOKUP($H$16,$BT$127:$CG$128,14,TRUE),IF(AND($F$10="დეპოზიტით უზრუნველყოფილი",$H$16="USD"),VLOOKUP($H$16,$BT$127:$CG$128,14,TRUE))))))))))))</f>
        <v>6.0000000000000001E-3</v>
      </c>
      <c r="S20" s="37"/>
    </row>
    <row r="21" spans="1:34">
      <c r="A21" s="37"/>
      <c r="B21" s="37"/>
      <c r="C21" s="37"/>
      <c r="D21" s="37"/>
      <c r="E21" s="37"/>
      <c r="F21" s="37"/>
      <c r="G21" s="37"/>
      <c r="H21" s="37"/>
      <c r="I21" s="37"/>
      <c r="J21" s="657"/>
      <c r="K21" s="37"/>
      <c r="L21" s="37"/>
      <c r="M21" s="37"/>
      <c r="N21" s="37"/>
      <c r="O21" s="37"/>
      <c r="P21" s="37"/>
      <c r="Q21" s="37"/>
      <c r="R21" s="37"/>
      <c r="S21" s="37"/>
    </row>
    <row r="22" spans="1:34">
      <c r="A22" s="49"/>
      <c r="B22" s="38" t="s">
        <v>196</v>
      </c>
      <c r="C22" s="37"/>
      <c r="D22" s="37"/>
      <c r="E22" s="37"/>
      <c r="F22" s="43">
        <f>საქმიანობა!C29</f>
        <v>0.33500000000000002</v>
      </c>
      <c r="G22" s="37"/>
      <c r="H22" s="45">
        <f>IF($F$22&lt;&gt;"",$F$22,
IF(AND(OR($F$10="ანუიტეტური",$F$10="საშეღავათო",$F$10="ნულოვანი საშეღავათო",$F$10="ასიმეტრიული",$F$10="ასიმეტრიული პროცენტით"),$H$16="GEL"),INDEX($BW$83:$CE$89,MATCH(VLOOKUP($H$14,$BT$83:$BV$89,3,TRUE),$BV$83:$BV$89,0),MATCH(HLOOKUP($H$20,$BW$80:$CE$82,3,TRUE),$BW$82:$CE$82,0)),IF(AND(OR($F$10="ანუიტეტური",$F$10="საშეღავათო",$F$10="ნულოვანი საშეღავათო",$F$10="ასიმეტრიული",$F$10="ასიმეტრიული პროცენტით"),$H$16="USD"),VLOOKUP($H$14,$BT$92:$BV$98,3,TRUE),
IF(AND($F$10="სამომხმარებლო",$G$12="დოკ. ხელფასი",$H$16="GEL"),INDEX($BW$103:$CE$109,MATCH(VLOOKUP($H$14,$BT$103:$BV$109,3,TRUE),$BV$103:$BV$109,0),MATCH(HLOOKUP($H$20,$BW$100:$CE$102,3,TRUE),$BW$102:$CE$102,0)),IF(AND($F$10="სამომხმარებლო",$G$12="დოკ. ხელფასი",$H$16="USD"),VLOOKUP($H$14,$BT$112:$BV$112,3,TRUE),
IF(AND($F$10="სამომხმარებლო",$G$12="შემოს. გზავნილებიდან",$H$16="GEL"),INDEX($BW$117:$CE$121,MATCH(VLOOKUP($H$14,$BT$117:$BV$121,3,TRUE),$BV$117:$BV$121,0),MATCH(HLOOKUP($H$20,$BW$114:$CE$116,3,TRUE),$BW$116:$CE$116,0)),IF(AND($F$10="სამომხმარებლო",$G$12="შემოს. გზავნილებიდან",$H$16="USD"),VLOOKUP($H$14,$BT$124:$BV$124,3,TRUE),
IF(AND($F$10="ბიზნეს ოვერდრაფტი",$H$16="GEL"),VLOOKUP($H$14,$CJ$81:$CL$81,3,TRUE),IF(AND($F$10="ბიზნეს ოვერდრაფტი",$H$16="USD"),VLOOKUP($H$14,$CJ$82:$CL$82,3,TRUE),
IF(AND($F$10="დეპოზიტით უზრუნველყოფილი",$H$16="GEL"),VLOOKUP($H$16,$BT$127:$BV$128,3,TRUE),IF(AND($F$10="დეპოზიტით უზრუნველყოფილი",$H$16="USD"),VLOOKUP($H$16,$BT$127:$BV$128,3,TRUE))))))))))))</f>
        <v>0.33500000000000002</v>
      </c>
      <c r="I22" s="49">
        <v>365</v>
      </c>
      <c r="J22" s="657"/>
      <c r="K22" s="49"/>
      <c r="L22" s="38" t="s">
        <v>197</v>
      </c>
      <c r="M22" s="49"/>
      <c r="N22" s="49"/>
      <c r="O22" s="49"/>
      <c r="P22" s="49"/>
      <c r="Q22" s="49"/>
      <c r="R22" s="48" t="str">
        <f>IF($F$10="ბიზნეს ოვერდრაფტი",$CL$88,IF($F$10="საკრედიტო ბარათი",$CL$99,""))</f>
        <v/>
      </c>
      <c r="S22" s="49"/>
      <c r="AB22" s="51"/>
    </row>
    <row r="23" spans="1:34">
      <c r="A23" s="37"/>
      <c r="B23" s="37"/>
      <c r="C23" s="37"/>
      <c r="D23" s="37"/>
      <c r="E23" s="37"/>
      <c r="F23" s="37"/>
      <c r="G23" s="37"/>
      <c r="H23" s="37"/>
      <c r="I23" s="37"/>
      <c r="J23" s="657"/>
      <c r="K23" s="37"/>
      <c r="L23" s="37"/>
      <c r="M23" s="37"/>
      <c r="N23" s="37"/>
      <c r="O23" s="37"/>
      <c r="P23" s="37"/>
      <c r="Q23" s="37"/>
      <c r="R23" s="37"/>
      <c r="S23" s="37"/>
    </row>
    <row r="24" spans="1:34">
      <c r="A24" s="37"/>
      <c r="B24" s="38" t="str">
        <f>IF($F$10="ბიზნეს ოვერდრაფტი","ოვერდრ. გაცემის საკომისიო","სესხის გაცემის საკომისიო")</f>
        <v>სესხის გაცემის საკომისიო</v>
      </c>
      <c r="C24" s="37"/>
      <c r="D24" s="37"/>
      <c r="E24" s="37"/>
      <c r="F24" s="43">
        <f>საქმიანობა!E29</f>
        <v>0.03</v>
      </c>
      <c r="G24" s="44" t="str">
        <f>IF(AND(H16="GEL",H14*H24&lt;20,F24="",F10&lt;&gt;"ბიზნეს ოვერდრაფტი",F10&lt;&gt;"დეპოზიტით უზრუნველყოფილი",H14&gt;3000),"Min GEL 20",IF(AND(H16="USD",H14*H24&lt;10,F24="",F10&lt;&gt;"ბიზნეს ოვერდრაფტი",F10&lt;&gt;"დეპოზიტით უზრუნველყოფილი"),"Min USD 10",""))</f>
        <v/>
      </c>
      <c r="H24" s="45">
        <f>IF($F$24&lt;&gt;"",$F$24,
IF(AND(OR($F$10="ანუიტეტური",$F$10="საშეღავათო",$F$10="ნულოვანი საშეღავათო",$F$10="ასიმეტრიული",$F$10="ასიმეტრიული პროცენტით"),$H$16="GEL"),VLOOKUP($H$14,$BT$83:$CG$89,13,TRUE),IF(AND(OR($F$10="ანუიტეტური",$F$10="საშეღავათო",$F$10="ნულოვანი საშეღავათო",$F$10="ასიმეტრიული",$F$10="ასიმეტრიული პროცენტით"),$H$16="USD"),VLOOKUP($H$14,$BT$92:$CG$98,13,TRUE),
IF(AND($F$10="სამომხმარებლო",$G$12="დოკ. ხელფასი",$H$16="GEL"),VLOOKUP($H$14,$BT$103:$CG$109,13,TRUE),IF(AND($F$10="სამომხმარებლო",$G$12="დოკ. ხელფასი",$H$16="USD"),VLOOKUP($H$14,$BT$112:$CG$112,13,TRUE),
IF(AND($F$10="სამომხმარებლო",$G$12="შემოს. გზავნილებიდან",$H$16="GEL"),VLOOKUP($H$14,$BT$117:$CG$121,13,TRUE),IF(AND($F$10="სამომხმარებლო",$G$12="შემოს. გზავნილებიდან",$H$16="USD"),VLOOKUP($H$14,$BT$124:$CG$124,13,TRUE),
IF(AND($F$10="ბიზნეს ოვერდრაფტი",$H$16="GEL"),VLOOKUP($H$14,$CJ$83:$CL$83,3,TRUE),IF(AND($F$10="ბიზნეს ოვერდრაფტი",$H$16="USD"),VLOOKUP($H$14,$CJ$84:$CL$84,3,TRUE),
IF(AND($F$10="დეპოზიტით უზრუნველყოფილი",$H$16="GEL"),VLOOKUP($H$16,$BT$127:$CG$128,13,TRUE),IF(AND($F$10="დეპოზიტით უზრუნველყოფილი",$H$16="USD"),VLOOKUP($H$16,$BT$127:$CG$128,13,TRUE))))))))))))</f>
        <v>0.03</v>
      </c>
      <c r="I24" s="52">
        <f>IF(AND($H$16="GEL",$H$14*$H$24&lt;20,$F$24="",$F$10&lt;&gt;"დეპოზიტით უზრუნველყოფილი",$F$10&lt;&gt;"ბიზნეს ოვერდრაფტი",H14&gt;3000),20,IF(AND($H$16="USD",$H$14*$H$24&lt;10,$F$24="",$F$10&lt;&gt;"დეპოზიტით უზრუნველყოფილი",$F$10&lt;&gt;"ბიზნეს ოვერდრაფტი"),10,$H$14*$H$24))</f>
        <v>45</v>
      </c>
      <c r="J24" s="657"/>
      <c r="K24" s="49"/>
      <c r="L24" s="38" t="str">
        <f>IF(H16="GEL","POS-ით ანგარიშსწორებით საკომისიო (ლარი)","POS-ით ანგარიშსწორებით საკომისიო (აშშ დოლარი)")</f>
        <v>POS-ით ანგარიშსწორებით საკომისიო (ლარი)</v>
      </c>
      <c r="M24" s="49"/>
      <c r="N24" s="49"/>
      <c r="O24" s="49"/>
      <c r="P24" s="49"/>
      <c r="Q24" s="49"/>
      <c r="R24" s="48" t="str">
        <f>IF($F$10="ბიზნეს ოვერდრაფტი",$CL$87*$H$14,IF($F$10="საკრედიტო ბარათი",$CL$98*$H$14,""))</f>
        <v/>
      </c>
      <c r="S24" s="49"/>
      <c r="AB24" s="53"/>
    </row>
    <row r="25" spans="1:34">
      <c r="A25" s="37"/>
      <c r="B25" s="37"/>
      <c r="C25" s="37"/>
      <c r="D25" s="37"/>
      <c r="E25" s="37"/>
      <c r="F25" s="37"/>
      <c r="G25" s="37"/>
      <c r="H25" s="37"/>
      <c r="I25" s="37"/>
      <c r="J25" s="657"/>
      <c r="K25" s="37"/>
      <c r="L25" s="37"/>
      <c r="M25" s="37"/>
      <c r="N25" s="37"/>
      <c r="O25" s="37"/>
      <c r="P25" s="37"/>
      <c r="Q25" s="37"/>
      <c r="R25" s="37"/>
      <c r="S25" s="37"/>
    </row>
    <row r="26" spans="1:34">
      <c r="A26" s="37"/>
      <c r="B26" s="37"/>
      <c r="C26" s="37"/>
      <c r="D26" s="37"/>
      <c r="E26" s="37"/>
      <c r="F26" s="54" t="s">
        <v>198</v>
      </c>
      <c r="G26" s="54" t="s">
        <v>199</v>
      </c>
      <c r="H26" s="54" t="s">
        <v>200</v>
      </c>
      <c r="I26" s="37"/>
      <c r="J26" s="657"/>
      <c r="K26" s="26"/>
      <c r="L26" s="26"/>
      <c r="M26" s="26"/>
      <c r="N26" s="26"/>
      <c r="O26" s="26"/>
      <c r="P26" s="26"/>
      <c r="Q26" s="26"/>
      <c r="R26" s="26"/>
      <c r="S26" s="26"/>
    </row>
    <row r="27" spans="1:34">
      <c r="A27" s="37"/>
      <c r="B27" s="37"/>
      <c r="C27" s="37"/>
      <c r="D27" s="37"/>
      <c r="E27" s="37"/>
      <c r="F27" s="37"/>
      <c r="G27" s="37"/>
      <c r="H27" s="37"/>
      <c r="I27" s="37"/>
      <c r="J27" s="657"/>
      <c r="K27" s="26"/>
      <c r="L27" s="37"/>
      <c r="M27" s="37"/>
      <c r="N27" s="37"/>
      <c r="O27" s="55"/>
      <c r="P27" s="55"/>
      <c r="Q27" s="55"/>
      <c r="R27" s="37"/>
      <c r="S27" s="37"/>
    </row>
    <row r="28" spans="1:34">
      <c r="A28" s="37"/>
      <c r="B28" s="38" t="s">
        <v>132</v>
      </c>
      <c r="C28" s="37"/>
      <c r="D28" s="37"/>
      <c r="E28" s="37"/>
      <c r="F28" s="50">
        <f>YEAR(საქმიანობა!B38)</f>
        <v>2019</v>
      </c>
      <c r="G28" s="50">
        <f>MONTH(საქმიანობა!B38)</f>
        <v>3</v>
      </c>
      <c r="H28" s="50">
        <f>DAY(საქმიანობა!B38)</f>
        <v>11</v>
      </c>
      <c r="I28" s="37"/>
      <c r="J28" s="657"/>
      <c r="K28" s="26"/>
      <c r="L28" s="38" t="s">
        <v>201</v>
      </c>
      <c r="M28" s="37"/>
      <c r="N28" s="37"/>
      <c r="O28" s="659" t="s">
        <v>190</v>
      </c>
      <c r="P28" s="660"/>
      <c r="Q28" s="661"/>
      <c r="R28" s="40">
        <v>10000</v>
      </c>
      <c r="S28" s="37"/>
    </row>
    <row r="29" spans="1:34">
      <c r="A29" s="37"/>
      <c r="B29" s="37"/>
      <c r="C29" s="37"/>
      <c r="D29" s="37"/>
      <c r="E29" s="37"/>
      <c r="F29" s="37">
        <f>YEAR(საქმიანობა!B40)</f>
        <v>2019</v>
      </c>
      <c r="G29" s="37">
        <f>MONTH(საქმიანობა!B40)</f>
        <v>4</v>
      </c>
      <c r="H29" s="37">
        <f>DAY(საქმიანობა!B40)</f>
        <v>15</v>
      </c>
      <c r="I29" s="37"/>
      <c r="J29" s="56"/>
      <c r="K29" s="26"/>
      <c r="L29" s="37"/>
      <c r="M29" s="37"/>
      <c r="N29" s="37"/>
      <c r="O29" s="57"/>
      <c r="P29" s="57"/>
      <c r="Q29" s="57"/>
      <c r="R29" s="37"/>
      <c r="S29" s="37"/>
    </row>
    <row r="30" spans="1:34">
      <c r="A30" s="37"/>
      <c r="B30" s="38" t="str">
        <f>IF(F10="დეპოზიტით უზრუნველყოფილი","დეპოზიტის დასრულების თარიღი","პირველი გადახდის თარიღი")</f>
        <v>პირველი გადახდის თარიღი</v>
      </c>
      <c r="C30" s="37"/>
      <c r="D30" s="37"/>
      <c r="E30" s="37"/>
      <c r="F30" s="50">
        <f>YEAR(IF(OR(WEEKDAY(EDATE(DATE($F$29,$G$29,$H$29),0),2)=6,WEEKDAY(EDATE(DATE($F$29,$G$29,$H$29),0),2)=7,IF(EDATE(DATE($F$29,$G$29,$H$29),0)=IFERROR(VLOOKUP(EDATE(DATE($F$29,$G$29,$H$29),0),$BK$80:$BK$624,1,FALSE),0),1,0)=1),WORKDAY(EDATE(DATE($F$29,$G$29,$H$29),0),1,$BK$80:$BK$624),EDATE(DATE($F$29,$G$29,$H$29),0)))</f>
        <v>2019</v>
      </c>
      <c r="G30" s="50">
        <f>MONTH(IF(OR(WEEKDAY(EDATE(DATE($F$29,$G$29,$H$29),0),2)=6,WEEKDAY(EDATE(DATE($F$29,$G$29,$H$29),0),2)=7,IF(EDATE(DATE($F$29,$G$29,$H$29),0)=IFERROR(VLOOKUP(EDATE(DATE($F$29,$G$29,$H$29),0),$BK$80:$BK$624,1,FALSE),0),1,0)=1),WORKDAY(EDATE(DATE($F$29,$G$29,$H$29),0),1,$BK$80:$BK$624),EDATE(DATE($F$29,$G$29,$H$29),0)))</f>
        <v>4</v>
      </c>
      <c r="H30" s="50">
        <f>DAY(IF(OR(WEEKDAY(EDATE(DATE($F$29,$G$29,$H$29),0),2)=6,WEEKDAY(EDATE(DATE($F$29,$G$29,$H$29),0),2)=7,IF(EDATE(DATE($F$29,$G$29,$H$29),0)=IFERROR(VLOOKUP(EDATE(DATE($F$29,$G$29,$H$29),0),$BK$80:$BK$624,1,FALSE),0),1,0)=1),WORKDAY(EDATE(DATE($F$29,$G$29,$H$29),0),1,$BK$80:$BK$624),EDATE(DATE($F$29,$G$29,$H$29),0)))</f>
        <v>15</v>
      </c>
      <c r="I30" s="37"/>
      <c r="J30" s="56"/>
      <c r="K30" s="26"/>
      <c r="L30" s="38" t="str">
        <f>IF(O28="ანუიტეტური","",IF(OR(O28="საშეღავათო",O28="ნულოვანი საშეღავათო"),CONCATENATE(O28," პერიოდი (თვე)"),IF(OR(O28="ასიმეტრიული",O28="ასიმეტრიული პროცენტით"),"გთხოვთ შეავსოთ შესატანი ძირი თანხები",IF(O28="სამომხმარებლო","სამომხმარებლო სესხის ჯგუფი",IF(O28="ბიზნეს ოვერდრაფტი","",IF(O28="საკრედიტო ბარათი","",IF(O28="დეპოზიტით უზრუნველყოფილი","",)))))))</f>
        <v/>
      </c>
      <c r="M30" s="37"/>
      <c r="N30" s="37"/>
      <c r="O30" s="37"/>
      <c r="P30" s="38"/>
      <c r="Q30" s="654">
        <v>1</v>
      </c>
      <c r="R30" s="656"/>
      <c r="S30" s="37"/>
    </row>
    <row r="31" spans="1:34">
      <c r="A31" s="37"/>
      <c r="B31" s="37"/>
      <c r="C31" s="37"/>
      <c r="D31" s="37"/>
      <c r="E31" s="37"/>
      <c r="F31" s="37"/>
      <c r="G31" s="37"/>
      <c r="H31" s="37"/>
      <c r="I31" s="37"/>
      <c r="J31" s="37"/>
      <c r="K31" s="26"/>
      <c r="L31" s="37"/>
      <c r="M31" s="37"/>
      <c r="N31" s="37"/>
      <c r="O31" s="37"/>
      <c r="P31" s="37"/>
      <c r="Q31" s="37"/>
      <c r="R31" s="37"/>
      <c r="S31" s="37"/>
    </row>
    <row r="32" spans="1:34">
      <c r="A32" s="37"/>
      <c r="B32" s="58" t="str">
        <f>IF(F10="დეპოზიტით უზრუნველყოფილი","","მეორე გადახდის თარიღი")</f>
        <v>მეორე გადახდის თარიღი</v>
      </c>
      <c r="C32" s="37"/>
      <c r="D32" s="37"/>
      <c r="E32" s="37"/>
      <c r="F32" s="50">
        <f>YEAR(IF(OR(WEEKDAY(EDATE(DATE($F$29,$G$29,$H$29),1),2)=6,WEEKDAY(EDATE(DATE($F$29,$G$29,$H$29),1),2)=7,IF(EDATE(DATE($F$29,$G$29,$H$29),1)=IFERROR(VLOOKUP(EDATE(DATE($F$29,$G$29,$H$29),1),$BK$80:$BK$624,1,FALSE),0),1,0)=1),WORKDAY(EDATE(DATE($F$29,$G$29,$H$29),1),1,$BK$80:$BK$624),EDATE(DATE($F$29,$G$29,$H$29),1)))</f>
        <v>2019</v>
      </c>
      <c r="G32" s="50">
        <f>MONTH(IF(OR(WEEKDAY(EDATE(DATE($F$29,$G$29,$H$29),1),2)=6,WEEKDAY(EDATE(DATE($F$29,$G$29,$H$29),1),2)=7,IF(EDATE(DATE($F$29,$G$29,$H$29),1)=IFERROR(VLOOKUP(EDATE(DATE($F$29,$G$29,$H$29),1),$BK$80:$BK$624,1,FALSE),0),1,0)=1),WORKDAY(EDATE(DATE($F$29,$G$29,$H$29),1),1,$BK$80:$BK$624),EDATE(DATE($F$29,$G$29,$H$29),1)))</f>
        <v>5</v>
      </c>
      <c r="H32" s="50">
        <f>DAY(IF(OR(WEEKDAY(EDATE(DATE($F$29,$G$29,$H$29),1),2)=6,WEEKDAY(EDATE(DATE($F$29,$G$29,$H$29),1),2)=7,IF(EDATE(DATE($F$29,$G$29,$H$29),1)=IFERROR(VLOOKUP(EDATE(DATE($F$29,$G$29,$H$29),1),$BK$80:$BK$624,1,FALSE),0),1,0)=1),WORKDAY(EDATE(DATE($F$29,$G$29,$H$29),1),1,$BK$80:$BK$624),EDATE(DATE($F$29,$G$29,$H$29),1)))</f>
        <v>15</v>
      </c>
      <c r="I32" s="37"/>
      <c r="J32" s="37"/>
      <c r="K32" s="26"/>
      <c r="L32" s="38" t="str">
        <f>IF(P32="GEL","სესხის ვალუტა/ვადა","სესხის ვალუტა/კურსი/ვადა")</f>
        <v>სესხის ვალუტა/ვადა</v>
      </c>
      <c r="M32" s="37"/>
      <c r="N32" s="37"/>
      <c r="O32" s="37"/>
      <c r="P32" s="42" t="s">
        <v>144</v>
      </c>
      <c r="Q32" s="47">
        <v>3</v>
      </c>
      <c r="R32" s="50">
        <v>12</v>
      </c>
      <c r="S32" s="37"/>
      <c r="U32" s="51"/>
      <c r="V32" s="59"/>
      <c r="W32" s="51"/>
      <c r="X32" s="51"/>
      <c r="Y32" s="51"/>
      <c r="Z32" s="51"/>
      <c r="AC32" s="51"/>
      <c r="AE32" s="51"/>
      <c r="AF32" s="51"/>
      <c r="AG32" s="51"/>
      <c r="AH32" s="51"/>
    </row>
    <row r="33" spans="1:61">
      <c r="A33" s="37"/>
      <c r="B33" s="37"/>
      <c r="C33" s="37"/>
      <c r="D33" s="37"/>
      <c r="E33" s="37"/>
      <c r="F33" s="37"/>
      <c r="G33" s="37"/>
      <c r="H33" s="37"/>
      <c r="I33" s="37"/>
      <c r="J33" s="37"/>
      <c r="K33" s="26"/>
      <c r="L33" s="37"/>
      <c r="M33" s="37"/>
      <c r="N33" s="37"/>
      <c r="O33" s="37"/>
      <c r="P33" s="37"/>
      <c r="Q33" s="37"/>
      <c r="R33" s="37"/>
      <c r="S33" s="37"/>
      <c r="X33" s="51"/>
      <c r="Y33" s="51"/>
    </row>
    <row r="34" spans="1:61">
      <c r="A34" s="37"/>
      <c r="B34" s="38" t="str">
        <f>IF(F10="დეპოზიტით უზრუნველყოფილი","","ბოლო გადახდის თარიღი")</f>
        <v>ბოლო გადახდის თარიღი</v>
      </c>
      <c r="C34" s="37"/>
      <c r="D34" s="37"/>
      <c r="E34" s="37"/>
      <c r="F34" s="60">
        <f>YEAR(MAX($C$80:$C$200))</f>
        <v>2020</v>
      </c>
      <c r="G34" s="60">
        <f>MONTH(MAX($C$80:$C$200))</f>
        <v>9</v>
      </c>
      <c r="H34" s="60">
        <f>DAY(MAX($C$80:$C$200))</f>
        <v>15</v>
      </c>
      <c r="I34" s="37"/>
      <c r="J34" s="37"/>
      <c r="K34" s="26"/>
      <c r="L34" s="38" t="s">
        <v>202</v>
      </c>
      <c r="M34" s="37"/>
      <c r="N34" s="37"/>
      <c r="O34" s="43"/>
      <c r="P34" s="45">
        <f>IF($O$34&lt;&gt;"",$O$34,
IF(AND(OR($O$28="ანუიტეტური",$O$28="საშეღავათო",$O$28="ნულოვანი საშეღავათო",$O$28="ასიმეტრიული",$O$28="ასიმეტრიული პროცენტით"),$P$32="GEL"),INDEX($BW$83:$CE$89,MATCH(VLOOKUP($R$28,$BT$83:$BV$89,3,TRUE),$BV$83:$BV$89,0),MATCH(HLOOKUP($R$32,$BW$80:$CE$82,3,TRUE),$BW$82:$CE$82,0)),IF(AND(OR($O$28="ანუიტეტური",$O$28="საშეღავათო",$O$28="ნულოვანი საშეღავათო",$O$28="ასიმეტრიული",$O$28="ასიმეტრიული პროცენტით"),$P$32="USD"),VLOOKUP($R$28,$BT$92:$BV$98,3,TRUE),
IF(AND($O$28="სამომხმარებლო",$Q$30="დოკ. ხელფასი",$P$32="GEL"),INDEX($BW$103:$CE$109,MATCH(VLOOKUP($R$28,$BT$103:$BV$109,3,TRUE),$BV$103:$BV$109,0),MATCH(HLOOKUP($R$32,$BW$100:$CE$102,3,TRUE),$BW$102:$CE$102,0)),IF(AND($O$28="სამომხმარებლო",$Q$30="დოკ. ხელფასი",$P$32="USD"),VLOOKUP($R$28,$BT$112:$BV$112,3,TRUE),
IF(AND($O$28="სამომხმარებლო",$Q$30="შემოს. გზავნილებიდან",$P$32="GEL"),INDEX($BW$117:$CE$121,MATCH(VLOOKUP($R$28,$BT$117:$BV$121,3,TRUE),$BV$117:$BV$121,0),MATCH(HLOOKUP($R$32,$BW$114:$CE$116,3,TRUE),$BW$116:$CE$116,0)),IF(AND($O$28="სამომხმარებლო",$Q$30="შემოს. გზავნილებიდან",$P$32="USD"),VLOOKUP($R$28,$BT$124:$BV$124,3,TRUE),
IF(AND($O$28="ბიზნეს ოვერდრაფტი",$P$32="GEL"),VLOOKUP($R$28,$CJ$81:$CL$81,3,TRUE),IF(AND($O$28="ბიზნეს ოვერდრაფტი",$P$32="USD"),VLOOKUP($R$28,$CJ$82:$CL$82,3,TRUE),
IF(AND($O$28="დეპოზიტით უზრუნველყოფილი",$P$32="GEL"),VLOOKUP($P$32,$BT$127:$BV$128,3,TRUE),IF(AND($O$28="დეპოზიტით უზრუნველყოფილი",$P$32="USD"),VLOOKUP($P$32,$BT$127:$BV$128,3,TRUE))))))))))))</f>
        <v>0.27</v>
      </c>
      <c r="Q34" s="43"/>
      <c r="R34" s="45">
        <f>IF($Q$34&lt;&gt;"",$Q$34,
IF(AND(OR($O$28="ანუიტეტური",$O$28="საშეღავათო",$O$28="ნულოვანი საშეღავათო",$O$28="ასიმეტრიული",$O$28="ასიმეტრიული პროცენტით"),$P$32="GEL"),VLOOKUP($R$28,$BT$83:$CG$89,13,TRUE),IF(AND(OR($O$28="ანუიტეტური",$O$28="საშეღავათო",$O$28="ნულოვანი საშეღავათო",$O$28="ასიმეტრიული",$O$28="ასიმეტრიული პროცენტით"),$P$32="USD"),VLOOKUP($R$28,$BT$92:$CG$98,13,TRUE),
IF(AND($O$28="სამომხმარებლო",$Q$30="დოკ. ხელფასი",$P$32="GEL"),VLOOKUP($R$28,$BT$103:$CG$109,13,TRUE),IF(AND($O$28="სამომხმარებლო",$Q$30="დოკ. ხელფასი",$P$32="USD"),VLOOKUP($R$28,$BT$112:$CG$112,13,TRUE),
IF(AND($O$28="სამომხმარებლო",$Q$30="შემოს. გზავნილებიდან",$P$32="GEL"),VLOOKUP($R$28,$BT$117:$CG$121,13,TRUE),IF(AND($O$28="სამომხმარებლო",$Q$30="შემოს. გზავნილებიდან",$P$32="USD"),VLOOKUP($R$28,$BT$124:$CG$124,13,TRUE),
IF(AND($O$28="ბიზნეს ოვერდრაფტი",$P$32="GEL"),VLOOKUP($R$28,$CJ$83:$CL$83,3,TRUE),IF(AND($O$28="ბიზნეს ოვერდრაფტი",$P$32="USD"),VLOOKUP($R$28,$CJ$84:$CL$84,3,TRUE),
IF(AND($O$28="დეპოზიტით უზრუნველყოფილი",$P$33="GEL"),VLOOKUP($P$32,$BT$127:$CG$128,13,TRUE),IF(AND($O$28="დეპოზიტით უზრუნველყოფილი",$P$32="USD"),VLOOKUP($P$32,$BT$127:$CG$128,13,TRUE))))))))))))</f>
        <v>0.04</v>
      </c>
      <c r="S34" s="52">
        <f>IF(AND($P$32="GEL",$R$28*$R$34&lt;20,$Q$34="",$O$28&lt;&gt;"დეპოზიტით უზრუნველყოფილი",$O$28&lt;&gt;"ბიზნეს ოვერდრაფტი",R28&gt;3000),20,IF(AND($P$32="USD",$R$28*$R$34&lt;10,$Q$34="",$O$28&lt;&gt;"დეპოზიტით უზრუნველყოფილი",$O$28&lt;&gt;"ბიზნეს ოვერდრაფტი"),10,$R$28*$R$34))</f>
        <v>400</v>
      </c>
      <c r="U34" s="51"/>
      <c r="V34" s="59"/>
      <c r="W34" s="51"/>
      <c r="X34" s="51"/>
      <c r="Y34" s="51"/>
      <c r="Z34" s="51"/>
      <c r="BH34" s="51"/>
      <c r="BI34" s="51"/>
    </row>
    <row r="35" spans="1:61">
      <c r="A35" s="37"/>
      <c r="B35" s="37"/>
      <c r="C35" s="37"/>
      <c r="D35" s="37"/>
      <c r="E35" s="37"/>
      <c r="F35" s="37"/>
      <c r="G35" s="37"/>
      <c r="H35" s="37"/>
      <c r="I35" s="37"/>
      <c r="J35" s="37"/>
      <c r="K35" s="26"/>
      <c r="L35" s="37"/>
      <c r="M35" s="37"/>
      <c r="N35" s="37"/>
      <c r="O35" s="37"/>
      <c r="P35" s="37"/>
      <c r="Q35" s="37"/>
      <c r="R35" s="37"/>
      <c r="S35" s="37"/>
      <c r="X35" s="51"/>
      <c r="Y35" s="51"/>
    </row>
    <row r="36" spans="1:61">
      <c r="A36" s="37"/>
      <c r="B36" s="38" t="s">
        <v>203</v>
      </c>
      <c r="C36" s="37"/>
      <c r="D36" s="37"/>
      <c r="E36" s="37"/>
      <c r="F36" s="662" t="s">
        <v>204</v>
      </c>
      <c r="G36" s="662"/>
      <c r="H36" s="50">
        <f>საქმიანობა!B39</f>
        <v>15</v>
      </c>
      <c r="I36" s="37"/>
      <c r="J36" s="37"/>
      <c r="K36" s="26"/>
      <c r="L36" s="38" t="s">
        <v>205</v>
      </c>
      <c r="M36" s="37"/>
      <c r="N36" s="37"/>
      <c r="O36" s="37"/>
      <c r="P36" s="37"/>
      <c r="Q36" s="39"/>
      <c r="R36" s="40"/>
      <c r="S36" s="37"/>
      <c r="U36" s="51"/>
      <c r="W36" s="51"/>
      <c r="X36" s="51"/>
      <c r="Y36" s="51"/>
      <c r="Z36" s="51"/>
      <c r="AB36" s="61"/>
      <c r="AC36" s="62"/>
    </row>
    <row r="37" spans="1:61">
      <c r="A37" s="37"/>
      <c r="B37" s="37"/>
      <c r="C37" s="37"/>
      <c r="D37" s="37"/>
      <c r="E37" s="37"/>
      <c r="F37" s="37"/>
      <c r="G37" s="37"/>
      <c r="H37" s="37"/>
      <c r="I37" s="37"/>
      <c r="J37" s="37"/>
      <c r="K37" s="26"/>
      <c r="L37" s="37"/>
      <c r="M37" s="37"/>
      <c r="N37" s="37"/>
      <c r="O37" s="37"/>
      <c r="P37" s="37"/>
      <c r="Q37" s="37"/>
      <c r="R37" s="37"/>
      <c r="S37" s="37"/>
      <c r="U37" s="51"/>
    </row>
    <row r="38" spans="1:61" hidden="1">
      <c r="A38" s="37"/>
      <c r="B38" s="37"/>
      <c r="C38" s="37"/>
      <c r="D38" s="37"/>
      <c r="E38" s="37"/>
      <c r="F38" s="37"/>
      <c r="G38" s="37"/>
      <c r="H38" s="37"/>
      <c r="I38" s="37"/>
      <c r="J38" s="37"/>
      <c r="K38" s="26"/>
      <c r="L38" s="38" t="s">
        <v>192</v>
      </c>
      <c r="M38" s="37"/>
      <c r="N38" s="37"/>
      <c r="O38" s="37"/>
      <c r="P38" s="37"/>
      <c r="Q38" s="37"/>
      <c r="R38" s="40">
        <v>1.5</v>
      </c>
      <c r="S38" s="37"/>
      <c r="U38" s="51"/>
      <c r="W38" s="51"/>
      <c r="X38" s="51"/>
      <c r="Y38" s="51"/>
      <c r="Z38" s="51"/>
      <c r="AB38" s="61"/>
      <c r="AC38" s="62"/>
    </row>
    <row r="39" spans="1:61" hidden="1">
      <c r="A39" s="37"/>
      <c r="B39" s="37"/>
      <c r="C39" s="37"/>
      <c r="D39" s="37"/>
      <c r="E39" s="37"/>
      <c r="F39" s="37"/>
      <c r="G39" s="37"/>
      <c r="H39" s="37"/>
      <c r="I39" s="37"/>
      <c r="J39" s="37"/>
      <c r="K39" s="26"/>
      <c r="L39" s="37"/>
      <c r="M39" s="37"/>
      <c r="N39" s="37"/>
      <c r="O39" s="37"/>
      <c r="P39" s="37"/>
      <c r="Q39" s="37"/>
      <c r="R39" s="37"/>
      <c r="S39" s="37"/>
    </row>
    <row r="40" spans="1:61" hidden="1">
      <c r="A40" s="37"/>
      <c r="B40" s="37"/>
      <c r="C40" s="37"/>
      <c r="D40" s="37"/>
      <c r="E40" s="37"/>
      <c r="F40" s="37"/>
      <c r="G40" s="37"/>
      <c r="H40" s="37"/>
      <c r="I40" s="37"/>
      <c r="J40" s="37"/>
      <c r="K40" s="26"/>
      <c r="L40" s="38" t="s">
        <v>193</v>
      </c>
      <c r="M40" s="37"/>
      <c r="N40" s="37"/>
      <c r="O40" s="37"/>
      <c r="P40" s="43"/>
      <c r="Q40" s="44" t="e">
        <f>IF(AND(P32="GEL",(R28-S34)*R40&lt;0.5,P40="",O28&lt;&gt;"დეპოზიტით უზრუნველყოფილი"),"Min GEL 0.5",IF(AND(P32="USD",R28*R40&lt;0.2,P40="",O28&lt;&gt;"დეპოზიტით უზრუნველყოფილი"),"Min USD 0.2",""))</f>
        <v>#NUM!</v>
      </c>
      <c r="R40" s="45" t="e">
        <f>IF($P$40&lt;&gt;"",$P$40,IF(AND(DATE($F$46,$G$46,$H$46)&lt;DATE($F$34,$G$34,$H$34),$J$46=$BR$81),$CQ$80,IF(AND($P$32=$CO$82,$R$38=$CP$82),$CQ$82,IF(AND($P$32=$CO$81,$R$38=$CP$81),$CQ$81,IF(AND($P$32=$CO$85,$R$38=$CP$85),$CQ$85,IF(AND($P$32=$CO$84,$R$38=$CP$84),$CQ$84,0))))))</f>
        <v>#NUM!</v>
      </c>
      <c r="S40" s="37"/>
      <c r="U40" s="51"/>
      <c r="V40" s="51"/>
      <c r="AB40" s="63"/>
      <c r="AC40" s="63"/>
    </row>
    <row r="41" spans="1:61" hidden="1">
      <c r="A41" s="37"/>
      <c r="B41" s="37"/>
      <c r="C41" s="37"/>
      <c r="D41" s="37"/>
      <c r="E41" s="37"/>
      <c r="F41" s="37"/>
      <c r="G41" s="37"/>
      <c r="H41" s="37"/>
      <c r="I41" s="37"/>
      <c r="J41" s="37"/>
      <c r="K41" s="26"/>
      <c r="L41" s="37"/>
      <c r="M41" s="37"/>
      <c r="N41" s="37"/>
      <c r="O41" s="37"/>
      <c r="P41" s="37"/>
      <c r="Q41" s="37"/>
      <c r="R41" s="37"/>
      <c r="S41" s="37"/>
      <c r="V41" s="51"/>
    </row>
    <row r="42" spans="1:61" hidden="1">
      <c r="A42" s="37"/>
      <c r="B42" s="37"/>
      <c r="C42" s="37"/>
      <c r="D42" s="37"/>
      <c r="E42" s="37"/>
      <c r="F42" s="37"/>
      <c r="G42" s="37"/>
      <c r="H42" s="37"/>
      <c r="I42" s="37"/>
      <c r="J42" s="37"/>
      <c r="K42" s="26"/>
      <c r="L42" s="38" t="str">
        <f>IF(P32="GEL","თანხის განაღდების საკომისიო (ლარი)","თანხის განაღდების საკომისიო (აშშ დოლარი)")</f>
        <v>თანხის განაღდების საკომისიო (ლარი)</v>
      </c>
      <c r="M42" s="37"/>
      <c r="N42" s="37"/>
      <c r="O42" s="37"/>
      <c r="P42" s="37"/>
      <c r="Q42" s="37"/>
      <c r="R42" s="48" t="e">
        <f ca="1">IF(DATE($F$46,$G$46,$H$46)&lt;DATE($F$34,$G$34,$H$34),IF(AND($P$32="GEL",$H$16="GEL",($R$28-INDIRECT(ADDRESS(79+(MATCH(MAX($U$80:$U$200),$B$80:$B$200,0)),8))-$S$34-$H$22/$I$22*(DATE($F$46,$G$46,$H$46)-INDIRECT(ADDRESS(79+(MATCH(MAX($U$80:$U$200),$B$80:$B$200,0)),3)))*INDIRECT(ADDRESS(79+(MATCH(MAX($U$80:$U$200),$B$80:$B$200,0)),8)))*$R$40&lt;0.5,$P$40=""),0.5,IF(AND($P$32="USD",$H$16="USD",($R$28-INDIRECT(ADDRESS(79+(MATCH(MAX($U$80:$U$200),$B$80:$B$200,0)),8))-$S$34-$H$22/$I$22*(DATE($F$46,$G$46,$H$46)-INDIRECT(ADDRESS(79+(MATCH(MAX($U$80:$U$200),$B$80:$B$200,0)),3)))*INDIRECT(ADDRESS(79+(MATCH(MAX($U$80:$U$200),$B$80:$B$200,0)),8)))*$R$40&lt;0.2,$P$40=""),0.2,IF(AND($P$32="GEL",$H$16="USD",($R$28-(INDIRECT(ADDRESS(79+(MATCH(MAX($U$80:$U$200),$B$80:$B$200,0)),8))*$Q$32)-$S$34-$H$22/$I$22*(DATE($F$46,$G$46,$H$46)-INDIRECT(ADDRESS(79+(MATCH(MAX($U$80:$U$200),$B$80:$B$200,0)),3)))*(INDIRECT(ADDRESS(79+(MATCH(MAX($U$80:$U$200),$B$80:$B$200,0)),8))*$Q$32))*$R$40&lt;0.5,$P$40=""),0.5,IF(AND($P$32="USD",$H$16="GEL",($R$28-(INDIRECT(ADDRESS(79+(MATCH(MAX($U$80:$U$200),$B$80:$B$200,0)),8))/$Q$32)-$S$34-$H$22/$I$22*(DATE($F$46,$G$46,$H$46)-INDIRECT(ADDRESS(79+(MATCH(MAX($U$80:$U$200),$B$80:$B$200,0)),3)))*(INDIRECT(ADDRESS(79+(MATCH(MAX($U$80:$U$200),$B$80:$B$200,0)),8))/$Q$32))*$R$40&lt;0.2,$P$40=""),0.2,IF(OR(AND($P$32="GEL",$H$16="GEL"),AND($P$32="USD",$H$16="USD")),ROUND(($R$28-INDIRECT(ADDRESS(79+(MATCH(MAX($U$80:$U$200),$B$80:$B$200,0)),8))-$S$34-$H$22/$I$22*(DATE($F$46,$G$46,$H$46)-INDIRECT(ADDRESS(79+(MATCH(MAX($U$80:$U$200),$B$80:$B$200,0)),3)))*INDIRECT(ADDRESS(79+(MATCH(MAX($U$80:$U$200),$B$80:$B$200,0)),8)))*$R$40,2),IF(AND($P$32="GEL",$H$16="USD"),ROUND(($R$28-(INDIRECT(ADDRESS(79+(MATCH(MAX($U$80:$U$200),$B$80:$B$200,0)),8))*$Q$32)-$S$34-$H$22/$I$22*(DATE($F$46,$G$46,$H$46)-INDIRECT(ADDRESS(79+(MATCH(MAX($U$80:$U$200),$B$80:$B$200,0)),3)))*(INDIRECT(ADDRESS(79+(MATCH(MAX($U$80:$U$200),$B$80:$B$200,0)),8))*$Q$32))*$R$40,2),IF(AND($P$32="USD",$H$16="GEL"),ROUND(($R$28-(INDIRECT(ADDRESS(79+(MATCH(MAX($U$80:$U$200),$B$80:$B$200,0)),8))/$Q$32)-$S$34-$H$22/$I$22*(DATE($F$46,$G$46,$H$46)-INDIRECT(ADDRESS(79+(MATCH(MAX($U$80:$U$200),$B$80:$B$200,0)),3)))*(INDIRECT(ADDRESS(79+(MATCH(MAX($U$80:$U$200),$B$80:$B$200,0)),8))/$Q$32))*$R$40,2)))))))),IF(AND($P$32="GEL",($R$28-$S$34)*$R$40&lt;0.5,$P$40=""),0.5,IF(AND($P$32="USD",($R$28-$S$34)*$R$40&lt;0.2,$P$40=""),0.2,ROUND(($R$28-$S$34)*$R$40,2))))</f>
        <v>#NUM!</v>
      </c>
      <c r="S42" s="37"/>
      <c r="U42" s="51"/>
      <c r="V42" s="51"/>
      <c r="W42" s="51"/>
      <c r="AR42" s="64"/>
      <c r="AS42" s="64"/>
      <c r="AT42" s="64"/>
      <c r="AU42" s="64"/>
      <c r="AV42" s="64"/>
    </row>
    <row r="43" spans="1:61" hidden="1">
      <c r="A43" s="37"/>
      <c r="B43" s="37"/>
      <c r="C43" s="37"/>
      <c r="D43" s="37"/>
      <c r="E43" s="37"/>
      <c r="F43" s="37"/>
      <c r="G43" s="37"/>
      <c r="H43" s="37"/>
      <c r="I43" s="37"/>
      <c r="J43" s="37"/>
      <c r="K43" s="26"/>
      <c r="L43" s="37"/>
      <c r="M43" s="37"/>
      <c r="N43" s="37"/>
      <c r="O43" s="37"/>
      <c r="P43" s="37"/>
      <c r="Q43" s="37"/>
      <c r="R43" s="37"/>
      <c r="S43" s="37"/>
    </row>
    <row r="44" spans="1:61" hidden="1">
      <c r="A44" s="26"/>
      <c r="B44" s="26"/>
      <c r="C44" s="26"/>
      <c r="D44" s="26"/>
      <c r="E44" s="26"/>
      <c r="F44" s="26"/>
      <c r="G44" s="26"/>
      <c r="H44" s="26"/>
      <c r="I44" s="26"/>
      <c r="J44" s="26"/>
      <c r="K44" s="26"/>
      <c r="L44" s="37"/>
      <c r="M44" s="37"/>
      <c r="N44" s="37"/>
      <c r="O44" s="37"/>
      <c r="P44" s="37"/>
      <c r="Q44" s="37"/>
      <c r="R44" s="37"/>
      <c r="S44" s="37"/>
    </row>
    <row r="45" spans="1:61" hidden="1">
      <c r="A45" s="37"/>
      <c r="B45" s="37"/>
      <c r="C45" s="37"/>
      <c r="D45" s="37"/>
      <c r="E45" s="37"/>
      <c r="F45" s="37"/>
      <c r="G45" s="37"/>
      <c r="H45" s="37"/>
      <c r="I45" s="37"/>
      <c r="J45" s="37"/>
      <c r="K45" s="37"/>
      <c r="L45" s="37"/>
      <c r="M45" s="37"/>
      <c r="N45" s="37"/>
      <c r="O45" s="37"/>
      <c r="P45" s="37"/>
      <c r="Q45" s="37"/>
      <c r="R45" s="37"/>
      <c r="S45" s="37"/>
    </row>
    <row r="46" spans="1:61" hidden="1">
      <c r="A46" s="37"/>
      <c r="B46" s="38" t="s">
        <v>206</v>
      </c>
      <c r="C46" s="37"/>
      <c r="D46" s="37"/>
      <c r="E46" s="37"/>
      <c r="F46" s="50"/>
      <c r="G46" s="50"/>
      <c r="H46" s="50"/>
      <c r="I46" s="37"/>
      <c r="J46" s="648" t="s">
        <v>152</v>
      </c>
      <c r="K46" s="37"/>
      <c r="L46" s="38" t="s">
        <v>195</v>
      </c>
      <c r="M46" s="37"/>
      <c r="N46" s="37"/>
      <c r="O46" s="37"/>
      <c r="P46" s="43"/>
      <c r="Q46" s="37"/>
      <c r="R46" s="45">
        <f>IF($P$46&lt;&gt;"",$P$46,
IF(AND(OR($O$28="ანუიტეტური",$O$28="საშეღავათო",$O$28="ნულოვანი საშეღავათო",$O$28="ასიმეტრიული",$O$28="ასიმეტრიული პროცენტით"),$P$32="GEL"),VLOOKUP($R$28,$BT$83:$CG$89,14,TRUE),IF(AND(OR($O$28="ანუიტეტური",$O$28="საშეღავათო",$O$28="ნულოვანი საშეღავათო",$O$28="ასიმეტრიული",$O$28="ასიმეტრიული პროცენტით"),$P$32="USD"),VLOOKUP($R$28,$BT$92:$CG$98,14,TRUE),
IF(AND($O$28="სამომხმარებლო",$Q$30="დოკ. ხელფასი",$P$32="GEL"),VLOOKUP($R$28,$BT$103:$CG$109,14,TRUE),IF(AND($O$28="სამომხმარებლო",$Q$30="დოკ. ხელფასი",$P$32="USD"),VLOOKUP($R$28,$BT$112:$CG$112,14,TRUE),
IF(AND($O$28="სამომხმარებლო",$Q$30="შემოს. გზავნილებიდან",$P$32="GEL"),VLOOKUP($R$28,$BT$117:$CG$121,14,TRUE),IF(AND($O$28="სამომხმარებლო",$Q$30="შემოს. გზავნილებიდან",$P$32="USD"),VLOOKUP($R$28,$BT$124:$CG$124,14,TRUE),
IF(AND($O$28="ბიზნეს ოვერდრაფტი",$P$32="GEL"),VLOOKUP($R$28,$CJ$85:$CL$85,3,TRUE),IF(AND($O$28="ბიზნეს ოვერდრაფტი",$P$32="USD"),VLOOKUP($R$28,$CJ$86:$CL$86,3,TRUE),
IF(AND($O$28="დეპოზიტით უზრუნველყოფილი",$P$32="GEL"),VLOOKUP($P$32,$BT$127:$CG$128,14,TRUE),IF(AND($O$28="დეპოზიტით უზრუნველყოფილი",$P$32="USD"),VLOOKUP($P$32,$BT$127:$CG$128,14,TRUE))))))))))))</f>
        <v>6.0000000000000001E-3</v>
      </c>
      <c r="S46" s="37"/>
      <c r="U46" s="63"/>
      <c r="AB46" s="63"/>
      <c r="AZ46" s="51"/>
      <c r="BA46" s="51"/>
    </row>
    <row r="47" spans="1:61" hidden="1">
      <c r="A47" s="37"/>
      <c r="B47" s="37"/>
      <c r="C47" s="37"/>
      <c r="D47" s="37"/>
      <c r="E47" s="37"/>
      <c r="F47" s="37"/>
      <c r="G47" s="37"/>
      <c r="H47" s="37">
        <v>6</v>
      </c>
      <c r="I47" s="37"/>
      <c r="J47" s="649"/>
      <c r="K47" s="37"/>
      <c r="L47" s="37"/>
      <c r="M47" s="37"/>
      <c r="N47" s="37"/>
      <c r="O47" s="37"/>
      <c r="P47" s="37"/>
      <c r="Q47" s="37"/>
      <c r="R47" s="37"/>
      <c r="S47" s="37"/>
    </row>
    <row r="48" spans="1:61" hidden="1">
      <c r="A48" s="37"/>
      <c r="B48" s="38" t="s">
        <v>207</v>
      </c>
      <c r="C48" s="37"/>
      <c r="D48" s="37"/>
      <c r="E48" s="37"/>
      <c r="F48" s="50" t="e">
        <f>YEAR(IF(OR(WEEKDAY(EDATE(DATE($F$46,$G$46,$H$46),1),2)=6,WEEKDAY(EDATE(DATE($F$46,$G$46,$H$46),1),2)=7,IF(EDATE(DATE($F$46,$G$46,$H$46),1)=IFERROR(VLOOKUP(EDATE(DATE($F$46,$G$46,$H$46),1),$BK$80:$BK$624,1,FALSE),0),1,0)=1),WORKDAY(EDATE(DATE($F$46,$G$46,$H$46),1),1,$BK$80:$BK$624),EDATE(DATE($F$46,$G$46,$H$46),1)))</f>
        <v>#NUM!</v>
      </c>
      <c r="G48" s="50" t="e">
        <f>MONTH(IF(OR(WEEKDAY(EDATE(DATE($F$46,$G$46,$H$46),1),2)=6,WEEKDAY(EDATE(DATE($F$46,$G$46,$H$46),1),2)=7,IF(EDATE(DATE($F$46,$G$46,$H$46),1)=IFERROR(VLOOKUP(EDATE(DATE($F$46,$G$46,$H$46),1),$BK$80:$BK$624,1,FALSE),0),1,0)=1),WORKDAY(EDATE(DATE($F$46,$G$46,$H$46),1),1,$BK$80:$BK$624),EDATE(DATE($F$46,$G$46,$H$46),1)))</f>
        <v>#NUM!</v>
      </c>
      <c r="H48" s="50" t="e">
        <f>DAY(IF(OR(WEEKDAY(EDATE(DATE($F$46,$G$46,$H$46),1),2)=6,WEEKDAY(EDATE(DATE($F$46,$G$46,$H$46),1),2)=7,IF(EDATE(DATE($F$46,$G$46,$H$46),1)=IFERROR(VLOOKUP(EDATE(DATE($F$46,$G$46,$H$46),1),$BK$80:$BK$624,1,FALSE),0),1,0)=1),WORKDAY(EDATE(DATE($F$46,$G$46,$H$46),1),1,$BK$80:$BK$624),EDATE(DATE($F$46,$G$46,$H$46),1)))</f>
        <v>#NUM!</v>
      </c>
      <c r="I48" s="37"/>
      <c r="J48" s="650"/>
      <c r="K48" s="37"/>
      <c r="L48" s="38" t="s">
        <v>197</v>
      </c>
      <c r="M48" s="49"/>
      <c r="N48" s="49"/>
      <c r="O48" s="49"/>
      <c r="P48" s="49"/>
      <c r="Q48" s="49"/>
      <c r="R48" s="48" t="str">
        <f>IF($O$28="ბიზნეს ოვერდრაფტი",$CL$88,IF($O$28="საკრედიტო ბარათი",$CL$99,""))</f>
        <v/>
      </c>
      <c r="S48" s="37"/>
      <c r="U48" s="63"/>
      <c r="Z48" s="51"/>
      <c r="AF48" s="63"/>
      <c r="AH48" s="65"/>
      <c r="AP48" s="65"/>
      <c r="AR48" s="41"/>
      <c r="AX48" s="30"/>
      <c r="AZ48" s="63"/>
      <c r="BA48" s="63"/>
      <c r="BE48" s="30"/>
    </row>
    <row r="49" spans="1:77" hidden="1">
      <c r="A49" s="37"/>
      <c r="B49" s="37"/>
      <c r="C49" s="37"/>
      <c r="D49" s="37"/>
      <c r="E49" s="37"/>
      <c r="F49" s="37"/>
      <c r="G49" s="37"/>
      <c r="H49" s="37"/>
      <c r="I49" s="37"/>
      <c r="J49" s="37"/>
      <c r="K49" s="37"/>
      <c r="L49" s="37"/>
      <c r="M49" s="37"/>
      <c r="N49" s="37"/>
      <c r="O49" s="37"/>
      <c r="P49" s="37"/>
      <c r="Q49" s="37"/>
      <c r="R49" s="37"/>
      <c r="S49" s="37"/>
    </row>
    <row r="50" spans="1:77" hidden="1">
      <c r="A50" s="37"/>
      <c r="B50" s="38" t="str">
        <f>IF(O28="დეპოზიტით უზრუნველყოფილი","","მეორე გადახდის თარიღი")</f>
        <v>მეორე გადახდის თარიღი</v>
      </c>
      <c r="C50" s="37"/>
      <c r="D50" s="37"/>
      <c r="E50" s="37"/>
      <c r="F50" s="50" t="e">
        <f>YEAR(IF(OR(WEEKDAY(EDATE(DATE($F$46,$G$46,$H$46),2),2)=6,WEEKDAY(EDATE(DATE($F$46,$G$46,$H$46),2),2)=7,IF(EDATE(DATE($F$46,$G$46,$H$46),2)=IFERROR(VLOOKUP(EDATE(DATE($F$46,$G$46,$H$46),2),$BK$80:$BK$624,1,FALSE),0),1,0)=1),WORKDAY(EDATE(DATE($F$46,$G$46,$H$46),2),1,$BK$80:$BK$624),EDATE(DATE($F$46,$G$46,$H$46),2)))</f>
        <v>#NUM!</v>
      </c>
      <c r="G50" s="50" t="e">
        <f>MONTH(IF(OR(WEEKDAY(EDATE(DATE($F$46,$G$46,$H$46),2),2)=6,WEEKDAY(EDATE(DATE($F$46,$G$46,$H$46),2),2)=7,IF(EDATE(DATE($F$46,$G$46,$H$46),2)=IFERROR(VLOOKUP(EDATE(DATE($F$46,$G$46,$H$46),2),$BK$80:$BK$624,1,FALSE),0),1,0)=1),WORKDAY(EDATE(DATE($F$46,$G$46,$H$46),2),1,$BK$80:$BK$624),EDATE(DATE($F$46,$G$46,$H$46),2)))</f>
        <v>#NUM!</v>
      </c>
      <c r="H50" s="50" t="e">
        <f>DAY(IF(OR(WEEKDAY(EDATE(DATE($F$46,$G$46,$H$46),2),2)=6,WEEKDAY(EDATE(DATE($F$46,$G$46,$H$46),2),2)=7,IF(EDATE(DATE($F$46,$G$46,$H$46),2)=IFERROR(VLOOKUP(EDATE(DATE($F$46,$G$46,$H$46),2),$BK$80:$BK$624,1,FALSE),0),1,0)=1),WORKDAY(EDATE(DATE($F$46,$G$46,$H$46),2),1,$BK$80:$BK$624),EDATE(DATE($F$46,$G$46,$H$46),2)))</f>
        <v>#NUM!</v>
      </c>
      <c r="I50" s="37"/>
      <c r="J50" s="37"/>
      <c r="K50" s="37"/>
      <c r="L50" s="38" t="str">
        <f>IF(P32="GEL","POS-ით ანგარიშსწორებით საკომისიო (ლარი)","POS-ით ანგარიშსწორებით საკომისიო (აშშ დოლარი)")</f>
        <v>POS-ით ანგარიშსწორებით საკომისიო (ლარი)</v>
      </c>
      <c r="M50" s="49"/>
      <c r="N50" s="49"/>
      <c r="O50" s="49"/>
      <c r="P50" s="49"/>
      <c r="Q50" s="49"/>
      <c r="R50" s="48" t="str">
        <f>IF($O$28="ბიზნეს ოვერდრაფტი",$CL$87*$R$28,IF($O$28="საკრედიტო ბარათი",$CL$98*$R$28,""))</f>
        <v/>
      </c>
      <c r="S50" s="37"/>
      <c r="U50" s="63"/>
      <c r="AH50" s="65"/>
      <c r="AV50" s="63"/>
      <c r="AX50" s="65"/>
      <c r="AZ50" s="63"/>
      <c r="BE50" s="30"/>
    </row>
    <row r="51" spans="1:77" hidden="1">
      <c r="A51" s="37"/>
      <c r="B51" s="37"/>
      <c r="C51" s="37"/>
      <c r="D51" s="37"/>
      <c r="E51" s="37"/>
      <c r="F51" s="37"/>
      <c r="G51" s="37"/>
      <c r="H51" s="37"/>
      <c r="I51" s="37"/>
      <c r="J51" s="37"/>
      <c r="K51" s="37"/>
      <c r="L51" s="37"/>
      <c r="M51" s="37"/>
      <c r="N51" s="37"/>
      <c r="O51" s="37"/>
      <c r="P51" s="37"/>
      <c r="Q51" s="37"/>
      <c r="R51" s="37"/>
      <c r="S51" s="37"/>
    </row>
    <row r="52" spans="1:77" hidden="1">
      <c r="A52" s="37"/>
      <c r="B52" s="38" t="s">
        <v>203</v>
      </c>
      <c r="C52" s="37"/>
      <c r="D52" s="37"/>
      <c r="E52" s="37"/>
      <c r="F52" s="651" t="s">
        <v>204</v>
      </c>
      <c r="G52" s="652"/>
      <c r="H52" s="50">
        <f>$H$46</f>
        <v>0</v>
      </c>
      <c r="I52" s="37"/>
      <c r="J52" s="37"/>
      <c r="K52" s="37"/>
      <c r="L52" s="37"/>
      <c r="M52" s="37"/>
      <c r="N52" s="37"/>
      <c r="O52" s="37"/>
      <c r="P52" s="37"/>
      <c r="Q52" s="37"/>
      <c r="R52" s="37"/>
      <c r="S52" s="37"/>
      <c r="U52" s="51" t="s">
        <v>208</v>
      </c>
      <c r="AB52" t="s">
        <v>209</v>
      </c>
      <c r="AR52" t="s">
        <v>210</v>
      </c>
      <c r="AS52" s="51"/>
      <c r="AZ52" s="51"/>
      <c r="BA52" s="51"/>
    </row>
    <row r="53" spans="1:77" hidden="1">
      <c r="A53" s="37"/>
      <c r="B53" s="37"/>
      <c r="C53" s="37"/>
      <c r="D53" s="37"/>
      <c r="E53" s="37"/>
      <c r="F53" s="57"/>
      <c r="G53" s="57"/>
      <c r="H53" s="37"/>
      <c r="I53" s="37"/>
      <c r="J53" s="37"/>
      <c r="K53" s="37"/>
      <c r="L53" s="37"/>
      <c r="M53" s="37"/>
      <c r="N53" s="37"/>
      <c r="O53" s="37"/>
      <c r="P53" s="37"/>
      <c r="Q53" s="37"/>
      <c r="R53" s="37"/>
      <c r="S53" s="37"/>
    </row>
    <row r="54" spans="1:77" hidden="1">
      <c r="A54" s="26"/>
      <c r="B54" s="26"/>
      <c r="C54" s="26"/>
      <c r="D54" s="26"/>
      <c r="E54" s="26"/>
      <c r="F54" s="26"/>
      <c r="G54" s="26"/>
      <c r="H54" s="26"/>
      <c r="I54" s="26"/>
      <c r="J54" s="26"/>
      <c r="K54" s="26"/>
      <c r="L54" s="26"/>
      <c r="M54" s="26"/>
      <c r="N54" s="26"/>
      <c r="O54" s="26"/>
      <c r="P54" s="26"/>
      <c r="Q54" s="26"/>
      <c r="R54" s="26"/>
      <c r="S54" s="26"/>
    </row>
    <row r="55" spans="1:77" hidden="1">
      <c r="A55" s="37"/>
      <c r="B55" s="37"/>
      <c r="C55" s="37"/>
      <c r="D55" s="37"/>
      <c r="E55" s="37"/>
      <c r="F55" s="37"/>
      <c r="G55" s="37"/>
      <c r="H55" s="37"/>
      <c r="I55" s="37"/>
      <c r="J55" s="37"/>
      <c r="K55" s="37"/>
      <c r="L55" s="37"/>
      <c r="M55" s="37"/>
      <c r="N55" s="37"/>
      <c r="O55" s="37"/>
      <c r="P55" s="37"/>
      <c r="Q55" s="37"/>
      <c r="R55" s="37"/>
      <c r="S55" s="37"/>
    </row>
    <row r="56" spans="1:77" hidden="1">
      <c r="A56" s="37"/>
      <c r="B56" s="38" t="str">
        <f>IF(OR($F$46="",$G$46="",$H$46=""),CONCATENATE("საპროცენტო ხარჯი ",IF($H$16="GEL","(ლარი)","(აშშ დოლარი)")),CONCATENATE("საპროცენტო ხარჯი ",IF($P$32="GEL","(ლარი)","(აშშ დოლარი)")))</f>
        <v>საპროცენტო ხარჯი (ლარი)</v>
      </c>
      <c r="C56" s="37"/>
      <c r="D56" s="37"/>
      <c r="E56" s="37"/>
      <c r="F56" s="37"/>
      <c r="G56" s="37"/>
      <c r="H56" s="48">
        <f>IFERROR(IF(OR($F$46="",$G$46="",$H$46=""),SUM($G$81:$G$200),SUM($P$81:$P$200)),0)</f>
        <v>438.61</v>
      </c>
      <c r="I56" s="37"/>
      <c r="J56" s="37"/>
      <c r="K56" s="37"/>
      <c r="L56" s="38" t="s">
        <v>493</v>
      </c>
      <c r="M56" s="49"/>
      <c r="N56" s="49"/>
      <c r="O56" s="49"/>
      <c r="P56" s="37"/>
      <c r="Q56" s="49"/>
      <c r="R56" s="48">
        <f>IFERROR(IF(OR($F$46="",$G$46="",$H$46=""),SUM($AW$80:$AW$200),SUM($BE$80:$BE$200)),0)</f>
        <v>28.5</v>
      </c>
      <c r="S56" s="37"/>
      <c r="AB56" s="53"/>
      <c r="BA56" s="51"/>
    </row>
    <row r="57" spans="1:77" hidden="1">
      <c r="A57" s="37"/>
      <c r="B57" s="37"/>
      <c r="C57" s="37"/>
      <c r="D57" s="37"/>
      <c r="E57" s="37"/>
      <c r="F57" s="37"/>
      <c r="G57" s="37"/>
      <c r="H57" s="37"/>
      <c r="I57" s="37"/>
      <c r="J57" s="37"/>
      <c r="K57" s="37"/>
      <c r="L57" s="37"/>
      <c r="M57" s="37"/>
      <c r="N57" s="37"/>
      <c r="O57" s="37"/>
      <c r="P57" s="37"/>
      <c r="Q57" s="37"/>
      <c r="R57" s="37"/>
      <c r="S57" s="37"/>
    </row>
    <row r="58" spans="1:77" hidden="1">
      <c r="A58" s="37"/>
      <c r="B58" s="38" t="str">
        <f>IF(OR($F$46="",$G$46="",$H$46=""),CONCATENATE("სესხის გაცემის საკომისიო ",IF($H$16="GEL","(ლარი)","(აშშ დოლარი)")),CONCATENATE("სესხის გაცემის საკომისიო ",IF($P$32="GEL","(ლარი)","(აშშ დოლარი)")))</f>
        <v>სესხის გაცემის საკომისიო (ლარი)</v>
      </c>
      <c r="C58" s="37"/>
      <c r="D58" s="37"/>
      <c r="E58" s="37"/>
      <c r="F58" s="37"/>
      <c r="G58" s="37"/>
      <c r="H58" s="48">
        <f>IFERROR(IF(OR($F$46="",$G$46="",$H$46=""),$I$24,$S$34),0)</f>
        <v>45</v>
      </c>
      <c r="I58" s="37"/>
      <c r="J58" s="37"/>
      <c r="K58" s="37"/>
      <c r="L58" s="38" t="s">
        <v>491</v>
      </c>
      <c r="M58" s="37"/>
      <c r="N58" s="37"/>
      <c r="O58" s="37"/>
      <c r="P58" s="37"/>
      <c r="Q58" s="37"/>
      <c r="R58" s="48">
        <f>IFERROR(IF(OR($F$46="",$G$46="",$H$46=""),$R$10,$Q$36),0)</f>
        <v>0</v>
      </c>
      <c r="S58" s="37"/>
      <c r="BW58" s="30"/>
      <c r="BY58" s="30"/>
    </row>
    <row r="59" spans="1:77" hidden="1">
      <c r="A59" s="37"/>
      <c r="B59" s="37"/>
      <c r="C59" s="37"/>
      <c r="D59" s="37"/>
      <c r="E59" s="37"/>
      <c r="F59" s="37"/>
      <c r="G59" s="37"/>
      <c r="H59" s="37"/>
      <c r="I59" s="37"/>
      <c r="J59" s="37"/>
      <c r="K59" s="37"/>
      <c r="L59" s="37"/>
      <c r="M59" s="37"/>
      <c r="N59" s="37"/>
      <c r="O59" s="37"/>
      <c r="P59" s="37"/>
      <c r="Q59" s="37"/>
      <c r="R59" s="37"/>
      <c r="S59" s="37"/>
      <c r="BW59" s="30"/>
      <c r="BY59" s="30"/>
    </row>
    <row r="60" spans="1:77" hidden="1">
      <c r="A60" s="37"/>
      <c r="B60" s="38" t="str">
        <f>IF(OR($F$46="",$G$46="",$H$46=""),CONCATENATE("თანხის განაღდების საკომისიო ",IF($H$16="GEL","(ლარი)","(აშშ დოლარი)")),CONCATENATE("თანხის განაღდების საკომისიო ",IF($P$32="GEL","(ლარი)","(აშშ დოლარი)")))</f>
        <v>თანხის განაღდების საკომისიო (ლარი)</v>
      </c>
      <c r="C60" s="37"/>
      <c r="D60" s="37"/>
      <c r="E60" s="37"/>
      <c r="F60" s="37"/>
      <c r="G60" s="37"/>
      <c r="H60" s="48">
        <f>IFERROR(IF(OR($F$46="",$G$46="",$H$46=""),$R$18,$R$42),0)</f>
        <v>7.28</v>
      </c>
      <c r="I60" s="37"/>
      <c r="J60" s="37"/>
      <c r="K60" s="37"/>
      <c r="L60" s="38" t="s">
        <v>492</v>
      </c>
      <c r="M60" s="37"/>
      <c r="N60" s="37"/>
      <c r="O60" s="37"/>
      <c r="P60" s="37"/>
      <c r="Q60" s="37"/>
      <c r="R60" s="48">
        <f>IFERROR(IF(OR($F$46="",$G$46="",$H$46=""),$R$12,$R$36),0)</f>
        <v>0</v>
      </c>
      <c r="S60" s="37"/>
      <c r="AJ60" s="63"/>
      <c r="AK60" s="63"/>
      <c r="BW60" s="30"/>
      <c r="BY60" s="30"/>
    </row>
    <row r="61" spans="1:77" hidden="1">
      <c r="A61" s="37"/>
      <c r="B61" s="37"/>
      <c r="C61" s="37"/>
      <c r="D61" s="37"/>
      <c r="E61" s="37"/>
      <c r="F61" s="37"/>
      <c r="G61" s="37"/>
      <c r="H61" s="37"/>
      <c r="I61" s="37"/>
      <c r="J61" s="37"/>
      <c r="K61" s="37"/>
      <c r="L61" s="37"/>
      <c r="M61" s="37"/>
      <c r="N61" s="37"/>
      <c r="O61" s="37"/>
      <c r="P61" s="37"/>
      <c r="Q61" s="37"/>
      <c r="R61" s="37"/>
      <c r="S61" s="37"/>
      <c r="BW61" s="30"/>
      <c r="BY61" s="30"/>
    </row>
    <row r="62" spans="1:77" ht="15.75" hidden="1">
      <c r="A62" s="37"/>
      <c r="B62" s="195" t="str">
        <f>IF(OR($F$46="",$G$46="",$H$46=""),CONCATENATE("სულ სესხის ღირებულება ",IF($H$16="GEL","(ლარი)","(აშშ დოლარი)")),CONCATENATE("სულ სესხის ღირებულება ",IF($P$32="GEL","(ლარი)","(აშშ დოლარი)")))</f>
        <v>სულ სესხის ღირებულება (ლარი)</v>
      </c>
      <c r="C62" s="37"/>
      <c r="D62" s="37"/>
      <c r="E62" s="37"/>
      <c r="F62" s="37"/>
      <c r="G62" s="37"/>
      <c r="H62" s="196">
        <f>IF(OR($F$46="",$G$46="",$H$46=""),IF($H$16="GEL",SUM(H56,H58,H60,R56,R58,R60,R62),SUM(H56,H58,H60,R56/H18,R58/H18,R60/H18,R62)),IF($P$32="GEL",SUM(H56,H58,H60,R56,R58,R60,R62),SUM(H56,H58,H60,R56/Q32,R58/Q32,R60/Q32,R62)))</f>
        <v>527.22</v>
      </c>
      <c r="I62" s="37"/>
      <c r="J62" s="37"/>
      <c r="K62" s="37"/>
      <c r="L62" s="38" t="str">
        <f>IF(OR($F$46="",$G$46="",$H$46=""),CONCATENATE("სიც. დაზღვევის საკომისიო ",IF($H$16="GEL","(ლარი)","(აშშ დოლარი)")),CONCATENATE("სიც. დაზღვევის საკომისიო ",IF($P$32="GEL","(ლარი)","(აშშ დოლარი)")))</f>
        <v>სიც. დაზღვევის საკომისიო (ლარი)</v>
      </c>
      <c r="M62" s="37"/>
      <c r="N62" s="37"/>
      <c r="O62" s="37"/>
      <c r="P62" s="37"/>
      <c r="Q62" s="37"/>
      <c r="R62" s="48">
        <f>IFERROR(IF(OR($F$46="",$G$46="",$H$46=""),SUM($E$81:$E$200),SUM($N$81:$N$200)),0)</f>
        <v>7.83</v>
      </c>
      <c r="S62" s="37"/>
      <c r="BW62" s="30"/>
      <c r="BX62" s="107"/>
      <c r="BY62" s="30"/>
    </row>
    <row r="63" spans="1:77" hidden="1">
      <c r="A63" s="37"/>
      <c r="B63" s="37"/>
      <c r="C63" s="37"/>
      <c r="D63" s="37"/>
      <c r="E63" s="37"/>
      <c r="F63" s="37"/>
      <c r="G63" s="37"/>
      <c r="H63" s="37"/>
      <c r="I63" s="37"/>
      <c r="J63" s="37"/>
      <c r="K63" s="37"/>
      <c r="L63" s="37"/>
      <c r="M63" s="37"/>
      <c r="N63" s="37"/>
      <c r="O63" s="37"/>
      <c r="P63" s="37"/>
      <c r="Q63" s="37"/>
      <c r="R63" s="37"/>
      <c r="S63" s="37"/>
    </row>
    <row r="64" spans="1:77" hidden="1">
      <c r="A64" s="26"/>
      <c r="B64" s="26"/>
      <c r="C64" s="26"/>
      <c r="D64" s="26"/>
      <c r="E64" s="26"/>
      <c r="F64" s="26"/>
      <c r="G64" s="26"/>
      <c r="H64" s="26"/>
      <c r="I64" s="26"/>
      <c r="J64" s="26"/>
      <c r="K64" s="26"/>
      <c r="L64" s="26"/>
      <c r="M64" s="26"/>
      <c r="N64" s="26"/>
      <c r="O64" s="26"/>
      <c r="P64" s="26"/>
      <c r="Q64" s="26"/>
      <c r="R64" s="26"/>
      <c r="S64" s="26"/>
    </row>
    <row r="65" spans="1:293" ht="3" hidden="1" customHeight="1">
      <c r="A65" s="37"/>
      <c r="B65" s="37"/>
      <c r="C65" s="37"/>
      <c r="D65" s="37"/>
      <c r="E65" s="37"/>
      <c r="F65" s="37"/>
      <c r="G65" s="37"/>
      <c r="H65" s="37"/>
      <c r="I65" s="37"/>
      <c r="J65" s="37"/>
      <c r="K65" s="37"/>
      <c r="L65" s="37"/>
      <c r="M65" s="37"/>
      <c r="N65" s="37"/>
      <c r="O65" s="37"/>
      <c r="P65" s="37"/>
      <c r="Q65" s="37"/>
      <c r="R65" s="37"/>
      <c r="S65" s="37"/>
    </row>
    <row r="66" spans="1:293" ht="12" hidden="1" customHeight="1">
      <c r="A66" s="37"/>
      <c r="B66" s="37"/>
      <c r="C66" s="37"/>
      <c r="D66" s="37"/>
      <c r="E66" s="37"/>
      <c r="F66" s="37"/>
      <c r="G66" s="37"/>
      <c r="H66" s="37"/>
      <c r="I66" s="37"/>
      <c r="J66" s="37"/>
      <c r="K66" s="37"/>
      <c r="L66" s="37"/>
      <c r="M66" s="37"/>
      <c r="N66" s="37"/>
      <c r="O66" s="37"/>
      <c r="P66" s="37"/>
      <c r="Q66" s="37"/>
      <c r="R66" s="37"/>
      <c r="S66" s="37"/>
    </row>
    <row r="67" spans="1:293" ht="3" hidden="1" customHeight="1">
      <c r="A67" s="37"/>
      <c r="B67" s="37"/>
      <c r="C67" s="37"/>
      <c r="D67" s="37"/>
      <c r="E67" s="37"/>
      <c r="F67" s="37"/>
      <c r="G67" s="37"/>
      <c r="H67" s="37"/>
      <c r="I67" s="37"/>
      <c r="J67" s="37"/>
      <c r="K67" s="37"/>
      <c r="L67" s="37"/>
      <c r="M67" s="37"/>
      <c r="N67" s="37"/>
      <c r="O67" s="37"/>
      <c r="P67" s="37"/>
      <c r="Q67" s="37"/>
      <c r="R67" s="37"/>
      <c r="S67" s="37"/>
    </row>
    <row r="68" spans="1:293" ht="15" hidden="1" customHeight="1">
      <c r="A68" s="37"/>
      <c r="B68" s="37"/>
      <c r="C68" s="37"/>
      <c r="D68" s="37"/>
      <c r="E68" s="37"/>
      <c r="F68" s="37"/>
      <c r="G68" s="37"/>
      <c r="H68" s="37"/>
      <c r="I68" s="37"/>
      <c r="J68" s="37"/>
      <c r="K68" s="37"/>
      <c r="L68" s="37"/>
      <c r="M68" s="37"/>
      <c r="N68" s="37"/>
      <c r="O68" s="37"/>
      <c r="P68" s="37"/>
      <c r="Q68" s="37"/>
      <c r="R68" s="37"/>
      <c r="S68" s="37"/>
    </row>
    <row r="69" spans="1:293" ht="3" hidden="1" customHeight="1">
      <c r="A69" s="37"/>
      <c r="B69" s="37"/>
      <c r="C69" s="37"/>
      <c r="D69" s="37"/>
      <c r="E69" s="37"/>
      <c r="F69" s="37"/>
      <c r="G69" s="37"/>
      <c r="H69" s="37"/>
      <c r="I69" s="37"/>
      <c r="J69" s="37"/>
      <c r="K69" s="37"/>
      <c r="L69" s="37"/>
      <c r="M69" s="37"/>
      <c r="N69" s="37"/>
      <c r="O69" s="37"/>
      <c r="P69" s="37"/>
      <c r="Q69" s="37"/>
      <c r="R69" s="37"/>
      <c r="S69" s="37"/>
    </row>
    <row r="70" spans="1:293" ht="15" hidden="1" customHeight="1">
      <c r="A70" s="37"/>
      <c r="B70" s="37"/>
      <c r="C70" s="37"/>
      <c r="D70" s="37"/>
      <c r="E70" s="37"/>
      <c r="F70" s="37"/>
      <c r="G70" s="37"/>
      <c r="H70" s="37"/>
      <c r="I70" s="37"/>
      <c r="J70" s="37"/>
      <c r="K70" s="37"/>
      <c r="L70" s="37"/>
      <c r="M70" s="37"/>
      <c r="N70" s="37"/>
      <c r="O70" s="37"/>
      <c r="P70" s="37"/>
      <c r="Q70" s="37"/>
      <c r="R70" s="37"/>
      <c r="S70" s="37"/>
    </row>
    <row r="71" spans="1:293" ht="3" hidden="1" customHeight="1">
      <c r="A71" s="37"/>
      <c r="B71" s="37"/>
      <c r="C71" s="37"/>
      <c r="D71" s="37"/>
      <c r="E71" s="37"/>
      <c r="F71" s="37"/>
      <c r="G71" s="37"/>
      <c r="H71" s="37"/>
      <c r="I71" s="37"/>
      <c r="J71" s="37"/>
      <c r="K71" s="37"/>
      <c r="L71" s="37"/>
      <c r="M71" s="37"/>
      <c r="N71" s="37"/>
      <c r="O71" s="37"/>
      <c r="P71" s="37"/>
      <c r="Q71" s="37"/>
      <c r="R71" s="37"/>
      <c r="S71" s="37"/>
    </row>
    <row r="72" spans="1:293" ht="15" hidden="1" customHeight="1">
      <c r="A72" s="37"/>
      <c r="B72" s="37"/>
      <c r="C72" s="37"/>
      <c r="D72" s="37"/>
      <c r="E72" s="37"/>
      <c r="F72" s="37"/>
      <c r="G72" s="37"/>
      <c r="H72" s="37"/>
      <c r="I72" s="37"/>
      <c r="J72" s="37"/>
      <c r="K72" s="37"/>
      <c r="L72" s="37"/>
      <c r="M72" s="37"/>
      <c r="N72" s="37"/>
      <c r="O72" s="37"/>
      <c r="P72" s="37"/>
      <c r="Q72" s="37"/>
      <c r="R72" s="37"/>
      <c r="S72" s="37"/>
    </row>
    <row r="73" spans="1:293" ht="3" hidden="1" customHeight="1">
      <c r="A73" s="37"/>
      <c r="B73" s="37"/>
      <c r="C73" s="37"/>
      <c r="D73" s="37"/>
      <c r="E73" s="37"/>
      <c r="F73" s="37"/>
      <c r="G73" s="37"/>
      <c r="H73" s="37"/>
      <c r="I73" s="37"/>
      <c r="J73" s="37"/>
      <c r="K73" s="37"/>
      <c r="L73" s="37"/>
      <c r="M73" s="37"/>
      <c r="N73" s="37"/>
      <c r="O73" s="37"/>
      <c r="P73" s="37"/>
      <c r="Q73" s="37"/>
      <c r="R73" s="37"/>
      <c r="S73" s="37"/>
    </row>
    <row r="74" spans="1:293" ht="15" hidden="1" customHeight="1">
      <c r="A74" s="37"/>
      <c r="B74" s="37"/>
      <c r="C74" s="37"/>
      <c r="D74" s="37"/>
      <c r="E74" s="37"/>
      <c r="F74" s="37"/>
      <c r="G74" s="37"/>
      <c r="H74" s="37"/>
      <c r="I74" s="37"/>
      <c r="J74" s="37"/>
      <c r="K74" s="37"/>
      <c r="L74" s="37"/>
      <c r="M74" s="37"/>
      <c r="N74" s="37"/>
      <c r="O74" s="37"/>
      <c r="P74" s="37"/>
      <c r="Q74" s="37"/>
      <c r="R74" s="37"/>
      <c r="S74" s="37"/>
    </row>
    <row r="75" spans="1:293" ht="3" hidden="1" customHeight="1">
      <c r="A75" s="37"/>
      <c r="B75" s="37"/>
      <c r="C75" s="37"/>
      <c r="D75" s="37"/>
      <c r="E75" s="37"/>
      <c r="F75" s="37"/>
      <c r="G75" s="37"/>
      <c r="H75" s="37"/>
      <c r="I75" s="37"/>
      <c r="J75" s="37"/>
      <c r="K75" s="37"/>
      <c r="L75" s="37"/>
      <c r="M75" s="37"/>
      <c r="N75" s="37"/>
      <c r="O75" s="37"/>
      <c r="P75" s="37"/>
      <c r="Q75" s="37"/>
      <c r="R75" s="37"/>
      <c r="S75" s="37"/>
    </row>
    <row r="76" spans="1:293" ht="15" hidden="1" customHeight="1">
      <c r="A76" s="37"/>
      <c r="B76" s="37"/>
      <c r="C76" s="37"/>
      <c r="D76" s="37"/>
      <c r="E76" s="37"/>
      <c r="F76" s="37"/>
      <c r="G76" s="37"/>
      <c r="H76" s="37"/>
      <c r="I76" s="37"/>
      <c r="J76" s="37"/>
      <c r="K76" s="37"/>
      <c r="L76" s="37"/>
      <c r="M76" s="37"/>
      <c r="N76" s="37"/>
      <c r="O76" s="37"/>
      <c r="P76" s="37"/>
      <c r="Q76" s="37"/>
      <c r="R76" s="37"/>
      <c r="S76" s="37"/>
    </row>
    <row r="77" spans="1:293" ht="3" hidden="1" customHeight="1">
      <c r="A77" s="37"/>
      <c r="B77" s="37"/>
      <c r="C77" s="37"/>
      <c r="D77" s="37"/>
      <c r="E77" s="37"/>
      <c r="F77" s="37"/>
      <c r="G77" s="37"/>
      <c r="H77" s="37"/>
      <c r="I77" s="37"/>
      <c r="J77" s="37"/>
      <c r="K77" s="37"/>
      <c r="L77" s="37"/>
      <c r="M77" s="37"/>
      <c r="N77" s="37"/>
      <c r="O77" s="37"/>
      <c r="P77" s="37"/>
      <c r="Q77" s="37"/>
      <c r="R77" s="37"/>
      <c r="S77" s="37"/>
    </row>
    <row r="78" spans="1:293" ht="33" customHeight="1" thickBot="1">
      <c r="A78" s="1"/>
      <c r="B78" s="66"/>
      <c r="C78" s="199" t="s">
        <v>502</v>
      </c>
      <c r="D78" s="198">
        <f>IF(OR(F10="ასიმეტრიული",F10="ასიმეტრიული პროცენტით"),'სესხის კალკულატორი'!D78,AVERAGE(D81:D140))</f>
        <v>108.13555555555556</v>
      </c>
      <c r="E78" s="66"/>
      <c r="F78" s="66"/>
      <c r="G78" s="66"/>
      <c r="H78" s="66"/>
      <c r="I78" s="66"/>
      <c r="J78" s="66"/>
      <c r="K78" s="66"/>
      <c r="L78" s="66"/>
      <c r="M78" s="66"/>
      <c r="N78" s="66"/>
      <c r="O78" s="66"/>
      <c r="P78" s="66"/>
      <c r="Q78" s="66"/>
      <c r="R78" s="66"/>
      <c r="S78" s="66"/>
    </row>
    <row r="79" spans="1:293" ht="24.95" customHeight="1" thickBot="1">
      <c r="A79" s="1"/>
      <c r="B79" s="67" t="s">
        <v>211</v>
      </c>
      <c r="C79" s="67" t="s">
        <v>212</v>
      </c>
      <c r="D79" s="67" t="s">
        <v>213</v>
      </c>
      <c r="E79" s="67" t="s">
        <v>214</v>
      </c>
      <c r="F79" s="67" t="s">
        <v>133</v>
      </c>
      <c r="G79" s="67" t="s">
        <v>215</v>
      </c>
      <c r="H79" s="67" t="s">
        <v>151</v>
      </c>
      <c r="I79" s="66"/>
      <c r="J79" s="68" t="b">
        <f>IF($F$10="ასიმეტრიული","გთხოვთ შეავსოთ შესატანი თანხები",IF($F$10="ასიმეტრიული პროცენტით","გთხოვთ შეავსოთ ძირი თანხები"))</f>
        <v>0</v>
      </c>
      <c r="K79" s="69" t="s">
        <v>211</v>
      </c>
      <c r="L79" s="67" t="s">
        <v>212</v>
      </c>
      <c r="M79" s="67" t="s">
        <v>213</v>
      </c>
      <c r="N79" s="67" t="s">
        <v>214</v>
      </c>
      <c r="O79" s="67" t="s">
        <v>133</v>
      </c>
      <c r="P79" s="67" t="s">
        <v>215</v>
      </c>
      <c r="Q79" s="67" t="s">
        <v>151</v>
      </c>
      <c r="R79" s="68" t="b">
        <f>IF($O$28="ასიმეტრიული","შეავსეთ შესატანი თანხები",IF($O$28="ასიმეტრიული პროცენტით","შეავსეთ ძირი თანხები"))</f>
        <v>0</v>
      </c>
      <c r="S79" s="66"/>
      <c r="U79" s="70" t="s">
        <v>211</v>
      </c>
      <c r="V79" s="71" t="s">
        <v>212</v>
      </c>
      <c r="W79" s="71" t="s">
        <v>213</v>
      </c>
      <c r="X79" s="71" t="s">
        <v>133</v>
      </c>
      <c r="Y79" s="71" t="s">
        <v>215</v>
      </c>
      <c r="Z79" s="72" t="s">
        <v>151</v>
      </c>
      <c r="AB79" s="70" t="s">
        <v>213</v>
      </c>
      <c r="AC79" s="71" t="s">
        <v>216</v>
      </c>
      <c r="AD79" s="71" t="s">
        <v>217</v>
      </c>
      <c r="AE79" s="71" t="s">
        <v>218</v>
      </c>
      <c r="AF79" s="71" t="s">
        <v>212</v>
      </c>
      <c r="AG79" s="71" t="s">
        <v>219</v>
      </c>
      <c r="AH79" s="71" t="s">
        <v>220</v>
      </c>
      <c r="AI79" s="73"/>
      <c r="AJ79" s="71" t="s">
        <v>213</v>
      </c>
      <c r="AK79" s="71" t="s">
        <v>216</v>
      </c>
      <c r="AL79" s="71" t="s">
        <v>217</v>
      </c>
      <c r="AM79" s="71" t="s">
        <v>218</v>
      </c>
      <c r="AN79" s="71" t="s">
        <v>212</v>
      </c>
      <c r="AO79" s="71" t="s">
        <v>219</v>
      </c>
      <c r="AP79" s="72" t="s">
        <v>220</v>
      </c>
      <c r="AR79" s="70" t="s">
        <v>213</v>
      </c>
      <c r="AS79" s="71" t="s">
        <v>216</v>
      </c>
      <c r="AT79" s="71" t="s">
        <v>217</v>
      </c>
      <c r="AU79" s="71" t="s">
        <v>218</v>
      </c>
      <c r="AV79" s="71" t="s">
        <v>212</v>
      </c>
      <c r="AW79" s="71" t="s">
        <v>219</v>
      </c>
      <c r="AX79" s="71" t="s">
        <v>220</v>
      </c>
      <c r="AY79" s="73"/>
      <c r="AZ79" s="71" t="s">
        <v>213</v>
      </c>
      <c r="BA79" s="71" t="s">
        <v>216</v>
      </c>
      <c r="BB79" s="71" t="s">
        <v>217</v>
      </c>
      <c r="BC79" s="71" t="s">
        <v>218</v>
      </c>
      <c r="BD79" s="71" t="s">
        <v>212</v>
      </c>
      <c r="BE79" s="71" t="s">
        <v>219</v>
      </c>
      <c r="BF79" s="72" t="s">
        <v>220</v>
      </c>
      <c r="BH79" s="74" t="s">
        <v>221</v>
      </c>
      <c r="BJ79" s="75" t="s">
        <v>222</v>
      </c>
      <c r="BK79" s="76" t="s">
        <v>223</v>
      </c>
      <c r="BL79" s="76" t="s">
        <v>130</v>
      </c>
      <c r="BM79" s="76" t="s">
        <v>224</v>
      </c>
      <c r="BN79" s="76" t="s">
        <v>225</v>
      </c>
      <c r="BO79" s="77" t="s">
        <v>226</v>
      </c>
      <c r="BP79" s="76" t="s">
        <v>227</v>
      </c>
      <c r="BQ79" s="76" t="s">
        <v>219</v>
      </c>
      <c r="BR79" s="76" t="s">
        <v>228</v>
      </c>
      <c r="BT79" s="76" t="s">
        <v>229</v>
      </c>
      <c r="BU79" s="76" t="s">
        <v>230</v>
      </c>
      <c r="BV79" s="76"/>
      <c r="BW79" s="653" t="s">
        <v>231</v>
      </c>
      <c r="BX79" s="653"/>
      <c r="BY79" s="653"/>
      <c r="BZ79" s="653"/>
      <c r="CA79" s="653"/>
      <c r="CB79" s="653"/>
      <c r="CC79" s="653"/>
      <c r="CD79" s="653"/>
      <c r="CE79" s="653"/>
      <c r="CF79" s="76" t="s">
        <v>494</v>
      </c>
      <c r="CG79" s="76" t="s">
        <v>495</v>
      </c>
      <c r="CI79" s="76"/>
      <c r="CJ79" s="76" t="s">
        <v>232</v>
      </c>
      <c r="CK79" s="76" t="s">
        <v>233</v>
      </c>
      <c r="CL79" s="76" t="s">
        <v>231</v>
      </c>
      <c r="CM79" s="76" t="s">
        <v>234</v>
      </c>
      <c r="CO79" s="76" t="s">
        <v>235</v>
      </c>
      <c r="CP79" s="76" t="s">
        <v>236</v>
      </c>
      <c r="CQ79" s="76" t="s">
        <v>231</v>
      </c>
      <c r="CR79" s="76" t="s">
        <v>234</v>
      </c>
      <c r="CU79" s="76" t="s">
        <v>237</v>
      </c>
      <c r="CV79" s="76" t="s">
        <v>237</v>
      </c>
      <c r="CW79" s="76" t="s">
        <v>238</v>
      </c>
      <c r="CY79" s="78" t="s">
        <v>239</v>
      </c>
      <c r="CZ79" s="79"/>
      <c r="DA79" s="79"/>
      <c r="DB79" s="80"/>
      <c r="DD79" s="78" t="s">
        <v>240</v>
      </c>
      <c r="DE79" s="79"/>
      <c r="DF79" s="79"/>
      <c r="DG79" s="80"/>
      <c r="DI79" s="78" t="s">
        <v>241</v>
      </c>
      <c r="DJ79" s="79"/>
      <c r="DK79" s="79"/>
      <c r="DL79" s="80"/>
      <c r="DN79" s="78" t="s">
        <v>242</v>
      </c>
      <c r="DO79" s="79"/>
      <c r="DP79" s="79"/>
      <c r="DQ79" s="80"/>
      <c r="DS79" s="78" t="s">
        <v>243</v>
      </c>
      <c r="DT79" s="79"/>
      <c r="DU79" s="79"/>
      <c r="DV79" s="80"/>
      <c r="DX79" s="78" t="s">
        <v>244</v>
      </c>
      <c r="DY79" s="79"/>
      <c r="DZ79" s="79"/>
      <c r="EA79" s="80"/>
      <c r="EC79" s="78" t="s">
        <v>245</v>
      </c>
      <c r="ED79" s="79"/>
      <c r="EE79" s="79"/>
      <c r="EF79" s="80"/>
      <c r="EH79" s="78" t="s">
        <v>246</v>
      </c>
      <c r="EI79" s="79"/>
      <c r="EJ79" s="79"/>
      <c r="EK79" s="80"/>
      <c r="EM79" s="78" t="s">
        <v>247</v>
      </c>
      <c r="EN79" s="79"/>
      <c r="EO79" s="79"/>
      <c r="EP79" s="80"/>
      <c r="ER79" s="78" t="s">
        <v>248</v>
      </c>
      <c r="ES79" s="79"/>
      <c r="ET79" s="79"/>
      <c r="EU79" s="80"/>
      <c r="EW79" s="78" t="s">
        <v>249</v>
      </c>
      <c r="EX79" s="79"/>
      <c r="EY79" s="79"/>
      <c r="EZ79" s="80"/>
      <c r="FB79" s="78" t="s">
        <v>250</v>
      </c>
      <c r="FC79" s="79"/>
      <c r="FD79" s="79"/>
      <c r="FE79" s="80"/>
      <c r="FG79" s="78" t="s">
        <v>251</v>
      </c>
      <c r="FH79" s="79"/>
      <c r="FI79" s="79"/>
      <c r="FJ79" s="80"/>
      <c r="FL79" s="78" t="s">
        <v>252</v>
      </c>
      <c r="FM79" s="79"/>
      <c r="FN79" s="79"/>
      <c r="FO79" s="80"/>
      <c r="FQ79" s="78" t="s">
        <v>253</v>
      </c>
      <c r="FR79" s="79"/>
      <c r="FS79" s="79"/>
      <c r="FT79" s="80"/>
      <c r="FV79" s="78" t="s">
        <v>254</v>
      </c>
      <c r="FW79" s="79"/>
      <c r="FX79" s="79"/>
      <c r="FY79" s="80"/>
      <c r="GA79" s="78" t="s">
        <v>255</v>
      </c>
      <c r="GB79" s="79"/>
      <c r="GC79" s="79"/>
      <c r="GD79" s="80"/>
      <c r="GF79" s="78" t="s">
        <v>256</v>
      </c>
      <c r="GG79" s="79"/>
      <c r="GH79" s="79"/>
      <c r="GI79" s="80"/>
      <c r="GK79" s="78" t="s">
        <v>257</v>
      </c>
      <c r="GL79" s="79"/>
      <c r="GM79" s="79"/>
      <c r="GN79" s="80"/>
      <c r="GR79" s="78" t="s">
        <v>239</v>
      </c>
      <c r="GS79" s="79"/>
      <c r="GT79" s="79"/>
      <c r="GU79" s="80"/>
      <c r="GW79" s="78" t="s">
        <v>240</v>
      </c>
      <c r="GX79" s="79"/>
      <c r="GY79" s="79"/>
      <c r="GZ79" s="80"/>
      <c r="HB79" s="78" t="s">
        <v>241</v>
      </c>
      <c r="HC79" s="79"/>
      <c r="HD79" s="79"/>
      <c r="HE79" s="80"/>
      <c r="HG79" s="78" t="s">
        <v>242</v>
      </c>
      <c r="HH79" s="79"/>
      <c r="HI79" s="79"/>
      <c r="HJ79" s="80"/>
      <c r="HL79" s="78" t="s">
        <v>243</v>
      </c>
      <c r="HM79" s="79"/>
      <c r="HN79" s="79"/>
      <c r="HO79" s="80"/>
      <c r="HQ79" s="78" t="s">
        <v>244</v>
      </c>
      <c r="HR79" s="79"/>
      <c r="HS79" s="79"/>
      <c r="HT79" s="80"/>
      <c r="HV79" s="78" t="s">
        <v>245</v>
      </c>
      <c r="HW79" s="79"/>
      <c r="HX79" s="79"/>
      <c r="HY79" s="80"/>
      <c r="IA79" s="78" t="s">
        <v>246</v>
      </c>
      <c r="IB79" s="79"/>
      <c r="IC79" s="79"/>
      <c r="ID79" s="80"/>
      <c r="IF79" s="78" t="s">
        <v>247</v>
      </c>
      <c r="IG79" s="79"/>
      <c r="IH79" s="79"/>
      <c r="II79" s="80"/>
      <c r="IK79" s="78" t="s">
        <v>248</v>
      </c>
      <c r="IL79" s="79"/>
      <c r="IM79" s="79"/>
      <c r="IN79" s="80"/>
      <c r="IP79" s="78" t="s">
        <v>249</v>
      </c>
      <c r="IQ79" s="79"/>
      <c r="IR79" s="79"/>
      <c r="IS79" s="80"/>
      <c r="IU79" s="78" t="s">
        <v>250</v>
      </c>
      <c r="IV79" s="79"/>
      <c r="IW79" s="79"/>
      <c r="IX79" s="80"/>
      <c r="IZ79" s="78" t="s">
        <v>251</v>
      </c>
      <c r="JA79" s="79"/>
      <c r="JB79" s="79"/>
      <c r="JC79" s="80"/>
      <c r="JE79" s="78" t="s">
        <v>252</v>
      </c>
      <c r="JF79" s="79"/>
      <c r="JG79" s="79"/>
      <c r="JH79" s="80"/>
      <c r="JJ79" s="78" t="s">
        <v>253</v>
      </c>
      <c r="JK79" s="79"/>
      <c r="JL79" s="79"/>
      <c r="JM79" s="80"/>
      <c r="JO79" s="78" t="s">
        <v>254</v>
      </c>
      <c r="JP79" s="79"/>
      <c r="JQ79" s="79"/>
      <c r="JR79" s="80"/>
      <c r="JT79" s="78" t="s">
        <v>255</v>
      </c>
      <c r="JU79" s="79"/>
      <c r="JV79" s="79"/>
      <c r="JW79" s="80"/>
      <c r="JY79" s="78" t="s">
        <v>256</v>
      </c>
      <c r="JZ79" s="79"/>
      <c r="KA79" s="79"/>
      <c r="KB79" s="80"/>
      <c r="KD79" s="78" t="s">
        <v>257</v>
      </c>
      <c r="KE79" s="79"/>
      <c r="KF79" s="79"/>
      <c r="KG79" s="80"/>
    </row>
    <row r="80" spans="1:293" ht="12" customHeight="1">
      <c r="A80" s="2"/>
      <c r="B80" s="81">
        <v>0</v>
      </c>
      <c r="C80" s="82">
        <f>DATE($F$28,$G$28,$H$28)</f>
        <v>43535</v>
      </c>
      <c r="D80" s="83"/>
      <c r="E80" s="83"/>
      <c r="F80" s="83"/>
      <c r="G80" s="83"/>
      <c r="H80" s="83">
        <f>H14</f>
        <v>1500</v>
      </c>
      <c r="I80" s="66"/>
      <c r="J80" s="84">
        <f>H14</f>
        <v>1500</v>
      </c>
      <c r="K80" s="69">
        <v>0</v>
      </c>
      <c r="L80" s="82">
        <f>IFERROR(DATE($F$46,$G$46,$H$46),0)</f>
        <v>0</v>
      </c>
      <c r="M80" s="83"/>
      <c r="N80" s="83"/>
      <c r="O80" s="83"/>
      <c r="P80" s="83"/>
      <c r="Q80" s="83">
        <f>R28</f>
        <v>10000</v>
      </c>
      <c r="R80" s="84">
        <f>R28</f>
        <v>10000</v>
      </c>
      <c r="S80" s="66"/>
      <c r="U80" s="85" t="e">
        <f t="shared" ref="U80:U143" si="0">IF(DATE($F$46,$G$46,$H$46)&lt;C80,"",B80)</f>
        <v>#NUM!</v>
      </c>
      <c r="V80" s="86" t="e">
        <f>IF($U80="",0,$C80)</f>
        <v>#NUM!</v>
      </c>
      <c r="W80" s="87"/>
      <c r="X80" s="87"/>
      <c r="Y80" s="87"/>
      <c r="Z80" s="88" t="e">
        <f t="shared" ref="Z80:Z143" si="1">IF($U80="",0,$H80)</f>
        <v>#NUM!</v>
      </c>
      <c r="AB80" s="89">
        <f>IF(OR($F$10="ანუიტეტური",$F$10="სამომხმარებლო",$F$10="საშეღავათო",$F$10="ნულოვანი საშეღავათო",$F$10="ასიმეტრიული",$F$10="ასიმეტრიული პროცენტით"),-$H$14+$I$24+$R$18+IF($H$16="GEL",($R$10+$R$12),ROUND(($R$10+$R$12)/$H$18,2)),IF($F$10="ბიზნეს ოვერდრაფტი",-$H$14+$I$24+$R$18+IF($H$16="GEL",$R$22,ROUND($R$22/$H$18,2)),IF($F$10="დეპოზიტით უზრუნველყოფილი",-$H$14+$I$24,"WTF")))</f>
        <v>-1447.72</v>
      </c>
      <c r="AC80" s="87">
        <f>ROUND((AB80)*($BJ$81+(C80-$C$80)*$BJ$82),2)</f>
        <v>-1447.72</v>
      </c>
      <c r="AD80" s="87" t="str">
        <f>IF($F$10="ბიზნეს ოვერდრაფტი",-$H$14+$I$24+$R$24+IF($H$16="GEL",$R$22,ROUND($R$22/$H$18,2)),"")</f>
        <v/>
      </c>
      <c r="AE80" s="87" t="str">
        <f>IF($F$10="ბიზნეს ოვერდრაფტი",ROUND((AD80)*($BJ$81+(C80-$C$80)*$BJ$82),2),"")</f>
        <v/>
      </c>
      <c r="AF80" s="86">
        <f>IF($F$10="დეპოზიტით უზრუნველყოფილი",0,DATE($F$28,$G$28,$H$28))</f>
        <v>43535</v>
      </c>
      <c r="AG80" s="87">
        <f t="shared" ref="AG80:AG143" si="2">IF($F$10="დეპოზიტით უზრუნველყოფილი",0,IF(AF80&gt;0,IF($H$16="GEL",$R$14,ROUND($R$14/$H$18,2)),0))</f>
        <v>1.5</v>
      </c>
      <c r="AH80" s="87"/>
      <c r="AI80" s="90"/>
      <c r="AJ80" s="87" t="e">
        <f>IF(OR($F$46="",DATE($F$34,$G$34,$H$34)&lt;=DATE($F$46,$G$46,$H$46)),0,IF(OR($O$28="ანუიტეტური",$O$28="სამომხმარებლო",$O$28="საშეღავათო",$O$28="ნულოვანი საშეღავათო",$O$28="ასიმეტრიული",$O$28="ასიმეტრიული პროცენტით"),-$R$28+$S$34+$R$42+IF($P$32="GEL",($Q$36+$R$36),ROUND(($Q$36+$R$36)/$Q$32,2)),IF($O$28="ბიზნეს ოვერდრაფტი",-$R$28+$S$34+$R$42+IF($P$32="GEL",$R$48,ROUND($R$48/$Q$32,2)),IF($O$28="დეპოზიტით უზრუნველყოფილი",-$R$28+$S$34,"WTF"))))</f>
        <v>#NUM!</v>
      </c>
      <c r="AK80" s="87" t="e">
        <f>IF(OR($F$46="",DATE($F$34,$G$34,$H$34)&lt;=DATE($F$46,$G$46,$H$46)),0,ROUND((AJ80)*($BJ$81+(L80-$L$80)*$BJ$82),2))</f>
        <v>#NUM!</v>
      </c>
      <c r="AL80" s="87" t="e">
        <f>IF(OR($F$46="",DATE($F$34,$G$34,$H$34)&lt;=DATE($F$46,$G$46,$H$46)),0,IF($O$28="ბიზნეს ოვერდრაფტი",-$R$28+$S$34+$R$50+IF($P$32="GEL",$R$48,ROUND($R$48/$Q$32,2)),""))</f>
        <v>#NUM!</v>
      </c>
      <c r="AM80" s="87" t="e">
        <f>IF(OR($F$46="",DATE($F$34,$G$34,$H$34)&lt;=DATE($F$46,$G$46,$H$46)),0,IF($O$28="ბიზნეს ოვერდრაფტი",ROUND((AL80)*($BJ$81+(L80-$L$80)*$BJ$82),2),""))</f>
        <v>#NUM!</v>
      </c>
      <c r="AN80" s="86" t="e">
        <f>IF(OR($F$46="",DATE($F$34,$G$34,$H$34)&lt;=DATE($F$46,$G$46,$H$46)),0,IF($O$28="დეპოზიტით უზრუნველყოფილი",0,DATE($F$46,$G$46,$H$46)))</f>
        <v>#NUM!</v>
      </c>
      <c r="AO80" s="87" t="e">
        <f>IF($O$28="დეპოზიტით უზრუნველყოფილი",0,IF(AN80&gt;0,IF($H$16="GEL",$R$38,ROUND($R$38/$Q$32,2)),0))</f>
        <v>#NUM!</v>
      </c>
      <c r="AP80" s="88"/>
      <c r="AR80" s="91">
        <f>IF(AND(OR($F$10="ანუიტეტური",$F$10="სამომხმარებლო",$F$10="საშეღავათო",$F$10="ნულოვანი საშეღავათო",$F$10="ასიმეტრიული",$F$10="ასიმეტრიული პროცენტით"),$H$16="GEL"),ROUND(-$H$14+$I$24+$R$18+$R$10+$R$12,2),IF(AND(OR($F$10="ანუიტეტური",$F$10="სამომხმარებლო",$F$10="საშეღავათო",$F$10="ნულოვანი საშეღავათო",$F$10="ასიმეტრიული",$F$10="ასიმეტრიული პროცენტით"),$H$16="USD"),ROUND(-$H$14*$H$18,2)+ROUND($I$24*$H$18,2)+ROUND($R$18*$H$18,2)+$R$10+$R$12,IF(AND($F$10="ბიზნეს ოვერდრაფტი",$H$16="GEL"),ROUND(-$H$14+$I$24+$R$18+$R$22,2),IF(AND($F$10="ბიზნეს ოვერდრაფტი",$H$16="USD"),ROUND(-$H$14*$H$18,2)+ROUND($I$24*$H$18,2)+ROUND($R$18*$H$18,2)+$R$22,IF(AND($F$10="დეპოზიტით უზრუნველყოფილი",$H$16="GEL"),ROUND(-$H$14+$I$24,2),IF(AND($F$10="დეპოზიტით უზრუნველყოფილი",$H$16="USD"),ROUND(-$H$14*$H$18,2)+ROUND($I$24*$H$18,2),"WTF"))))))</f>
        <v>-1447.72</v>
      </c>
      <c r="AS80" s="92">
        <f>ROUND((AR80)*($BJ$81+(C80-$C$80)*$BJ$82),2)</f>
        <v>-1447.72</v>
      </c>
      <c r="AT80" s="87" t="str">
        <f>IF(AND($F$10="ბიზნეს ოვერდრაფტი",$H$16="GEL"),ROUND(-$H$14+$I$24+$R$22+$R$24,2),IF(AND($F$10="ბიზნეს ოვერდრაფტი",$H$16="USD"),ROUND(-$H$14*$H$18,2)+ROUND($I$24*$H$18,2)+$R$22+ROUND($R$24*$H$18,2),""))</f>
        <v/>
      </c>
      <c r="AU80" s="87" t="str">
        <f>IF($F$10="ბიზნეს ოვერდრაფტი",ROUND((AT80)*($BJ$81+(C80-$C$80)*$BJ$82),2),"")</f>
        <v/>
      </c>
      <c r="AV80" s="86">
        <f>IF($F$10="დეპოზიტით უზრუნველყოფილი",0,DATE($F$28,$G$28,$H$28))</f>
        <v>43535</v>
      </c>
      <c r="AW80" s="87">
        <f>IF($F$10="დეპოზიტით უზრუნველყოფილი",0,IF(AF80&gt;0,$R$14,0))</f>
        <v>1.5</v>
      </c>
      <c r="AX80" s="87"/>
      <c r="AY80" s="93"/>
      <c r="AZ80" s="87">
        <f ca="1">IFERROR(IF(OR($F$46="",$G$46="",$H$46="",DATE($F$34,$G$34,$H$34)&lt;=DATE($F$46,$G$46,$H$46),AND(DATE($F$46,$G$46,$H$46)&lt;DATE($F$34,$G$34,$H$34),$J$46=$BR$81)),0,IF(DATE($F$46,$G$46,$H$46)&lt;DATE($F$34,$G$34,$H$34),IF(AND(OR($O$28="ანუიტეტური",$O$28="სამომხმარებლო",$O$28="საშეღავათო",$O$28="ნულოვანი საშეღავათო",$O$28="ასიმეტრიული",$O$28="ასიმეტრიული პროცენტით"),$P$32="GEL",$H$16="GEL"),-$R$28+$S$34+$R$42+$Q$36+$R$36+$H$22/$I$22*(DATE($F$46,$G$46,$H$46)-INDIRECT(ADDRESS(79+(MATCH(MAX($U$80:$U$200),$B$80:$B$200,0)),3)))*INDIRECT(ADDRESS(79+(MATCH(MAX($U$80:$U$200),$B$80:$B$200,0)),8))+INDIRECT(ADDRESS(79+(MATCH(MAX($U$80:$U$200),$B$80:$B$200,0)),8)),IF(AND(OR($O$28="ანუიტეტური",$O$28="სამომხმარებლო",$O$28="საშეღავათო",$O$28="ნულოვანი საშეღავათო",$O$28="ასიმეტრიული",$O$28="ასიმეტრიული პროცენტით"),$P$32="GEL",$H$16="USD"),-$R$28+$S$34+$R$42+$Q$36+$R$36+$H$22/$I$22*(DATE($F$46,$G$46,$H$46)-INDIRECT(ADDRESS(79+(MATCH(MAX($U$80:$U$200),$B$80:$B$200,0)),3)))*(INDIRECT(ADDRESS(79+(MATCH(MAX($U$80:$U$200),$B$80:$B$200,0)),8))*$Q$32)+(INDIRECT(ADDRESS(79+(MATCH(MAX($U$80:$U$200),$B$80:$B$200,0)),8))*$Q$32),IF(AND(OR($O$28="ანუიტეტური",$O$28="სამომხმარებლო",$O$28="საშეღავათო",$O$28="ნულოვანი საშეღავათო",$O$28="ასიმეტრიული",$O$28="ასიმეტრიული პროცენტით"),$P$32="USD"),-$R$28*$Q$32+$S$34*$Q$32+$R$42*$Q$32+$Q$36+$R$36+($H$22/$I$22*(DATE($F$46,$G$46,$H$46)-INDIRECT(ADDRESS(79+(MATCH(MAX($U$80:$U$200),$B$80:$B$200,0)),3)))*INDIRECT(ADDRESS(79+(MATCH(MAX($U$80:$U$200),$B$80:$B$200,0)),8))*$Q$32)+INDIRECT(ADDRESS(79+(MATCH(MAX($U$80:$U$200),$B$80:$B$200,0)),8))*$Q$32,IF(AND($O$28="ბიზნეს ოვერდრაფტი",$P$32="GEL",$H$16="GEL"),-$R$28+$S$34+$R$42+$R$48+$H$22/$I$22*(DATE($F$46,$G$46,$H$46)-INDIRECT(ADDRESS(79+(MATCH(MAX($U$80:$U$200),$B$80:$B$200,0)),3)))*INDIRECT(ADDRESS(79+(MATCH(MAX($U$80:$U$200),$B$80:$B$200,0)),8))+INDIRECT(ADDRESS(79+(MATCH(MAX($U$80:$U$200),$B$80:$B$200,0)),8)),IF(AND($O$28="ბიზნეს ოვერდრაფტი",$P$32="GEL",$H$16="USD"),-$R$28+$S$34+$R$42+$R$48+$H$22/$I$22*(DATE($F$46,$G$46,$H$46)-INDIRECT(ADDRESS(79+(MATCH(MAX($U$80:$U$200),$B$80:$B$200,0)),3)))*(INDIRECT(ADDRESS(79+(MATCH(MAX($U$80:$U$200),$B$80:$B$200,0)),8))*$Q$32)+(INDIRECT(ADDRESS(79+(MATCH(MAX($U$80:$U$200),$B$80:$B$200,0)),8))*$Q$32),IF(AND($O$28="ბიზნეს ოვერდრაფტი",$P$32="USD"),-$R$28+$S$34+$R$42+$R$48+$H$22/$I$22*(DATE($F$46,$G$46,$H$46)-INDIRECT(ADDRESS(79+(MATCH(MAX($U$80:$U$200),$B$80:$B$200,0)),3)))*INDIRECT(ADDRESS(79+(MATCH(MAX($U$80:$U$200),$B$80:$B$200,0)),8))+INDIRECT(ADDRESS(79+(MATCH(MAX($U$80:$U$200),$B$80:$B$200,0)),8))*$Q$32,IF(AND($O$28="დეპოზიტით უზრუნველყოფილი",$P$32="GEL"),-$R$28+$S$34,IF(AND($O$28="დეპოზიტით უზრუნველყოფილი",$P$32="USD"),-$R$28*$Q$32+$S$34*$Q$32,"WTF")))))))),IF(AND(OR($O$28="ანუიტეტური",$O$28="სამომხმარებლო",$O$28="საშეღავათო",$O$28="ნულოვანი საშეღავათო",$O$28="ასიმეტრიული",$O$28="ასიმეტრიული პროცენტით"),$P$32="GEL"),-$R$28+$S$34+$R$42+$Q$36+$R$36,IF(AND(OR($O$28="ანუიტეტური",$O$28="სამომხმარებლო",$O$28="საშეღავათო",$O$28="ნულოვანი საშეღავათო",$O$28="ასიმეტრიული",$O$28="ასიმეტრიული პროცენტით"),$P$32="USD"),-$R$28*$Q$32+$S$34*$Q$32+$R$42*$Q$32+$Q$36+$R$36,IF(AND($O$28="ბიზნეს ოვერდრაფტი",$P$32="GEL"),-$R$28+$S$34+$R$42+$R$48,IF(AND($O$28="ბიზნეს ოვერდრაფტი",$P$32="USD"),-$R$28*$Q$32+$S$34*$Q$32+$R$42*$Q$32+$R$48,IF(AND($O$28="დეპოზიტით უზრუნველყოფილი",$P$32="GEL"),-$R$28+$S$34,IF(AND($O$28="დეპოზიტით უზრუნველყოფილი",$P$32="USD"),-$R$28*$Q$32+$S$34*$Q$32,"WTF")))))))),0)</f>
        <v>0</v>
      </c>
      <c r="BA80" s="87">
        <f>IFERROR(IF(OR($F$46="",$G$46="",$H$46="",DATE($F$34,$G$34,$H$34)&lt;=DATE($F$46,$G$46,$H$46)),0,(AZ80)*($BJ$81+(L80-$L$80)*$BJ$82)),0)</f>
        <v>0</v>
      </c>
      <c r="BB80" s="87">
        <f ca="1">IFERROR(IF(OR($F$46="",$G$46="",$H$46="",DATE($F$34,$G$34,$H$34)&lt;=DATE($F$46,$G$46,$H$46)),0,IF(DATE($F$46,$G$46,$H$46)&lt;DATE($F$34,$G$34,$H$34),IF(AND($O$28="ბიზნეს ოვერდრაფტი",$P$32="GEL",$H$16="GEL"),-$R$28+$S$34+$R$48+$R$50+$H$22/$I$22*(DATE($F$46,$G$46,$H$46)-INDIRECT(ADDRESS(79+(MATCH(MAX($U$80:$U$200),$B$80:$B$200,0)),3)))*INDIRECT(ADDRESS(79+(MATCH(MAX($U$80:$U$200),$B$80:$B$200,0)),8))+INDIRECT(ADDRESS(79+(MATCH(MAX($U$80:$U$200),$B$80:$B$200,0)),8)),IF(AND($O$28="ბიზნეს ოვერდრაფტი",$P$32="GEL",$H$16="USD"),-$R$28+$S$34+$R$48+$R$50+$H$22/$I$22*(DATE($F$46,$G$46,$H$46)-INDIRECT(ADDRESS(79+(MATCH(MAX($U$80:$U$200),$B$80:$B$200,0)),3)))*(INDIRECT(ADDRESS(79+(MATCH(MAX($U$80:$U$200),$B$80:$B$200,0)),8))*$Q$32)+(INDIRECT(ADDRESS(79+(MATCH(MAX($U$80:$U$200),$B$80:$B$200,0)),8))*$Q$32),IF(AND($O$28="ბიზნეს ოვერდრაფტი",$P$32="USD"),-$R$28*$Q$32+$S$34*$Q$32+$R$48+$R$50*$Q$32+($H$22/$I$22*(DATE($F$46,$G$46,$H$46)-INDIRECT(ADDRESS(79+(MATCH(MAX($U$80:$U$200),$B$80:$B$200,0)),3)))*(INDIRECT(ADDRESS(79+(MATCH(MAX($U$80:$U$200),$B$80:$B$200,0)),8))*$Q$32)+(INDIRECT(ADDRESS(79+(MATCH(MAX($U$80:$U$200),$B$80:$B$200,0)),8))*$Q$32)),""))),IF(AND($O$28="ბიზნეს ოვერდრაფტი",$P$32="GEL"),-$R$28+$S$34+$R$48+$R$50,IF(AND($O$28="ბიზნეს ოვერდრაფტი",$P$32="USD"),-$R$28*$Q$32+$S$34*$Q$32+$R$48+$R$50*$Q$32,"")))),0)</f>
        <v>0</v>
      </c>
      <c r="BC80" s="87">
        <f>IFERROR(IF(OR($F$46="",DATE($F$34,$G$34,$H$34)&lt;=DATE($F$46,$G$46,$H$46)),0,IF($O$28="ბიზნეს ოვერდრაფტი",(BB80)*($BJ$81+(L80-$L$80)*$BJ$82),"")),0)</f>
        <v>0</v>
      </c>
      <c r="BD80" s="86" t="e">
        <f>IF(OR($F$46="",$G$46="",$H$46="",DATE($F$34,$G$34,$H$34)&lt;=DATE($F$46,$G$46,$H$46)),0,IF($O$28="დეპოზიტით უზრუნველყოფილი",0,DATE($F$46,$G$46,$H$46)))</f>
        <v>#NUM!</v>
      </c>
      <c r="BE80" s="87" t="e">
        <f t="shared" ref="BE80:BE143" si="3">IF($O$28="დეპოზიტით უზრუნველყოფილი",0,IF(BD80&gt;0,$R$38,0))</f>
        <v>#NUM!</v>
      </c>
      <c r="BF80" s="88"/>
      <c r="BH80" s="87">
        <f>AB80*-1</f>
        <v>1447.72</v>
      </c>
      <c r="BJ80" s="94">
        <v>0.15</v>
      </c>
      <c r="BK80" s="95">
        <v>39448</v>
      </c>
      <c r="BL80" s="96">
        <v>1</v>
      </c>
      <c r="BM80" s="96">
        <v>1</v>
      </c>
      <c r="BN80" t="s">
        <v>191</v>
      </c>
      <c r="BO80" s="97" t="s">
        <v>258</v>
      </c>
      <c r="BP80" t="s">
        <v>190</v>
      </c>
      <c r="BQ80" s="98">
        <v>0</v>
      </c>
      <c r="BR80" s="98" t="s">
        <v>152</v>
      </c>
      <c r="BT80" t="s">
        <v>144</v>
      </c>
      <c r="BU80" t="s">
        <v>496</v>
      </c>
      <c r="BW80">
        <v>1</v>
      </c>
      <c r="BX80">
        <v>6</v>
      </c>
      <c r="BY80">
        <v>11</v>
      </c>
      <c r="BZ80">
        <v>15</v>
      </c>
      <c r="CA80">
        <v>24</v>
      </c>
      <c r="CB80">
        <v>36</v>
      </c>
      <c r="CC80">
        <v>48</v>
      </c>
      <c r="CD80">
        <v>60</v>
      </c>
      <c r="CE80">
        <v>61</v>
      </c>
      <c r="CI80" s="99" t="s">
        <v>259</v>
      </c>
      <c r="CO80" s="100" t="s">
        <v>144</v>
      </c>
      <c r="CP80" s="100"/>
      <c r="CQ80" s="30">
        <v>0</v>
      </c>
      <c r="CR80">
        <v>0</v>
      </c>
      <c r="CT80" s="101" t="s">
        <v>260</v>
      </c>
      <c r="CU80">
        <v>0</v>
      </c>
      <c r="CV80">
        <v>180</v>
      </c>
      <c r="CW80" s="30">
        <v>0</v>
      </c>
      <c r="CY80" s="102">
        <f>$H$14</f>
        <v>1500</v>
      </c>
      <c r="CZ80" s="103"/>
      <c r="DA80" s="103"/>
      <c r="DB80" s="104">
        <f>$H$14</f>
        <v>1500</v>
      </c>
      <c r="DD80" s="102">
        <f>IF(OR($F$10="ანუიტეტური",$F$10="სამომხმარებლო"),IF(MIN(DB$80:DB$200)&lt;0,0,MIN(DB$80:DB$200)),IF($F$10="საშეღავათო",MIN(DB$80:DB$200),IF($F$10="ნულოვანი საშეღავათო",MIN(DB$80:DB$200))))</f>
        <v>12.650000000000063</v>
      </c>
      <c r="DE80" s="103"/>
      <c r="DF80" s="103"/>
      <c r="DG80" s="104">
        <f>DD80</f>
        <v>12.650000000000063</v>
      </c>
      <c r="DI80" s="102"/>
      <c r="DJ80" s="103"/>
      <c r="DK80" s="103"/>
      <c r="DL80" s="104">
        <f>$H$14</f>
        <v>1500</v>
      </c>
      <c r="DN80" s="102">
        <f>IF(OR($F$10="ანუიტეტური",$F$10="სამომხმარებლო"),IF(AND(MIN(DB$80:DB$200)&gt;0,MIN(DL$80:DL$200)&gt;0,DD$80&lt;&gt;0),MIN(DL$80:DL$200),IF(AND(MIN(DB$80:DB$200)&gt;0,MIN(DL$80:DL$200)&lt;0),MIN(DL$80:DL$200),0)),IF($F$10="საშეღავათო",MIN(DL$80:DL$200),IF($F$10="ნულოვანი საშეღავათო",MIN(DL$80:DL$200))))</f>
        <v>1.3900000000000432</v>
      </c>
      <c r="DO80" s="103"/>
      <c r="DP80" s="103"/>
      <c r="DQ80" s="104">
        <f>DN80</f>
        <v>1.3900000000000432</v>
      </c>
      <c r="DS80" s="102"/>
      <c r="DT80" s="103"/>
      <c r="DU80" s="103"/>
      <c r="DV80" s="104">
        <f>$H$14</f>
        <v>1500</v>
      </c>
      <c r="DX80" s="102">
        <f>IF(OR($F$10="ანუიტეტური",$F$10="სამომხმარებლო"),IF(AND(MIN(DL$80:DL$200)&gt;0,MIN(DV$80:DV$200)&gt;0,DN$80&lt;&gt;0),MIN(DV$80:DV$200),IF(AND(MIN(DL$80:DL$200)&gt;0,MIN(DV$80:DV$200)&lt;0),MIN(DV$80:DV$200),0)),IF($F$10="საშეღავათო",MIN(DV$80:DV$200),IF($F$10="ნულოვანი საშეღავათო",MIN(DV$80:DV$200))))</f>
        <v>9.9999999996924771E-3</v>
      </c>
      <c r="DY80" s="103"/>
      <c r="DZ80" s="103"/>
      <c r="EA80" s="104">
        <f>DX80</f>
        <v>9.9999999996924771E-3</v>
      </c>
      <c r="EC80" s="102"/>
      <c r="ED80" s="103"/>
      <c r="EE80" s="103"/>
      <c r="EF80" s="104">
        <f>$H$14</f>
        <v>1500</v>
      </c>
      <c r="EH80" s="102">
        <f>IF(OR($F$10="ანუიტეტური",$F$10="სამომხმარებლო"),IF(AND(MIN(DV$80:DV$200)&gt;0,MIN(EF$80:EF$200)&gt;0,DX$80&lt;&gt;0),MIN(EF$80:EF$200),IF(AND(MIN(DV$80:DV$200)&gt;0,MIN(EF$80:EF$200)&lt;0),MIN(EF$80:EF$200),0)),IF($F$10="საშეღავათო",MIN(EF$80:EF$200),IF($F$10="ნულოვანი საშეღავათო",MIN(EF$80:EF$200))))</f>
        <v>9.9999999996924771E-3</v>
      </c>
      <c r="EI80" s="103"/>
      <c r="EJ80" s="103"/>
      <c r="EK80" s="104">
        <f>EH80</f>
        <v>9.9999999996924771E-3</v>
      </c>
      <c r="EM80" s="102"/>
      <c r="EN80" s="103"/>
      <c r="EO80" s="103"/>
      <c r="EP80" s="104">
        <f>$H$14</f>
        <v>1500</v>
      </c>
      <c r="ER80" s="102">
        <f>IF(OR($F$10="ანუიტეტური",$F$10="სამომხმარებლო"),IF(AND(MIN(EF$80:EF$200)&gt;0,MIN(EP$80:EP$200)&gt;0,EH$80&lt;&gt;0),MIN(EP$80:EP$200),IF(AND(MIN(EF$80:EF$200)&gt;0,MIN(EP$80:EP$200)&lt;0),MIN(EP$80:EP$200),0)),IF($F$10="საშეღავათო",MIN(EP$80:EP$200),IF($F$10="ნულოვანი საშეღავათო",MIN(EP$80:EP$200))))</f>
        <v>9.9999999996924771E-3</v>
      </c>
      <c r="ES80" s="103"/>
      <c r="ET80" s="103"/>
      <c r="EU80" s="104">
        <f>ER80</f>
        <v>9.9999999996924771E-3</v>
      </c>
      <c r="EW80" s="102"/>
      <c r="EX80" s="103"/>
      <c r="EY80" s="103"/>
      <c r="EZ80" s="104">
        <f>$H$14</f>
        <v>1500</v>
      </c>
      <c r="FB80" s="102">
        <f>IF(OR($F$10="ანუიტეტური",$F$10="სამომხმარებლო"),IF(AND(MIN(EP$80:EP$200)&gt;0,MIN(EZ$80:EZ$200)&gt;0,ER$80&lt;&gt;0),MIN(EZ$80:EZ$200),IF(AND(MIN(EP$80:EP$200)&gt;0,MIN(EZ$80:EZ$200)&lt;0),MIN(EZ$80:EZ$200),0)),IF($F$10="საშეღავათო",MIN(EZ$80:EZ$200),IF($F$10="ნულოვანი საშეღავათო",MIN(EZ$80:EZ$200))))</f>
        <v>9.9999999996924771E-3</v>
      </c>
      <c r="FC80" s="103"/>
      <c r="FD80" s="103"/>
      <c r="FE80" s="104">
        <f>FB80</f>
        <v>9.9999999996924771E-3</v>
      </c>
      <c r="FG80" s="102"/>
      <c r="FH80" s="103"/>
      <c r="FI80" s="103"/>
      <c r="FJ80" s="104">
        <f>$H$14</f>
        <v>1500</v>
      </c>
      <c r="FL80" s="102">
        <f>IF(OR($F$10="ანუიტეტური",$F$10="სამომხმარებლო"),IF(AND(MIN(EZ$80:EZ$200)&gt;0,MIN(FJ$80:FJ$200)&gt;0,FB$80&lt;&gt;0),MIN(FJ$80:FJ$200),IF(AND(MIN(EZ$80:EZ$200)&gt;0,MIN(FJ$80:FJ$200)&lt;0),MIN(FJ$80:FJ$200),0)),IF($F$10="საშეღავათო",MIN(FJ$80:FJ$200),IF($F$10="ნულოვანი საშეღავათო",MIN(FJ$80:FJ$200))))</f>
        <v>9.9999999996924771E-3</v>
      </c>
      <c r="FM80" s="103"/>
      <c r="FN80" s="103"/>
      <c r="FO80" s="104">
        <f>FL80</f>
        <v>9.9999999996924771E-3</v>
      </c>
      <c r="FQ80" s="102"/>
      <c r="FR80" s="103"/>
      <c r="FS80" s="103"/>
      <c r="FT80" s="104">
        <f>$H$14</f>
        <v>1500</v>
      </c>
      <c r="FV80" s="102">
        <f>IF(OR($F$10="ანუიტეტური",$F$10="სამომხმარებლო"),IF(AND(MIN(FJ$80:FJ$200)&gt;0,MIN(FT$80:FT$200)&gt;0,FL$80&lt;&gt;0),MIN(FT$80:FT$200),IF(AND(MIN(FJ$80:FJ$200)&gt;0,MIN(FT$80:FT$200)&lt;0),MIN(FT$80:FT$200),0)),IF($F$10="საშეღავათო",MIN(FT$80:FT$200),IF($F$10="ნულოვანი საშეღავათო",MIN(FT$80:FT$200))))</f>
        <v>9.9999999996924771E-3</v>
      </c>
      <c r="FW80" s="103"/>
      <c r="FX80" s="103"/>
      <c r="FY80" s="104">
        <f>FV80</f>
        <v>9.9999999996924771E-3</v>
      </c>
      <c r="GA80" s="102"/>
      <c r="GB80" s="103"/>
      <c r="GC80" s="103"/>
      <c r="GD80" s="104">
        <f>$H$14</f>
        <v>1500</v>
      </c>
      <c r="GF80" s="102">
        <f>IF(OR($F$10="ანუიტეტური",$F$10="სამომხმარებლო"),IF(AND(MIN(FT$80:FT$200)&gt;0,MIN(GD$80:GD$200)&gt;0,FV$80&lt;&gt;0),MIN(GD$80:GD$200),IF(AND(MIN(FT$80:FT$200)&gt;0,MIN(GD$80:GD$200)&lt;0),MIN(GD$80:GD$200),0)),IF($F$10="საშეღავათო",MIN(GD$80:GD$200),IF($F$10="ნულოვანი საშეღავათო",MIN(GD$80:GD$200))))</f>
        <v>9.9999999996924771E-3</v>
      </c>
      <c r="GG80" s="103"/>
      <c r="GH80" s="103"/>
      <c r="GI80" s="104">
        <f>GF80</f>
        <v>9.9999999996924771E-3</v>
      </c>
      <c r="GK80" s="102"/>
      <c r="GL80" s="103"/>
      <c r="GM80" s="103"/>
      <c r="GN80" s="104">
        <f>$H$14</f>
        <v>1500</v>
      </c>
      <c r="GR80" s="102">
        <f>$R$28</f>
        <v>10000</v>
      </c>
      <c r="GS80" s="103"/>
      <c r="GT80" s="103"/>
      <c r="GU80" s="104">
        <f>$R$28</f>
        <v>10000</v>
      </c>
      <c r="GV80" s="51"/>
      <c r="GW80" s="102">
        <f>IF(OR($F$10="ანუიტეტური",$F$10="სამომხმარებლო"),IF(MIN(GU$80:GU$200)&lt;0,0,MIN(GU$80:GU$200)),IF($F$10="საშეღავათო",MIN(GU$80:GU$200),IF($F$10="ნულოვანი საშეღავათო",MIN(GU$80:GU$200))))</f>
        <v>0</v>
      </c>
      <c r="GX80" s="103"/>
      <c r="GY80" s="103"/>
      <c r="GZ80" s="104">
        <f>GW80</f>
        <v>0</v>
      </c>
      <c r="HA80" s="51"/>
      <c r="HB80" s="102"/>
      <c r="HC80" s="103"/>
      <c r="HD80" s="103"/>
      <c r="HE80" s="104">
        <f>$R$28</f>
        <v>10000</v>
      </c>
      <c r="HF80" s="51"/>
      <c r="HG80" s="102">
        <f>IF(OR($F$10="ანუიტეტური",$F$10="სამომხმარებლო"),IF(MIN(HE$80:HE$200)&lt;0,0,MIN(HE$80:HE$200)),IF($F$10="საშეღავათო",MIN(HE$80:HE$200),IF($F$10="ნულოვანი საშეღავათო",MIN(HE$80:HE$200))))</f>
        <v>0</v>
      </c>
      <c r="HH80" s="103"/>
      <c r="HI80" s="103"/>
      <c r="HJ80" s="104">
        <f>HG80</f>
        <v>0</v>
      </c>
      <c r="HK80" s="51"/>
      <c r="HL80" s="102"/>
      <c r="HM80" s="103"/>
      <c r="HN80" s="103"/>
      <c r="HO80" s="104">
        <f>$R$28</f>
        <v>10000</v>
      </c>
      <c r="HP80" s="51"/>
      <c r="HQ80" s="102">
        <f>IF(OR($F$10="ანუიტეტური",$F$10="სამომხმარებლო"),IF(MIN(HO$80:HO$200)&lt;0,0,MIN(HO$80:HO$200)),IF($F$10="საშეღავათო",MIN(HO$80:HO$200),IF($F$10="ნულოვანი საშეღავათო",MIN(HO$80:HO$200))))</f>
        <v>0</v>
      </c>
      <c r="HR80" s="103"/>
      <c r="HS80" s="103"/>
      <c r="HT80" s="104">
        <f>HQ80</f>
        <v>0</v>
      </c>
      <c r="HU80" s="51"/>
      <c r="HV80" s="102"/>
      <c r="HW80" s="103"/>
      <c r="HX80" s="103"/>
      <c r="HY80" s="104">
        <f>$R$28</f>
        <v>10000</v>
      </c>
      <c r="HZ80" s="51"/>
      <c r="IA80" s="102">
        <f>IF(OR($F$10="ანუიტეტური",$F$10="სამომხმარებლო"),IF(MIN(HY$80:HY$200)&lt;0,0,MIN(HY$80:HY$200)),IF($F$10="საშეღავათო",MIN(HY$80:HY$200),IF($F$10="ნულოვანი საშეღავათო",MIN(HY$80:HY$200))))</f>
        <v>0</v>
      </c>
      <c r="IB80" s="103"/>
      <c r="IC80" s="103"/>
      <c r="ID80" s="104">
        <f>IA80</f>
        <v>0</v>
      </c>
      <c r="IE80" s="51"/>
      <c r="IF80" s="102"/>
      <c r="IG80" s="103"/>
      <c r="IH80" s="103"/>
      <c r="II80" s="104">
        <f>$R$28</f>
        <v>10000</v>
      </c>
      <c r="IJ80" s="51"/>
      <c r="IK80" s="102">
        <f>IF(OR($F$10="ანუიტეტური",$F$10="სამომხმარებლო"),IF(MIN(II$80:II$200)&lt;0,0,MIN(II$80:II$200)),IF($F$10="საშეღავათო",MIN(II$80:II$200),IF($F$10="ნულოვანი საშეღავათო",MIN(II$80:II$200))))</f>
        <v>0</v>
      </c>
      <c r="IL80" s="103"/>
      <c r="IM80" s="103"/>
      <c r="IN80" s="104">
        <f>IK80</f>
        <v>0</v>
      </c>
      <c r="IO80" s="51"/>
      <c r="IP80" s="102"/>
      <c r="IQ80" s="103"/>
      <c r="IR80" s="103"/>
      <c r="IS80" s="104">
        <f>$R$28</f>
        <v>10000</v>
      </c>
      <c r="IT80" s="51"/>
      <c r="IU80" s="102">
        <f>IF(OR($F$10="ანუიტეტური",$F$10="სამომხმარებლო"),IF(MIN(IS$80:IS$200)&lt;0,0,MIN(IS$80:IS$200)),IF($F$10="საშეღავათო",MIN(IS$80:IS$200),IF($F$10="ნულოვანი საშეღავათო",MIN(IS$80:IS$200))))</f>
        <v>0</v>
      </c>
      <c r="IV80" s="103"/>
      <c r="IW80" s="103"/>
      <c r="IX80" s="104">
        <f>IU80</f>
        <v>0</v>
      </c>
      <c r="IY80" s="51"/>
      <c r="IZ80" s="102"/>
      <c r="JA80" s="103"/>
      <c r="JB80" s="103"/>
      <c r="JC80" s="104">
        <f>$R$28</f>
        <v>10000</v>
      </c>
      <c r="JD80" s="51"/>
      <c r="JE80" s="102">
        <f>IF(OR($F$10="ანუიტეტური",$F$10="სამომხმარებლო"),IF(MIN(JC$80:JC$200)&lt;0,0,MIN(JC$80:JC$200)),IF($F$10="საშეღავათო",MIN(JC$80:JC$200),IF($F$10="ნულოვანი საშეღავათო",MIN(JC$80:JC$200))))</f>
        <v>0</v>
      </c>
      <c r="JF80" s="103"/>
      <c r="JG80" s="103"/>
      <c r="JH80" s="104">
        <f>JE80</f>
        <v>0</v>
      </c>
      <c r="JI80" s="51"/>
      <c r="JJ80" s="102"/>
      <c r="JK80" s="103"/>
      <c r="JL80" s="103"/>
      <c r="JM80" s="104">
        <f>$R$28</f>
        <v>10000</v>
      </c>
      <c r="JN80" s="51"/>
      <c r="JO80" s="102">
        <f>IF(OR($F$10="ანუიტეტური",$F$10="სამომხმარებლო"),IF(MIN(JM$80:JM$200)&lt;0,0,MIN(JM$80:JM$200)),IF($F$10="საშეღავათო",MIN(JM$80:JM$200),IF($F$10="ნულოვანი საშეღავათო",MIN(JM$80:JM$200))))</f>
        <v>0</v>
      </c>
      <c r="JP80" s="103"/>
      <c r="JQ80" s="103"/>
      <c r="JR80" s="104">
        <f>JO80</f>
        <v>0</v>
      </c>
      <c r="JS80" s="51"/>
      <c r="JT80" s="102"/>
      <c r="JU80" s="103"/>
      <c r="JV80" s="103"/>
      <c r="JW80" s="104">
        <f>$R$28</f>
        <v>10000</v>
      </c>
      <c r="JX80" s="51"/>
      <c r="JY80" s="102">
        <f>IF(OR($F$10="ანუიტეტური",$F$10="სამომხმარებლო"),IF(MIN(JW$80:JW$200)&lt;0,0,MIN(JW$80:JW$200)),IF($F$10="საშეღავათო",MIN(JW$80:JW$200),IF($F$10="ნულოვანი საშეღავათო",MIN(JW$80:JW$200))))</f>
        <v>0</v>
      </c>
      <c r="JZ80" s="103"/>
      <c r="KA80" s="103"/>
      <c r="KB80" s="104">
        <f>JY80</f>
        <v>0</v>
      </c>
      <c r="KC80" s="51"/>
      <c r="KD80" s="102"/>
      <c r="KE80" s="103"/>
      <c r="KF80" s="103"/>
      <c r="KG80" s="104">
        <f>$R$28</f>
        <v>10000</v>
      </c>
    </row>
    <row r="81" spans="1:293" ht="12" customHeight="1">
      <c r="A81" s="105">
        <f t="array" ref="A81">MAX(IF($J$80:J80&gt;0,$C$80:C80,0))</f>
        <v>43535</v>
      </c>
      <c r="B81" s="81">
        <f t="shared" ref="B81:B144" si="4">IFERROR(IF(OR(AND($H$20=B80,$F$10&lt;&gt;"დეპოზიტით უზრუნველყოფილი"),AND($F$10="დეპოზიტით უზრუნველყოფილი",B80+1&lt;&gt;1)),"",B80+1),"")</f>
        <v>1</v>
      </c>
      <c r="C81" s="82">
        <f t="shared" ref="C81:C146" si="5">IF(B81="",0,IF(OR($F$36="ფიქსირებული",AND($F$36="თვის ბოლო",B81=$H$20)),IF(OR(WEEKDAY(EDATE(DATE($F$32,$G$32,$H$36),B81-$B$82),2)=6,WEEKDAY(EDATE(DATE($F$32,$G$32,$H$36),B81-$B$82),2)=7,IF(EDATE(DATE($F$32,$G$32,$H$36),B81-$B$82)=IFERROR(VLOOKUP(EDATE(DATE($F$32,$G$32,$H$36),B81-$B$82),$BK$80:$BK$624,1,FALSE),0),1,0)=1),WORKDAY(EDATE(DATE($F$32,$G$32,$H$36),B81-$B$82),1,$BK$80:$BK$624),EDATE(DATE($F$32,$G$32,$H$36),B81-$B$82)),IF(OR(WEEKDAY(EOMONTH(DATE($F$28,$G$28,$H$28),B81),2)=6,WEEKDAY(EOMONTH(DATE($F$28,$G$28,$H$28),B81),2)=7,IF(EOMONTH(DATE($F$28,$G$28,$H$28),B81)=IFERROR(VLOOKUP(EOMONTH(DATE($F$28,$G$28,$H$28),B81),$BK$80:$BK$624,1,FALSE),0),1,0)=1),WORKDAY(EOMONTH(DATE($F$28,$G$28,$H$28),B81),1,$BK$80:$BK$624),EOMONTH(DATE($F$28,$G$28,$H$28),B81))))</f>
        <v>43570</v>
      </c>
      <c r="D81" s="83">
        <f t="shared" ref="D81:D144" si="6">IF(B81="","",IF(OR($F$10="ასიმეტრიული",$F$10="ასიმეტრიული პროცენტით",$F$10="ბიზნეს ოვერდრაფტი",$F$10="დეპოზიტით უზრუნველყოფილი"),F81+G81+E81,GK81+E81))</f>
        <v>108.56000000000002</v>
      </c>
      <c r="E81" s="83">
        <f>IF(B81="","",IF(H80&gt;0,IF(OR($F$10="ანუიტეტური",$F$10="საშეღავათო",$F$10="ასიმეტრიული პროცენტით",$F$10="სამომხმარებლო"),ROUND($H80*$R$20/$I$22*(C81-C80),2),IF($F$10="ნულოვანი საშეღავათო",IF($B81&lt;=$G$12,0,IF($B81=$G$12+1,ROUND($H80*$R$20/$I$22*($C81-$C$80),2),ROUND($H80*$R$20/$I$22*($C81-$C80),2))),IF($F$10="ასიმეტრიული",IF(AND(J81="",B81&lt;$H$20),0,IF(OR(J81&gt;0,B81=$H$20),ROUND($H80*$R$20/$I$22*(C81-A81),2))),0)))))</f>
        <v>0.86</v>
      </c>
      <c r="F81" s="83">
        <f t="shared" ref="F81:F144" si="7">IF(B81="","",IF(OR($F$10="ანუიტეტური",$F$10="სამომხმარებლო",$F$10="საშეღავათო",$F$10="ნულოვანი საშეღავათო"),GL81,IF(B81=$H$20,H80,IF($F$10="დეპოზიტით უზრუნველყოფილი",$H$80,IF($F$10="ასიმეტრიული",J81-G81,IF($F$10="ასიმეტრიული პროცენტით",J81,0))))))</f>
        <v>59.52000000000001</v>
      </c>
      <c r="G81" s="83">
        <f t="shared" ref="G81:G144" si="8">IF(B81="","",IF(AND($F$10="ასიმეტრიული",J81="",B81&lt;$H$20),0,IF(AND($F$10="ასიმეტრიული",OR(J81&gt;0,B81=$H$20)),ROUND($H$22/$I$22*(C81-A81)*H80,2),IF(OR($F$10="ასიმეტრიული პროცენტით",$F$10="ბიზნეს ოვერდრაფტი",$F$10="დეპოზიტით უზრუნველყოფილი"),ROUND($H$22/$I$22*(C81-C80)*H80,2),GM81))))</f>
        <v>48.18</v>
      </c>
      <c r="H81" s="83">
        <f t="shared" ref="H81:H144" si="9">IF(B81="","",IF(AND(OR($F$10="ასიმეტრიული",$F$10="ასიმეტრიული პროცენტით"),J81="",B81&lt;$H$20),H80,IF($F$10="დეპოზიტით უზრუნველყოფილი",$H$80-$F$81,IF($F$10="ბიზნეს ოვერდრაფტი",H80-F81,IF(AND(OR($F$10="ასიმეტრიული",$F$10="ასიმეტრიული პროცენტით"),OR(J81&gt;0,B81=$H$20)),H80-F81,GN81)))))</f>
        <v>1440.48</v>
      </c>
      <c r="I81" s="105">
        <f t="array" ref="I81">MAX(IF($R$80:R80&gt;0,$L$80:L80,0))</f>
        <v>0</v>
      </c>
      <c r="J81" s="106"/>
      <c r="K81" s="69">
        <f t="shared" ref="K81:K144" si="10">IFERROR(IF(OR(AND($R$32=K80,$O$28&lt;&gt;"დეპოზიტით უზრუნველყოფილი"),AND($O$28="დეპოზიტით უზრუნველყოფილი",K80+1&lt;&gt;1)),"",K80+1),"")</f>
        <v>1</v>
      </c>
      <c r="L81" s="82">
        <f>IFERROR(IF($F$52="ფიქსირებული",DATE($F$48,$G$48,$H$48),IF(OR(WEEKDAY(EOMONTH(DATE($F$46,$G$46,$H$46),$K$81),2)=6,WEEKDAY(EOMONTH(DATE($F$46,$G$46,$H$46),$K$81),2)=7,IF(EOMONTH(DATE($F$46,$G$46,$H$46),$K$81)=IFERROR(VLOOKUP(EOMONTH(DATE($F$46,$G$46,$H$46),$K$81),$BK$80:$BK$624,1,FALSE),0),1,0)=1),WORKDAY(EOMONTH(DATE($F$46,$G$46,$H$46),$K$81),1,$BK$80:$BK$624),EOMONTH(DATE($F$46,$G$46,$H$46),$K$81))),0)</f>
        <v>0</v>
      </c>
      <c r="M81" s="83">
        <f t="shared" ref="M81:M144" si="11">IF(K81="","",IF(OR($O$28="ასიმეტრიული",$O$28="ასიმეტრიული პროცენტით",$O$28="ბიზნეს ოვერდრაფტი",$O$28="დეპოზიტით უზრუნველყოფილი"),O81+P81,KD81+N81))</f>
        <v>960.17</v>
      </c>
      <c r="N81" s="83">
        <f t="shared" ref="N81:N144" si="12">IF(K81="","",IF(Q80&gt;0,IF(OR($O$28="ანუიტეტური",$O$28="საშეღავათო",$O$28="ასიმეტრიული პროცენტით",$O$28="სამომხმარებლო"),ROUND($Q80*$R$46/$I$22*(L81-L80),2),IF($O$28="ნულოვანი საშეღავათო",IF($K81&lt;=$Q$30,0,IF($K81=$Q$30+1,ROUND($Q80*$R$46/$I$22*($L81-$L$80),2),ROUND($Q80*$R$46/$I$22*($L81-$L80),2))),IF($O$28="ასიმეტრიული",IF(AND(R81="",K81&lt;$R$32),0,IF(OR(R81&gt;0,K81=$R$32),ROUND($Q80*$R$46/$I$22*(L81-I81),2))),0)))))</f>
        <v>0</v>
      </c>
      <c r="O81" s="83" t="str">
        <f t="shared" ref="O81:O144" si="13">IF(OR($F$46="",$G$46="",$H$46=""),"",IF(K81="","",IF(OR($O$28="ანუიტეტური",$O$28="სამომხმარებლო",$O$28="საშეღავათო",$O$28="ნულოვანი საშეღავათო"),KE81,IF(K81=$R$32,Q80,IF($O$28="დეპოზიტით უზრუნველყოფილი",$Q$80,IF($O$28="ასიმეტრიული",R81-P81,IF($O$28="ასიმეტრიული პროცენტით",R81,0)))))))</f>
        <v/>
      </c>
      <c r="P81" s="83">
        <f t="shared" ref="P81:P144" si="14">IF(K81="","",IF(AND($O$28="ასიმეტრიული",R81="",K81&lt;$R$32),0,IF(AND($O$28="ასიმეტრიული",OR(R81&gt;0,K81=$R$32)),$P$34/$I$22*(L81-I81)*Q80,IF(OR($O$28="ასიმეტრიული პროცენტით",$O$28="ბიზნეს ოვერდრაფტი",$O$28="დეპოზიტით უზრუნველყოფილი"),$P$34/$I$22*(L81-L80)*Q80,KF81))))</f>
        <v>0</v>
      </c>
      <c r="Q81" s="83">
        <f t="shared" ref="Q81:Q144" si="15">IF(K81="","",IF(AND(OR($O$28="ასიმეტრიული",$O$28="ასიმეტრიული პროცენტით"),R81="",K81&lt;$R$32),Q80,IF($O$28="დეპოზიტით უზრუნველყოფილი",$Q$80-$O$81,IF($O$28="ბიზნეს ოვერდრაფტი",Q80-O81,IF(AND(OR($O$28="ასიმეტრიული",$O$28="ასიმეტრიული პროცენტით"),OR(R81&gt;0,K81=$R$32)),Q80-O81,KG81)))))</f>
        <v>9039.83</v>
      </c>
      <c r="R81" s="106"/>
      <c r="S81" s="66"/>
      <c r="T81" s="53"/>
      <c r="U81" s="85" t="e">
        <f t="shared" si="0"/>
        <v>#NUM!</v>
      </c>
      <c r="V81" s="86" t="e">
        <f>IF($U81="",0,$C81)</f>
        <v>#NUM!</v>
      </c>
      <c r="W81" s="87" t="e">
        <f t="shared" ref="W81:W144" si="16">IF($U81="",0,$D81)</f>
        <v>#NUM!</v>
      </c>
      <c r="X81" s="87" t="e">
        <f t="shared" ref="X81:X144" si="17">IF($U81="",0,$F81)</f>
        <v>#NUM!</v>
      </c>
      <c r="Y81" s="87" t="e">
        <f t="shared" ref="Y81:Y144" si="18">IF($U81="",0,$G81)</f>
        <v>#NUM!</v>
      </c>
      <c r="Z81" s="88" t="e">
        <f t="shared" si="1"/>
        <v>#NUM!</v>
      </c>
      <c r="AA81" s="53"/>
      <c r="AB81" s="89">
        <f>IF(D81&lt;&gt;"",D81,0)</f>
        <v>108.56000000000002</v>
      </c>
      <c r="AC81" s="87">
        <f t="shared" ref="AC81:AC144" si="19">IF(D81&lt;&gt;"",ROUND((D81*($BJ$81+(C81-$C$80)*$BJ$82)),2),0)</f>
        <v>110.18</v>
      </c>
      <c r="AD81" s="87" t="str">
        <f t="shared" ref="AD81:AD144" si="20">IF(OR($F$10="ბიზნეს ოვერდრაფტი",$F$10="საკრედიტო ბარათი"),IF(D81&lt;&gt;"",D81,0),"")</f>
        <v/>
      </c>
      <c r="AE81" s="87" t="str">
        <f t="shared" ref="AE81:AE144" si="21">IF(OR($F$10="ბიზნეს ოვერდრაფტი",$F$10="საკრედიტო ბარათი"),IF(D81&lt;&gt;"",ROUND((D81*($BJ$81+(C81-$C$80)*$BJ$82)),2),0),"")</f>
        <v/>
      </c>
      <c r="AF81" s="86">
        <f>IF($F$10="დეპოზიტით უზრუნველყოფილი",0,IF(AND(EDATE($AF80,1)&lt;=MAX($C$80:$C$200),$AF80&lt;&gt;0),EDATE($AF80,1),0))</f>
        <v>43566</v>
      </c>
      <c r="AG81" s="87">
        <f t="shared" si="2"/>
        <v>1.5</v>
      </c>
      <c r="AH81" s="87">
        <f>IF(E81&lt;&gt;"",E81,0)</f>
        <v>0.86</v>
      </c>
      <c r="AI81" s="90"/>
      <c r="AJ81" s="87" t="e">
        <f t="shared" ref="AJ81:AJ144" si="22">IF(OR($F$46="",DATE($F$34,$G$34,$H$34)&lt;=DATE($F$46,$G$46,$H$46)),0,IF(M81&lt;&gt;"",M81,0))</f>
        <v>#NUM!</v>
      </c>
      <c r="AK81" s="87" t="e">
        <f>IF(OR($F$46="",DATE($F$34,$G$34,$H$34)&lt;=DATE($F$46,$G$46,$H$46)),0,IF(M81&lt;&gt;"",ROUND((M81*($BJ$81+(L81-$L$80)*$BJ$82)),2),0))</f>
        <v>#NUM!</v>
      </c>
      <c r="AL81" s="87" t="e">
        <f>IF(OR($F$46="",DATE($F$34,$G$34,$H$34)&lt;=DATE($F$46,$G$46,$H$46)),0,IF(OR($O$28="ბიზნეს ოვერდრაფტი",$O$28="საკრედიტო ბარათი"),IF(M81&lt;&gt;"",M81,0),""))</f>
        <v>#NUM!</v>
      </c>
      <c r="AM81" s="87" t="e">
        <f>IF(OR($F$46="",DATE($F$34,$G$34,$H$34)&lt;=DATE($F$46,$G$46,$H$46)),0,IF(OR($O$28="ბიზნეს ოვერდრაფტი",$O$28="საკრედიტო ბარათი"),IF(M81&lt;&gt;"",ROUND((M81*($BJ$81+(L81-$L$80)*$BJ$82)),2),0),""))</f>
        <v>#NUM!</v>
      </c>
      <c r="AN81" s="86">
        <f t="shared" ref="AN81:AN144" si="23">IF($O$28="დეპოზიტით უზრუნველყოფილი",0,IFERROR(IF(AND(EDATE($AN80,1)&lt;=MAX($L$80:$L$200),$AN80&lt;&gt;0),EDATE($AN80,1),0),0))</f>
        <v>0</v>
      </c>
      <c r="AO81" s="87">
        <f t="shared" ref="AO81:AO144" si="24">IF($O$28="დეპოზიტით უზრუნველყოფილი",0,IF(AN81&gt;0,IF($H$16="GEL",$R$38,ROUND($R$38/$Q$32,2)),0))</f>
        <v>0</v>
      </c>
      <c r="AP81" s="88">
        <f t="shared" ref="AP81:AP144" si="25">IF(N81&lt;&gt;"",N81,0)</f>
        <v>0</v>
      </c>
      <c r="AQ81" s="53"/>
      <c r="AR81" s="91">
        <f t="shared" ref="AR81:AR144" si="26">IF(AND(OR($F$46="",$G$46="",$H$46=""),D81&lt;&gt;""),IF($H$16="GEL",D81,ROUND(D81*$H$18,2)),IF(AND(OR($F$46="",$G$46="",$H$46=""),D81=""),0,IF(AND(DATE($F$46,$G$46,$H$46)&gt;=DATE($F$34,$G$34,$H$34),D81&lt;&gt;""),IF($H$16="GEL",D81,ROUND(D81*$H$18,2)),IF(AND(DATE($F$46,$G$46,$H$46)&gt;=DATE($F$34,$G$34,$H$34),D81=""),0,IF(AND(DATE($F$46,$G$46,$H$46)&lt;DATE($F$34,$G$34,$H$34),U81&lt;&gt;""),IF($H$16="GEL",W81,ROUND(W81*$H$18,2)),IF(AND(DATE($F$46,$G$46,$H$46)&lt;DATE($F$34,$G$34,$H$34),U81=""),0))))))</f>
        <v>108.56000000000002</v>
      </c>
      <c r="AS81" s="92">
        <f t="shared" ref="AS81:AS144" si="27">ROUND(IF(AND(OR($F$46="",$G$46="",$H$46=""),D81&lt;&gt;""),(IF($H$16="GEL",D81,D81*$H$18)*($BJ$81+(C81-$C$80)*$BJ$82)),IF(AND(OR($F$46="",$G$46="",$H$46=""),D81=""),0,IF(AND(DATE($F$46,$G$46,$H$46)&gt;=DATE($F$34,$G$34,$H$34),D81&lt;&gt;""),(IF($H$16="GEL",D81,D81*$H$18)*($BJ$81+(C81-$C$80)*$BJ$82)),IF(AND(DATE($F$46,$G$46,$H$46)&gt;=DATE($F$34,$G$34,$H$34),D81=""),0,IF(AND(DATE($F$46,$G$46,$H$46)&lt;DATE($F$34,$G$34,$H$34),U81&lt;&gt;""),(IF($H$16="GEL",W81,W81*$H$18)*($BJ$81+(V81-$V$80)*$BJ$82)),IF(AND(DATE($F$46,$G$46,$H$46)&lt;DATE($F$34,$G$34,$H$34),U81=""),0)))))),2)</f>
        <v>110.18</v>
      </c>
      <c r="AT81" s="87" t="str">
        <f t="shared" ref="AT81:AT144" si="28">IF(OR($F$10="ბიზნეს ოვერდრაფტი",$F$10="საკრედიტო ბარათი"),IF(AND(OR($F$46="",$G$46="",$H$46=""),D81&lt;&gt;""),IF($H$16="GEL",D81,ROUND(D81*$H$18,2)),IF(AND(OR($F$46="",$G$46="",$H$46=""),D81=""),0,IF(AND(DATE($F$46,$G$46,$H$46)&gt;=DATE($F$34,$G$34,$H$34),D81&lt;&gt;""),IF($H$16="GEL",D81,ROUND(D81*$H$18,2)),IF(AND(DATE($F$46,$G$46,$H$46)&gt;=DATE($F$34,$G$34,$H$34),D81=""),0,IF(AND(DATE($F$46,$G$46,$H$46)&lt;DATE($F$34,$G$34,$H$34),U81&lt;&gt;""),IF($H$16="GEL",W81,ROUND(W81*$H$18,2)),IF(AND(DATE($F$46,$G$46,$H$46)&lt;DATE($F$34,$G$34,$H$34),U81=""),0)))))),"")</f>
        <v/>
      </c>
      <c r="AU81" s="87" t="str">
        <f t="shared" ref="AU81:AU144" si="29">IF(OR($F$10="ბიზნეს ოვერდრაფტი",$F$10="საკრედიტო ბარათი"),ROUND(IF(AND(OR($F$46="",$G$46="",$H$46=""),D81&lt;&gt;""),(IF($H$16="GEL",D81,D81*$H$18)*($BJ$81+(C81-$C$80)*$BJ$82)),IF(AND(OR($F$46="",$G$46="",$H$46=""),D81=""),0,IF(AND(DATE($F$46,$G$46,$H$46)&gt;=DATE($F$34,$G$34,$H$34),D81&lt;&gt;""),(IF($H$16="GEL",D81,D81*$H$18)*($BJ$81+(C81-$C$80)*$BJ$82)),IF(AND(DATE($F$46,$G$46,$H$46)&gt;=DATE($F$34,$G$34,$H$34),D81=""),0,IF(AND(DATE($F$46,$G$46,$H$46)&lt;DATE($F$34,$G$34,$H$34),U81&lt;&gt;""),(IF($H$16="GEL",W81,W81*$H$18)*($BJ$81+(V81-$V$80)*$BJ$82)),IF(AND(DATE($F$46,$G$46,$H$46)&lt;DATE($F$34,$G$34,$H$34),U81=""),0)))))),2),"")</f>
        <v/>
      </c>
      <c r="AV81" s="86">
        <f>IF($F$10="დეპოზიტით უზრუნველყოფილი",0,IF(OR($F$46="",$G$46="",$H$46=""),IF(AND(EDATE($AV80,1)&lt;=MAX($C$80:$C$200),$AV80&lt;&gt;0),EDATE($AV80,1),0),IF(DATE($F$46,$G$46,$H$46)&gt;=DATE($F$34,$G$34,$H$34),IF(AND(EDATE($AV80,1)&lt;=MAX($C$80:$C$200),$AV80&lt;&gt;0),EDATE($AV80,1),0),IF(AND(DATE($F$46,$G$46,$H$46)&lt;DATE($F$34,$G$34,$H$34),U81&lt;&gt;""),IF(AND(EDATE($AV80,1)&lt;=MAX($C$80:$C$200),$AV80&lt;&gt;0),EDATE($AV80,1),0),IF(AND(DATE($F$46,$G$46,$H$46)&lt;DATE($F$34,$G$34,$H$34),U81=""),0)))))</f>
        <v>43566</v>
      </c>
      <c r="AW81" s="87">
        <f>IF($F$10="დეპოზიტით უზრუნველყოფილი",0,IF(OR($F$46="",$G$46="",$H$46=""),IF(AF81&gt;0,$R$14,0),IF(DATE($F$46,$G$46,$H$46)&gt;=DATE($F$34,$G$34,$H$34),IF(AF81&gt;0,$R$14,0),IF(AND(DATE($F$46,$G$46,$H$46)&lt;DATE($F$34,$G$34,$H$34),U81&lt;&gt;""),IF(AF81&gt;0,$R$14,0),IF(AND(DATE($F$46,$G$46,$H$46)&lt;DATE($F$34,$G$34,$H$34),U81=""),0)))))</f>
        <v>1.5</v>
      </c>
      <c r="AX81" s="87">
        <f>IF($F$10="დეპოზიტით უზრუნველყოფილი",0,IF(OR($F$46="",$G$46="",$H$46=""),IF($H$16="GEL",$AH81,ROUND($AH81*$H$18,2)),IF(DATE($F$46,$G$46,$H$46)&gt;=DATE($F$34,$G$34,$H$34),IF($H$16="GEL",$AH81,ROUND($AH81*$H$18,2)),IF(AND(DATE($F$46,$G$46,$H$46)&lt;DATE($F$34,$G$34,$H$34),U81&lt;&gt;""),IF($H$16="GEL",$AH81,ROUND($AH81*$H$18,2)),IF(AND(DATE($F$46,$G$46,$H$46)&lt;DATE($F$34,$G$34,$H$34),U81=""),0)))))</f>
        <v>0.86</v>
      </c>
      <c r="AY81" s="93"/>
      <c r="AZ81" s="87">
        <f>IFERROR(IF(OR($F$46="",DATE($F$34,$G$34,$H$34)&lt;=DATE($F$46,$G$46,$H$46)),0,IF(M81&lt;&gt;"",IF($P$32="GEL",M81,M81*$Q$32),0)),0)</f>
        <v>0</v>
      </c>
      <c r="BA81" s="87">
        <f>IFERROR(IF(OR($F$46="",DATE($F$34,$G$34,$H$34)&lt;=DATE($F$46,$G$46,$H$46)),0,IF(M81&lt;&gt;"",(IF($P$32="GEL",M81,M81*$Q$32)*($BJ$81+(L81-$L$80)*$BJ$82)),0)),0)</f>
        <v>0</v>
      </c>
      <c r="BB81" s="87">
        <f>IFERROR(IF(OR($F$46="",DATE($F$34,$G$34,$H$34)&lt;=DATE($F$46,$G$46,$H$46)),0,IF(OR($O$28="ბიზნეს ოვერდრაფტი",$O$28="საკრედიტო ბარათი"),IF(M81&lt;&gt;"",IF($P$32="GEL",M81,M81*$Q$32),0),"")),0)</f>
        <v>0</v>
      </c>
      <c r="BC81" s="87">
        <f>IFERROR(IF(OR($F$46="",DATE($F$34,$G$34,$H$34)&lt;=DATE($F$46,$G$46,$H$46)),0,IF(OR($O$28="ბიზნეს ოვერდრაფტი",$O$28="საკრედიტო ბარათი"),IF(M81&lt;&gt;"",(IF($P$32="GEL",M81,M81*$Q$32)*($BJ$81+(L81-$L$80)*$BJ$82)),0),"")),0)</f>
        <v>0</v>
      </c>
      <c r="BD81" s="86" t="e">
        <f t="shared" ref="BD81:BD144" si="30">IF(OR($O$28="დეპოზიტით უზრუნველყოფილი",$BD$80=0),0,IFERROR(IF(AND(EDATE($BD80,1)&lt;=MAX($L$80:$L$200),$BD80&lt;&gt;0),EDATE($BD80,1),0),0))</f>
        <v>#NUM!</v>
      </c>
      <c r="BE81" s="87" t="e">
        <f t="shared" si="3"/>
        <v>#NUM!</v>
      </c>
      <c r="BF81" s="88">
        <f>IF($H$16="GEL",$AP81,ROUND($AP81*$H$18,2))</f>
        <v>0</v>
      </c>
      <c r="BG81" s="53"/>
      <c r="BH81" s="87" t="e">
        <f t="shared" ref="BH81:BH144" si="31">IF($C81&lt;=DATE($F$56,$G$56,$H$56),AB81/(1+$H$3)^(($C81-$C$80)/(DATE($F$56,$G$56,$H$56)-$C$80)),0)</f>
        <v>#NUM!</v>
      </c>
      <c r="BI81" s="51"/>
      <c r="BJ81" s="96">
        <v>1</v>
      </c>
      <c r="BK81" s="95">
        <v>39449</v>
      </c>
      <c r="BL81" s="96">
        <v>2</v>
      </c>
      <c r="BM81" s="96">
        <v>2</v>
      </c>
      <c r="BN81" t="s">
        <v>261</v>
      </c>
      <c r="BO81" s="97" t="s">
        <v>94</v>
      </c>
      <c r="BP81" t="s">
        <v>224</v>
      </c>
      <c r="BQ81" s="98">
        <v>1.5</v>
      </c>
      <c r="BR81" s="98" t="s">
        <v>262</v>
      </c>
      <c r="BT81" s="51"/>
      <c r="BU81" s="51"/>
      <c r="BV81" s="30"/>
      <c r="BW81">
        <v>5</v>
      </c>
      <c r="BX81">
        <v>10</v>
      </c>
      <c r="BY81">
        <v>14</v>
      </c>
      <c r="BZ81">
        <v>23</v>
      </c>
      <c r="CA81">
        <v>35</v>
      </c>
      <c r="CB81">
        <v>47</v>
      </c>
      <c r="CC81">
        <v>59</v>
      </c>
      <c r="CD81">
        <v>60</v>
      </c>
      <c r="CF81" s="107"/>
      <c r="CG81" s="107"/>
      <c r="CI81" s="100" t="s">
        <v>263</v>
      </c>
      <c r="CJ81" s="51">
        <v>100</v>
      </c>
      <c r="CK81" s="51">
        <v>6000</v>
      </c>
      <c r="CL81" s="30">
        <v>0.45</v>
      </c>
      <c r="CO81" s="100" t="s">
        <v>144</v>
      </c>
      <c r="CP81" s="100">
        <v>3.5</v>
      </c>
      <c r="CQ81" s="30">
        <v>2E-3</v>
      </c>
      <c r="CR81">
        <v>0.5</v>
      </c>
      <c r="CT81" s="101" t="s">
        <v>264</v>
      </c>
      <c r="CU81">
        <v>181</v>
      </c>
      <c r="CV81">
        <v>365</v>
      </c>
      <c r="CW81" s="30">
        <v>5.0000000000000001E-3</v>
      </c>
      <c r="CY81" s="108">
        <f t="shared" ref="CY81:CY144" si="32">IF($B81="","",IF(OR($F$10="ანუიტეტური",$F$10="სამომხმარებლო"),ROUND(-PMT($H$22/$I$20,$H$20,$CY$80),2),IF(AND($F$10="საშეღავათო",$B81&lt;=$G$12),CZ81+DA81,IF(AND($F$10="საშეღავათო",$B81&gt;$G$12),ROUND(-PMT($H$22/$I$20,$H$20-$G$12,$CY$80),2),IF(AND($F$10="ნულოვანი საშეღავათო",$B81&lt;=$G$12),CZ81+DA81,IF(AND($F$10="ნულოვანი საშეღავათო",$B81&gt;$G$12,DA81&gt;ROUND(-PMT($H$22/$I$20,$H$20-$G$12,$CY$80),2)),DA81,ROUND(-PMT($H$22/$I$20,$H$20-$G$12,$CY$80),2)))))))</f>
        <v>107.15</v>
      </c>
      <c r="CZ81" s="109">
        <f t="shared" ref="CZ81:CZ144" si="33">IF($B81="","",IF(OR($F$10="ანუიტეტური",$F$10="სამომხმარებლო"),CY81-DA81,IF(AND($F$10="საშეღავათო",$B81&gt;$G$12),CY81-DA81,IF(AND($F$10="საშეღავათო",$B81&lt;=$G$12),0,IF(AND($F$10="ნულოვანი საშეღავათო",$B81&gt;$G$12),CY81-DA81,IF(AND($F$10="ნულოვანი საშეღავათო",$B81&lt;=$G$12),0))))))</f>
        <v>58.970000000000006</v>
      </c>
      <c r="DA81" s="109">
        <f t="shared" ref="DA81:DA144" si="34">IF($B81="","",IF(OR($F$10="ანუიტეტური",$F$10="სამომხმარებლო"),ROUND($H$22/$I$22*($C81-$C80)*DB80,2),IF($F$10="საშეღავათო",ROUND($H$22/$I$22*($C81-$C80)*DB80,2),IF(AND($F$10="ნულოვანი საშეღავათო",$B81&lt;=$G$12),0,IF(AND($F$10="ნულოვანი საშეღავათო",$B81=$G$12+1),ROUND($H$22/$I$22*($C81-$C$80)*DB80,2),IF(AND($F$10="ნულოვანი საშეღავათო",$B81&gt;$G$12),ROUND($H$22/$I$22*($C81-$C80)*DB80,2)))))))</f>
        <v>48.18</v>
      </c>
      <c r="DB81" s="110">
        <f t="shared" ref="DB81:DB108" si="35">IF($B81="","",IF(OR($F$10="ანუიტეტური",$F$10="სამომხმარებლო"),DB80-CZ81,IF($F$10="საშეღავათო",DB80-CZ81,IF($F$10="ნულოვანი საშეღავათო",DB80-CZ81))))</f>
        <v>1441.03</v>
      </c>
      <c r="DD81" s="108">
        <f t="shared" ref="DD81:DD144" si="36">IF($B81="","",ROUND(-PMT($H$22/$I$20,$H$20,$DD$80),2))</f>
        <v>0.9</v>
      </c>
      <c r="DE81" s="109">
        <f>IF($B81="","",DD81-DF81)</f>
        <v>0.49000000000000005</v>
      </c>
      <c r="DF81" s="109">
        <f t="shared" ref="DF81:DF144" si="37">IF($B81="","",ROUND($H$22/$I$22*($C81-$C80)*DG80,2))</f>
        <v>0.41</v>
      </c>
      <c r="DG81" s="110">
        <f t="shared" ref="DG81:DG108" si="38">IF($B81="","",DG80-DE81)</f>
        <v>12.160000000000062</v>
      </c>
      <c r="DI81" s="108">
        <f>IF($B81="","",IF(OR($F$10="ანუიტეტური",$F$10="სამომხმარებლო"),DJ81+DK81,IF(AND($F$10="საშეღავათო",$B81&lt;=$G$12),DJ81+DK81,IF(AND($F$10="ნულოვანი საშეღავათო",$B81&lt;=$G$12),DJ81+DK81))))</f>
        <v>107.64000000000001</v>
      </c>
      <c r="DJ81" s="109">
        <f>IF($B81="","",IF(OR($F$10="ანუიტეტური",$F$10="სამომხმარებლო"),CZ81+DE81,IF(AND($F$10="საშეღავათო",$B81&gt;$G$12),DI81-DK81,IF(AND($F$10="საშეღავათო",$B81&lt;=$G$12),0,IF(AND($F$10="ნულოვანი საშეღავათო",$B81&gt;$G$12),DI81-DK81,IF(AND($F$10="ნულოვანი საშეღავათო",$B81&lt;=$G$12),0))))))</f>
        <v>59.460000000000008</v>
      </c>
      <c r="DK81" s="109">
        <f t="shared" ref="DK81:DK144" si="39">IF($B81="","",IF(OR($F$10="ანუიტეტური",$F$10="სამომხმარებლო"),ROUND($H$22/$I$22*($C81-$C80)*DL80,2),IF($F$10="საშეღავათო",ROUND($H$22/$I$22*($C81-$C80)*DL80,2),IF(AND($F$10="ნულოვანი საშეღავათო",$B81&lt;=$G$12),0,IF(AND($F$10="ნულოვანი საშეღავათო",$B81=$G$12+1),ROUND($H$22/$I$22*($C81-$C$80)*DL80,2),IF(AND($F$10="ნულოვანი საშეღავათო",$B81&gt;$G$12),ROUND($H$22/$I$22*($C81-$C80)*DL80,2)))))))</f>
        <v>48.18</v>
      </c>
      <c r="DL81" s="110">
        <f t="shared" ref="DL81:DL108" si="40">IF($B81="","",DL80-DJ81)</f>
        <v>1440.54</v>
      </c>
      <c r="DN81" s="108">
        <f t="shared" ref="DN81:DN144" si="41">IF($B81="","",ROUND(-PMT($H$22/$I$20,$H$20,$DN$80),2))</f>
        <v>0.1</v>
      </c>
      <c r="DO81" s="109">
        <f t="shared" ref="DO81:DO144" si="42">IF($B81="","",DN81-DP81)</f>
        <v>6.0000000000000005E-2</v>
      </c>
      <c r="DP81" s="109">
        <f t="shared" ref="DP81:DP144" si="43">IF($B81="","",ROUND($H$22/$I$22*($C81-$C80)*DQ80,2))</f>
        <v>0.04</v>
      </c>
      <c r="DQ81" s="110">
        <f t="shared" ref="DQ81:DQ108" si="44">IF($B81="","",DQ80-DO81)</f>
        <v>1.3300000000000431</v>
      </c>
      <c r="DS81" s="108">
        <f>IF($B81="","",IF(OR($F$10="ანუიტეტური",$F$10="სამომხმარებლო"),DT81+DU81,IF(AND($F$10="საშეღავათო",$B81&lt;=$G$12),DT81+DU81,IF(AND($F$10="ნულოვანი საშეღავათო",$B81&lt;=$G$12),DT81+DU81))))</f>
        <v>107.70000000000002</v>
      </c>
      <c r="DT81" s="109">
        <f>IF($B81="","",IF(OR($F$10="ანუიტეტური",$F$10="სამომხმარებლო"),DJ81+DO81,IF(AND($F$10="საშეღავათო",$B81&gt;$G$12),DS81-DU81,IF(AND($F$10="საშეღავათო",$B81&lt;=$G$12),0,IF(AND($F$10="ნულოვანი საშეღავათო",$B81&gt;$G$12),DS81-DU81,IF(AND($F$10="ნულოვანი საშეღავათო",$B81&lt;=$G$12),0))))))</f>
        <v>59.52000000000001</v>
      </c>
      <c r="DU81" s="109">
        <f t="shared" ref="DU81:DU144" si="45">IF($B81="","",IF(OR($F$10="ანუიტეტური",$F$10="სამომხმარებლო"),ROUND($H$22/$I$22*($C81-$C80)*DV80,2),IF($F$10="საშეღავათო",ROUND($H$22/$I$22*($C81-$C80)*DV80,2),IF(AND($F$10="ნულოვანი საშეღავათო",$B81&lt;=$G$12),0,IF(AND($F$10="ნულოვანი საშეღავათო",$B81=$G$12+1),ROUND($H$22/$I$22*($C81-$C$80)*DV80,2),IF(AND($F$10="ნულოვანი საშეღავათო",$B81&gt;$G$12),ROUND($H$22/$I$22*($C81-$C80)*DV80,2)))))))</f>
        <v>48.18</v>
      </c>
      <c r="DV81" s="110">
        <f>IF($B81="","",DV80-DT81)</f>
        <v>1440.48</v>
      </c>
      <c r="DX81" s="108">
        <f t="shared" ref="DX81:DX144" si="46">IF($B81="","",ROUND(-PMT($H$22/$I$20,$H$20,$DX$80),2))</f>
        <v>0</v>
      </c>
      <c r="DY81" s="109">
        <f>IF($B81="","",DX81-DZ81)</f>
        <v>0</v>
      </c>
      <c r="DZ81" s="109">
        <f t="shared" ref="DZ81:DZ144" si="47">IF($B81="","",ROUND($H$22/$I$22*($C81-$C80)*EA80,2))</f>
        <v>0</v>
      </c>
      <c r="EA81" s="110">
        <f>IF($B81="","",EA80-DY81)</f>
        <v>9.9999999996924771E-3</v>
      </c>
      <c r="EC81" s="108">
        <f>IF($B81="","",IF(OR($F$10="ანუიტეტური",$F$10="სამომხმარებლო"),ED81+EE81,IF(AND($F$10="საშეღავათო",$B81&lt;=$G$12),ED81+EE81,IF(AND($F$10="ნულოვანი საშეღავათო",$B81&lt;=$G$12),ED81+EE81))))</f>
        <v>107.70000000000002</v>
      </c>
      <c r="ED81" s="109">
        <f>IF($B81="","",IF(OR($F$10="ანუიტეტური",$F$10="სამომხმარებლო"),DT81+DY81,IF(AND($F$10="საშეღავათო",$B81&gt;$G$12),EC81-EE81,IF(AND($F$10="საშეღავათო",$B81&lt;=$G$12),0,IF(AND($F$10="ნულოვანი საშეღავათო",$B81&gt;$G$12),EC81-EE81,IF(AND($F$10="ნულოვანი საშეღავათო",$B81&lt;=$G$12),0))))))</f>
        <v>59.52000000000001</v>
      </c>
      <c r="EE81" s="109">
        <f t="shared" ref="EE81:EE144" si="48">IF($B81="","",IF(OR($F$10="ანუიტეტური",$F$10="სამომხმარებლო"),ROUND($H$22/$I$22*($C81-$C80)*EF80,2),IF($F$10="საშეღავათო",ROUND($H$22/$I$22*($C81-$C80)*EF80,2),IF(AND($F$10="ნულოვანი საშეღავათო",$B81&lt;=$G$12),0,IF(AND($F$10="ნულოვანი საშეღავათო",$B81=$G$12+1),ROUND($H$22/$I$22*($C81-$C$80)*EF80,2),IF(AND($F$10="ნულოვანი საშეღავათო",$B81&gt;$G$12),ROUND($H$22/$I$22*($C81-$C80)*EF80,2)))))))</f>
        <v>48.18</v>
      </c>
      <c r="EF81" s="110">
        <f>IF($B81="","",EF80-ED81)</f>
        <v>1440.48</v>
      </c>
      <c r="EH81" s="108">
        <f t="shared" ref="EH81:EH144" si="49">IF($B81="","",ROUND(-PMT($H$22/$I$20,$H$20,$EH$80),2))</f>
        <v>0</v>
      </c>
      <c r="EI81" s="109">
        <f>IF($B81="","",EH81-EJ81)</f>
        <v>0</v>
      </c>
      <c r="EJ81" s="109">
        <f t="shared" ref="EJ81:EJ144" si="50">IF($B81="","",ROUND($H$22/$I$22*($C81-$C80)*EK80,2))</f>
        <v>0</v>
      </c>
      <c r="EK81" s="110">
        <f>IF($B81="","",EK80-EI81)</f>
        <v>9.9999999996924771E-3</v>
      </c>
      <c r="EM81" s="108">
        <f>IF($B81="","",IF(OR($F$10="ანუიტეტური",$F$10="სამომხმარებლო"),EN81+EO81,IF(AND($F$10="საშეღავათო",$B81&lt;=$G$12),EN81+EO81,IF(AND($F$10="ნულოვანი საშეღავათო",$B81&lt;=$G$12),EN81+EO81))))</f>
        <v>107.70000000000002</v>
      </c>
      <c r="EN81" s="109">
        <f>IF($B81="","",IF(OR($F$10="ანუიტეტური",$F$10="სამომხმარებლო"),ED81+EI81,IF(AND($F$10="საშეღავათო",$B81&gt;$G$12),EM81-EO81,IF(AND($F$10="საშეღავათო",$B81&lt;=$G$12),0,IF(AND($F$10="ნულოვანი საშეღავათო",$B81&gt;$G$12),EM81-EO81,IF(AND($F$10="ნულოვანი საშეღავათო",$B81&lt;=$G$12),0))))))</f>
        <v>59.52000000000001</v>
      </c>
      <c r="EO81" s="109">
        <f t="shared" ref="EO81:EO144" si="51">IF($B81="","",IF(OR($F$10="ანუიტეტური",$F$10="სამომხმარებლო"),ROUND($H$22/$I$22*($C81-$C80)*EP80,2),IF($F$10="საშეღავათო",ROUND($H$22/$I$22*($C81-$C80)*EP80,2),IF(AND($F$10="ნულოვანი საშეღავათო",$B81&lt;=$G$12),0,IF(AND($F$10="ნულოვანი საშეღავათო",$B81=$G$12+1),ROUND($H$22/$I$22*($C81-$C$80)*EP80,2),IF(AND($F$10="ნულოვანი საშეღავათო",$B81&gt;$G$12),ROUND($H$22/$I$22*($C81-$C80)*EP80,2)))))))</f>
        <v>48.18</v>
      </c>
      <c r="EP81" s="110">
        <f>IF($B81="","",EP80-EN81)</f>
        <v>1440.48</v>
      </c>
      <c r="ER81" s="108">
        <f t="shared" ref="ER81:ER144" si="52">IF($B81="","",ROUND(-PMT($H$22/$I$20,$H$20,$ER$80),2))</f>
        <v>0</v>
      </c>
      <c r="ES81" s="109">
        <f>IF($B81="","",ER81-ET81)</f>
        <v>0</v>
      </c>
      <c r="ET81" s="109">
        <f t="shared" ref="ET81:ET144" si="53">IF($B81="","",ROUND($H$22/$I$22*($C81-$C80)*EU80,2))</f>
        <v>0</v>
      </c>
      <c r="EU81" s="110">
        <f>IF($B81="","",EU80-ES81)</f>
        <v>9.9999999996924771E-3</v>
      </c>
      <c r="EW81" s="108">
        <f>IF($B81="","",IF(OR($F$10="ანუიტეტური",$F$10="სამომხმარებლო"),EX81+EY81,IF(AND($F$10="საშეღავათო",$B81&lt;=$G$12),EX81+EY81,IF(AND($F$10="ნულოვანი საშეღავათო",$B81&lt;=$G$12),EX81+EY81))))</f>
        <v>107.70000000000002</v>
      </c>
      <c r="EX81" s="109">
        <f>IF($B81="","",IF(OR($F$10="ანუიტეტური",$F$10="სამომხმარებლო"),EN81+ES81,IF(AND($F$10="საშეღავათო",$B81&gt;$G$12),EW81-EY81,IF(AND($F$10="საშეღავათო",$B81&lt;=$G$12),0,IF(AND($F$10="ნულოვანი საშეღავათო",$B81&gt;$G$12),EW81-EY81,IF(AND($F$10="ნულოვანი საშეღავათო",$B81&lt;=$G$12),0))))))</f>
        <v>59.52000000000001</v>
      </c>
      <c r="EY81" s="109">
        <f t="shared" ref="EY81:EY144" si="54">IF($B81="","",IF(OR($F$10="ანუიტეტური",$F$10="სამომხმარებლო"),ROUND($H$22/$I$22*($C81-$C80)*EZ80,2),IF($F$10="საშეღავათო",ROUND($H$22/$I$22*($C81-$C80)*EZ80,2),IF(AND($F$10="ნულოვანი საშეღავათო",$B81&lt;=$G$12),0,IF(AND($F$10="ნულოვანი საშეღავათო",$B81=$G$12+1),ROUND($H$22/$I$22*($C81-$C$80)*EZ80,2),IF(AND($F$10="ნულოვანი საშეღავათო",$B81&gt;$G$12),ROUND($H$22/$I$22*($C81-$C80)*EZ80,2)))))))</f>
        <v>48.18</v>
      </c>
      <c r="EZ81" s="110">
        <f>IF($B81="","",EZ80-EX81)</f>
        <v>1440.48</v>
      </c>
      <c r="FB81" s="108">
        <f t="shared" ref="FB81:FB144" si="55">IF($B81="","",ROUND(-PMT($H$22/$I$20,$H$20,$FB$80),2))</f>
        <v>0</v>
      </c>
      <c r="FC81" s="109">
        <f>IF($B81="","",FB81-FD81)</f>
        <v>0</v>
      </c>
      <c r="FD81" s="109">
        <f t="shared" ref="FD81:FD144" si="56">IF($B81="","",ROUND($H$22/$I$22*($C81-$C80)*FE80,2))</f>
        <v>0</v>
      </c>
      <c r="FE81" s="110">
        <f>IF($B81="","",FE80-FC81)</f>
        <v>9.9999999996924771E-3</v>
      </c>
      <c r="FG81" s="108">
        <f>IF($B81="","",IF(OR($F$10="ანუიტეტური",$F$10="სამომხმარებლო"),FH81+FI81,IF(AND($F$10="საშეღავათო",$B81&lt;=$G$12),FH81+FI81,IF(AND($F$10="ნულოვანი საშეღავათო",$B81&lt;=$G$12),FH81+FI81))))</f>
        <v>107.70000000000002</v>
      </c>
      <c r="FH81" s="109">
        <f>IF($B81="","",IF(OR($F$10="ანუიტეტური",$F$10="სამომხმარებლო"),EX81+FC81,IF(AND($F$10="საშეღავათო",$B81&gt;$G$12),FG81-FI81,IF(AND($F$10="საშეღავათო",$B81&lt;=$G$12),0,IF(AND($F$10="ნულოვანი საშეღავათო",$B81&gt;$G$12),FG81-FI81,IF(AND($F$10="ნულოვანი საშეღავათო",$B81&lt;=$G$12),0))))))</f>
        <v>59.52000000000001</v>
      </c>
      <c r="FI81" s="109">
        <f t="shared" ref="FI81:FI144" si="57">IF($B81="","",IF(OR($F$10="ანუიტეტური",$F$10="სამომხმარებლო"),ROUND($H$22/$I$22*($C81-$C80)*FJ80,2),IF($F$10="საშეღავათო",ROUND($H$22/$I$22*($C81-$C80)*FJ80,2),IF(AND($F$10="ნულოვანი საშეღავათო",$B81&lt;=$G$12),0,IF(AND($F$10="ნულოვანი საშეღავათო",$B81=$G$12+1),ROUND($H$22/$I$22*($C81-$C$80)*FJ80,2),IF(AND($F$10="ნულოვანი საშეღავათო",$B81&gt;$G$12),ROUND($H$22/$I$22*($C81-$C80)*FJ80,2)))))))</f>
        <v>48.18</v>
      </c>
      <c r="FJ81" s="110">
        <f>IF($B81="","",FJ80-FH81)</f>
        <v>1440.48</v>
      </c>
      <c r="FL81" s="108">
        <f t="shared" ref="FL81:FL144" si="58">IF($B81="","",ROUND(-PMT($H$22/$I$20,$H$20,$FL$80),2))</f>
        <v>0</v>
      </c>
      <c r="FM81" s="109">
        <f>IF($B81="","",FL81-FN81)</f>
        <v>0</v>
      </c>
      <c r="FN81" s="109">
        <f t="shared" ref="FN81:FN144" si="59">IF($B81="","",ROUND($H$22/$I$22*($C81-$C80)*FO80,2))</f>
        <v>0</v>
      </c>
      <c r="FO81" s="110">
        <f>IF($B81="","",FO80-FM81)</f>
        <v>9.9999999996924771E-3</v>
      </c>
      <c r="FQ81" s="108">
        <f>IF($B81="","",IF(OR($F$10="ანუიტეტური",$F$10="სამომხმარებლო"),FR81+FS81,IF(AND($F$10="საშეღავათო",$B81&lt;=$G$12),FR81+FS81,IF(AND($F$10="ნულოვანი საშეღავათო",$B81&lt;=$G$12),FR81+FS81))))</f>
        <v>107.70000000000002</v>
      </c>
      <c r="FR81" s="109">
        <f>IF($B81="","",IF(OR($F$10="ანუიტეტური",$F$10="სამომხმარებლო"),FH81+FM81,IF(AND($F$10="საშეღავათო",$B81&gt;$G$12),FQ81-FS81,IF(AND($F$10="საშეღავათო",$B81&lt;=$G$12),0,IF(AND($F$10="ნულოვანი საშეღავათო",$B81&gt;$G$12),FQ81-FS81,IF(AND($F$10="ნულოვანი საშეღავათო",$B81&lt;=$G$12),0))))))</f>
        <v>59.52000000000001</v>
      </c>
      <c r="FS81" s="109">
        <f t="shared" ref="FS81:FS144" si="60">IF($B81="","",IF(OR($F$10="ანუიტეტური",$F$10="სამომხმარებლო"),ROUND($H$22/$I$22*($C81-$C80)*FT80,2),IF($F$10="საშეღავათო",ROUND($H$22/$I$22*($C81-$C80)*FT80,2),IF(AND($F$10="ნულოვანი საშეღავათო",$B81&lt;=$G$12),0,IF(AND($F$10="ნულოვანი საშეღავათო",$B81=$G$12+1),ROUND($H$22/$I$22*($C81-$C$80)*FT80,2),IF(AND($F$10="ნულოვანი საშეღავათო",$B81&gt;$G$12),ROUND($H$22/$I$22*($C81-$C80)*FT80,2)))))))</f>
        <v>48.18</v>
      </c>
      <c r="FT81" s="110">
        <f>IF($B81="","",FT80-FR81)</f>
        <v>1440.48</v>
      </c>
      <c r="FV81" s="108">
        <f t="shared" ref="FV81:FV144" si="61">IF($B81="","",ROUND(-PMT($H$22/$I$20,$H$20,$FV$80),2))</f>
        <v>0</v>
      </c>
      <c r="FW81" s="109">
        <f>IF($B81="","",FV81-FX81)</f>
        <v>0</v>
      </c>
      <c r="FX81" s="109">
        <f t="shared" ref="FX81:FX144" si="62">IF($B81="","",ROUND($H$22/$I$22*($C81-$C80)*FY80,2))</f>
        <v>0</v>
      </c>
      <c r="FY81" s="110">
        <f>IF($B81="","",FY80-FW81)</f>
        <v>9.9999999996924771E-3</v>
      </c>
      <c r="GA81" s="108">
        <f>IF($B81="","",IF(OR($F$10="ანუიტეტური",$F$10="სამომხმარებლო"),GB81+GC81,IF(AND($F$10="საშეღავათო",$B81&lt;=$G$12),GB81+GC81,IF(AND($F$10="ნულოვანი საშეღავათო",$B81&lt;=$G$12),GB81+GC81))))</f>
        <v>107.70000000000002</v>
      </c>
      <c r="GB81" s="109">
        <f>IF($B81="","",IF(OR(OR($F$10="ანუიტეტური",$F$10="სამომხმარებლო"),$F$10="სამომხმარებლო"),FR81+FW81,IF(AND($F$10="საშეღავათო",$B81&gt;$G$12),GA81-GC81,IF(AND($F$10="საშეღავათო",$B81&lt;=$G$12),0,IF(AND($F$10="ნულოვანი საშეღავათო",$B81&gt;$G$12),GA81-GC81,IF(AND($F$10="ნულოვანი საშეღავათო",$B81&lt;=$G$12),0))))))</f>
        <v>59.52000000000001</v>
      </c>
      <c r="GC81" s="109">
        <f t="shared" ref="GC81:GC144" si="63">IF($B81="","",IF(OR($F$10="ანუიტეტური",$F$10="სამომხმარებლო"),ROUND($H$22/$I$22*($C81-$C80)*GD80,2),IF($F$10="საშეღავათო",ROUND($H$22/$I$22*($C81-$C80)*GD80,2),IF(AND($F$10="ნულოვანი საშეღავათო",$B81&lt;=$G$12),0,IF(AND($F$10="ნულოვანი საშეღავათო",$B81=$G$12+1),ROUND($H$22/$I$22*($C81-$C$80)*GD80,2),IF(AND($F$10="ნულოვანი საშეღავათო",$B81&gt;$G$12),ROUND($H$22/$I$22*($C81-$C80)*GD80,2)))))))</f>
        <v>48.18</v>
      </c>
      <c r="GD81" s="110">
        <f>IF($B81="","",GD80-GB81)</f>
        <v>1440.48</v>
      </c>
      <c r="GF81" s="108">
        <f t="shared" ref="GF81:GF144" si="64">IF($B81="","",ROUND(-PMT($H$22/$I$20,$H$20,$GF$80),2))</f>
        <v>0</v>
      </c>
      <c r="GG81" s="109">
        <f>IF($B81="","",GF81-GH81)</f>
        <v>0</v>
      </c>
      <c r="GH81" s="109">
        <f t="shared" ref="GH81:GH144" si="65">IF($B81="","",ROUND($H$22/$I$22*($C81-$C80)*GI80,2))</f>
        <v>0</v>
      </c>
      <c r="GI81" s="110">
        <f>IF($B81="","",GI80-GG81)</f>
        <v>9.9999999996924771E-3</v>
      </c>
      <c r="GK81" s="108">
        <f>IF($B81="","",IF(OR($F$10="ანუიტეტური",$F$10="სამომხმარებლო"),GL81+GM81,IF(AND($F$10="საშეღავათო",$B81&lt;=$G$12),GL81+GM81,IF(AND($F$10="ნულოვანი საშეღავათო",$B81&lt;=$G$12),GL81+GM81))))</f>
        <v>107.70000000000002</v>
      </c>
      <c r="GL81" s="109">
        <f>IF($B81="","",IF(OR($F$10="ანუიტეტური",$F$10="სამომხმარებლო"),GB81+GG81,IF(AND($F$10="საშეღავათო",$B81&gt;$G$12),GK81-GM81,IF(AND($F$10="საშეღავათო",$B81&lt;=$G$12),0,IF(AND($F$10="ნულოვანი საშეღავათო",$B81&gt;$G$12),GK81-GM81,IF(AND($F$10="ნულოვანი საშეღავათო",$B81&lt;=$G$12),0))))))</f>
        <v>59.52000000000001</v>
      </c>
      <c r="GM81" s="109">
        <f>IF($B81="","",IF(OR($F$10="ანუიტეტური",$F$10="სამომხმარებლო"),ROUND($H$22/$I$22*($C81-$C80)*GN80,2),IF($F$10="საშეღავათო",ROUND($H$22/$I$22*($C81-$C80)*GN80,2),IF(AND($F$10="ნულოვანი საშეღავათო",$B81&lt;=$G$12),0,IF(AND($F$10="ნულოვანი საშეღავათო",$B81=$G$12+1),ROUND($H$22/$I$22*($C81-$C$80)*GN80,2),IF(AND($F$10="ნულოვანი საშეღავათო",$B81&gt;$G$12),ROUND($H$22/$I$22*($C81-$C80)*GN80,2)))))))</f>
        <v>48.18</v>
      </c>
      <c r="GN81" s="110">
        <f>IF($B81="","",GN80-GL81)</f>
        <v>1440.48</v>
      </c>
      <c r="GR81" s="108">
        <f t="shared" ref="GR81:GR144" si="66">IF($K81="","",IF(OR($O$28="ანუიტეტური",$O$28="სამომხმარებლო"),ROUND(-PMT($P$34/$I$20,$R$32,$GR$80),2),IF(AND($O$28="საშეღავათო",$K81&lt;=$Q$30),GS81+GT81,IF(AND($O$28="საშეღავათო",$K81&gt;$Q$30),ROUND(-PMT($P$34/$I$20,$R$32-$Q$30,$GR$80),2),IF(AND($O$28="ნულოვანი საშეღავათო",$K81&lt;=$Q$30),GS81+GT81,IF(AND($O$28="ნულოვანი საშეღავათო",$K81&gt;$Q$30,GT81&gt;ROUND(-PMT($P$34/$I$20,$R$32-$Q$30,$GR$80),2)),GT81,ROUND(-PMT($P$34/$I$20,$R$32-$Q$30,$GR$80),2)))))))</f>
        <v>960.17</v>
      </c>
      <c r="GS81" s="109">
        <f t="shared" ref="GS81:GS144" si="67">IF($K81="","",IF(OR($O$28="ანუიტეტური",$O$28="სამომხმარებლო"),GR81-GT81,IF(AND($O$28="საშეღავათო",$K81&gt;$Q$30),GR81-GT81,IF(AND($O$28="საშეღავათო",$K81&lt;=$Q$30),0,IF(AND($O$28="ნულოვანი საშეღავათო",$K81&gt;$Q$30),GR81-GT81,IF(AND($O$28="ნულოვანი საშეღავათო",$K81&lt;=$Q$30),0))))))</f>
        <v>960.17</v>
      </c>
      <c r="GT81" s="109">
        <f t="shared" ref="GT81:GT144" si="68">IF($K81="","",IF(OR($O$28="ანუიტეტური",$O$28="სამომხმარებლო"),ROUND($P$34/$I$22*($L81-$L80)*GU80,2),IF($O$28="საშეღავათო",ROUND($P$34/$I$22*($L81-$L80)*GU80,2),IF(AND($O$28="ნულოვანი საშეღავათო",$K81&lt;=$Q$30),0,IF(AND($O$28="ნულოვანი საშეღავათო",$K81=$Q$30+1),ROUND($P$34/$I$22*($L81-$L$80)*GU80,2),IF(AND($O$28="ნულოვანი საშეღავათო",$K81&gt;$Q$30),ROUND($P$34/$I$22*($L81-$L80)*GU80,2)))))))</f>
        <v>0</v>
      </c>
      <c r="GU81" s="110">
        <f t="shared" ref="GU81:GU144" si="69">IF($K81="","",IF(OR($O$28="ანუიტეტური",$O$28="სამომხმარებლო"),GU80-GS81,IF($O$28="საშეღავათო",GU80-GS81,IF($O$28="ნულოვანი საშეღავათო",GU80-GS81))))</f>
        <v>9039.83</v>
      </c>
      <c r="GV81" s="51"/>
      <c r="GW81" s="108">
        <f t="shared" ref="GW81:GW144" si="70">IF($K81="","",ROUND(-PMT($P$34/$I$20,$R$32,GW$80),2))</f>
        <v>0</v>
      </c>
      <c r="GX81" s="109">
        <f>IF($K81="","",GW81-GY81)</f>
        <v>0</v>
      </c>
      <c r="GY81" s="109">
        <f t="shared" ref="GY81:GY144" si="71">IF($K81="","",ROUND($P$34/$I$22*($L81-$L80)*GZ80,2))</f>
        <v>0</v>
      </c>
      <c r="GZ81" s="110">
        <f t="shared" ref="GZ81:GZ144" si="72">IF($K81="","",GZ80-GX81)</f>
        <v>0</v>
      </c>
      <c r="HA81" s="51"/>
      <c r="HB81" s="108">
        <f>IF($K81="","",IF(OR($O$28="ანუიტეტური",$O$28="სამომხმარებლო"),HC81+HD81,IF(AND($O$28="საშეღავათო",$K81&lt;=$Q$30),HC81+HD81,IF(AND($O$28="ნულოვანი საშეღავათო",$K81&lt;=$Q$30),HC81+HD81))))</f>
        <v>960.17</v>
      </c>
      <c r="HC81" s="109">
        <f>IF($K81="","",IF(OR($O$28="ანუიტეტური",$O$28="სამომხმარებლო"),GS81+GX81,IF(AND($O$28="საშეღავათო",$K81&gt;$Q$30),HB81-HD81,IF(AND($O$28="საშეღავათო",$K81&lt;=$Q$30),0,IF(AND($O$28="ნულოვანი საშეღავათო",$K81&gt;$Q$30),HB81-HD81,IF(AND($O$28="ნულოვანი საშეღავათო",$K81&lt;=$Q$30),0))))))</f>
        <v>960.17</v>
      </c>
      <c r="HD81" s="109">
        <f t="shared" ref="HD81:HD144" si="73">IF($K81="","",IF(OR($O$28="ანუიტეტური",$O$28="სამომხმარებლო"),ROUND($P$34/$I$22*($L81-$L80)*HE80,2),IF($O$28="საშეღავათო",ROUND($P$34/$I$22*($L81-$L80)*HE80,2),IF(AND($O$28="ნულოვანი საშეღავათო",$K81&lt;=$Q$30),0,IF(AND($O$28="ნულოვანი საშეღავათო",$K81=$Q$30+1),ROUND($P$34/$I$22*($L81-$L$80)*HE80,2),IF(AND($O$28="ნულოვანი საშეღავათო",$K81&gt;$Q$30),ROUND($P$34/$I$22*($L81-$L80)*HE80,2)))))))</f>
        <v>0</v>
      </c>
      <c r="HE81" s="110">
        <f>IF($K81="","",HE80-HC81)</f>
        <v>9039.83</v>
      </c>
      <c r="HF81" s="51"/>
      <c r="HG81" s="108">
        <f t="shared" ref="HG81:HG144" si="74">IF($K81="","",ROUND(-PMT($P$34/$I$20,$R$32,HG$80),2))</f>
        <v>0</v>
      </c>
      <c r="HH81" s="109">
        <f>IF($K81="","",HG81-HI81)</f>
        <v>0</v>
      </c>
      <c r="HI81" s="109">
        <f t="shared" ref="HI81:HI144" si="75">IF($K81="","",ROUND($P$34/$I$22*($L81-$L80)*HJ80,2))</f>
        <v>0</v>
      </c>
      <c r="HJ81" s="110">
        <f>IF($K81="","",HJ80-HH81)</f>
        <v>0</v>
      </c>
      <c r="HK81" s="51"/>
      <c r="HL81" s="108">
        <f>IF($K81="","",IF(OR($O$28="ანუიტეტური",$O$28="სამომხმარებლო"),HM81+HN81,IF(AND($O$28="საშეღავათო",$K81&lt;=$Q$30),HM81+HN81,IF(AND($O$28="ნულოვანი საშეღავათო",$K81&lt;=$Q$30),HM81+HN81))))</f>
        <v>960.17</v>
      </c>
      <c r="HM81" s="109">
        <f>IF($K81="","",IF(OR($O$28="ანუიტეტური",$O$28="სამომხმარებლო"),HC81+HH81,IF(AND($O$28="საშეღავათო",$K81&gt;$Q$30),HL81-HN81,IF(AND($O$28="საშეღავათო",$K81&lt;=$Q$30),0,IF(AND($O$28="ნულოვანი საშეღავათო",$K81&gt;$Q$30),HL81-HN81,IF(AND($O$28="ნულოვანი საშეღავათო",$K81&lt;=$Q$30),0))))))</f>
        <v>960.17</v>
      </c>
      <c r="HN81" s="109">
        <f t="shared" ref="HN81:HN144" si="76">IF($K81="","",IF(OR($O$28="ანუიტეტური",$O$28="სამომხმარებლო"),ROUND($P$34/$I$22*($L81-$L80)*HO80,2),IF($O$28="საშეღავათო",ROUND($P$34/$I$22*($L81-$L80)*HO80,2),IF(AND($O$28="ნულოვანი საშეღავათო",$K81&lt;=$Q$30),0,IF(AND($O$28="ნულოვანი საშეღავათო",$K81=$Q$30+1),ROUND($P$34/$I$22*($L81-$L$80)*HO80,2),IF(AND($O$28="ნულოვანი საშეღავათო",$K81&gt;$Q$30),ROUND($P$34/$I$22*($L81-$L80)*HO80,2)))))))</f>
        <v>0</v>
      </c>
      <c r="HO81" s="110">
        <f>IF($K81="","",HO80-HM81)</f>
        <v>9039.83</v>
      </c>
      <c r="HP81" s="51"/>
      <c r="HQ81" s="108">
        <f t="shared" ref="HQ81:HQ144" si="77">IF($K81="","",ROUND(-PMT($P$34/$I$20,$R$32,HQ$80),2))</f>
        <v>0</v>
      </c>
      <c r="HR81" s="109">
        <f>IF($K81="","",HQ81-HS81)</f>
        <v>0</v>
      </c>
      <c r="HS81" s="109">
        <f t="shared" ref="HS81:HS144" si="78">IF($K81="","",ROUND($P$34/$I$22*($L81-$L80)*HT80,2))</f>
        <v>0</v>
      </c>
      <c r="HT81" s="110">
        <f>IF($K81="","",HT80-HR81)</f>
        <v>0</v>
      </c>
      <c r="HU81" s="51"/>
      <c r="HV81" s="108">
        <f>IF($K81="","",IF(OR($O$28="ანუიტეტური",$O$28="სამომხმარებლო"),HW81+HX81,IF(AND($O$28="საშეღავათო",$K81&lt;=$Q$30),HW81+HX81,IF(AND($O$28="ნულოვანი საშეღავათო",$K81&lt;=$Q$30),HW81+HX81))))</f>
        <v>960.17</v>
      </c>
      <c r="HW81" s="109">
        <f>IF($K81="","",IF(OR($O$28="ანუიტეტური",$O$28="სამომხმარებლო"),HM81+HR81,IF(AND($O$28="საშეღავათო",$K81&gt;$Q$30),HV81-HX81,IF(AND($O$28="საშეღავათო",$K81&lt;=$Q$30),0,IF(AND($O$28="ნულოვანი საშეღავათო",$K81&gt;$Q$30),HV81-HX81,IF(AND($O$28="ნულოვანი საშეღავათო",$K81&lt;=$Q$30),0))))))</f>
        <v>960.17</v>
      </c>
      <c r="HX81" s="109">
        <f t="shared" ref="HX81:HX144" si="79">IF($K81="","",IF(OR($O$28="ანუიტეტური",$O$28="სამომხმარებლო"),ROUND($P$34/$I$22*($L81-$L80)*HY80,2),IF($O$28="საშეღავათო",ROUND($P$34/$I$22*($L81-$L80)*HY80,2),IF(AND($O$28="ნულოვანი საშეღავათო",$K81&lt;=$Q$30),0,IF(AND($O$28="ნულოვანი საშეღავათო",$K81=$Q$30+1),ROUND($P$34/$I$22*($L81-$L$80)*HY80,2),IF(AND($O$28="ნულოვანი საშეღავათო",$K81&gt;$Q$30),ROUND($P$34/$I$22*($L81-$L80)*HY80,2)))))))</f>
        <v>0</v>
      </c>
      <c r="HY81" s="110">
        <f>IF($K81="","",HY80-HW81)</f>
        <v>9039.83</v>
      </c>
      <c r="HZ81" s="51"/>
      <c r="IA81" s="108">
        <f t="shared" ref="IA81:IA144" si="80">IF($K81="","",ROUND(-PMT($P$34/$I$20,$R$32,IA$80),2))</f>
        <v>0</v>
      </c>
      <c r="IB81" s="109">
        <f>IF($K81="","",IA81-IC81)</f>
        <v>0</v>
      </c>
      <c r="IC81" s="109">
        <f t="shared" ref="IC81:IC144" si="81">IF($K81="","",ROUND($P$34/$I$22*($L81-$L80)*ID80,2))</f>
        <v>0</v>
      </c>
      <c r="ID81" s="110">
        <f>IF($K81="","",ID80-IB81)</f>
        <v>0</v>
      </c>
      <c r="IE81" s="51"/>
      <c r="IF81" s="108">
        <f>IF($K81="","",IF(OR($O$28="ანუიტეტური",$O$28="სამომხმარებლო"),IG81+IH81,IF(AND($O$28="საშეღავათო",$K81&lt;=$Q$30),IG81+IH81,IF(AND($O$28="ნულოვანი საშეღავათო",$K81&lt;=$Q$30),IG81+IH81))))</f>
        <v>960.17</v>
      </c>
      <c r="IG81" s="109">
        <f>IF($K81="","",IF(OR($O$28="ანუიტეტური",$O$28="სამომხმარებლო"),HW81+IB81,IF(AND($O$28="საშეღავათო",$K81&gt;$Q$30),IF81-IH81,IF(AND($O$28="საშეღავათო",$K81&lt;=$Q$30),0,IF(AND($O$28="ნულოვანი საშეღავათო",$K81&gt;$Q$30),IF81-IH81,IF(AND($O$28="ნულოვანი საშეღავათო",$K81&lt;=$Q$30),0))))))</f>
        <v>960.17</v>
      </c>
      <c r="IH81" s="109">
        <f t="shared" ref="IH81:IH144" si="82">IF($K81="","",IF(OR($O$28="ანუიტეტური",$O$28="სამომხმარებლო"),ROUND($P$34/$I$22*($L81-$L80)*II80,2),IF($O$28="საშეღავათო",ROUND($P$34/$I$22*($L81-$L80)*II80,2),IF(AND($O$28="ნულოვანი საშეღავათო",$K81&lt;=$Q$30),0,IF(AND($O$28="ნულოვანი საშეღავათო",$K81=$Q$30+1),ROUND($P$34/$I$22*($L81-$L$80)*II80,2),IF(AND($O$28="ნულოვანი საშეღავათო",$K81&gt;$Q$30),ROUND($P$34/$I$22*($L81-$L80)*II80,2)))))))</f>
        <v>0</v>
      </c>
      <c r="II81" s="110">
        <f>IF($K81="","",II80-IG81)</f>
        <v>9039.83</v>
      </c>
      <c r="IJ81" s="51"/>
      <c r="IK81" s="108">
        <f t="shared" ref="IK81:IK144" si="83">IF($K81="","",ROUND(-PMT($P$34/$I$20,$R$32,IK$80),2))</f>
        <v>0</v>
      </c>
      <c r="IL81" s="109">
        <f>IF($K81="","",IK81-IM81)</f>
        <v>0</v>
      </c>
      <c r="IM81" s="109">
        <f t="shared" ref="IM81:IM144" si="84">IF($K81="","",ROUND($P$34/$I$22*($L81-$L80)*IN80,2))</f>
        <v>0</v>
      </c>
      <c r="IN81" s="110">
        <f>IF($K81="","",IN80-IL81)</f>
        <v>0</v>
      </c>
      <c r="IO81" s="51"/>
      <c r="IP81" s="108">
        <f>IF($K81="","",IF(OR($O$28="ანუიტეტური",$O$28="სამომხმარებლო"),IQ81+IR81,IF(AND($O$28="საშეღავათო",$K81&lt;=$Q$30),IQ81+IR81,IF(AND($O$28="ნულოვანი საშეღავათო",$K81&lt;=$Q$30),IQ81+IR81))))</f>
        <v>960.17</v>
      </c>
      <c r="IQ81" s="109">
        <f>IF($K81="","",IF(OR($O$28="ანუიტეტური",$O$28="სამომხმარებლო"),IG81+IL81,IF(AND($O$28="საშეღავათო",$K81&gt;$Q$30),IP81-IR81,IF(AND($O$28="საშეღავათო",$K81&lt;=$Q$30),0,IF(AND($O$28="ნულოვანი საშეღავათო",$K81&gt;$Q$30),IP81-IR81,IF(AND($O$28="ნულოვანი საშეღავათო",$K81&lt;=$Q$30),0))))))</f>
        <v>960.17</v>
      </c>
      <c r="IR81" s="109">
        <f t="shared" ref="IR81:IR144" si="85">IF($K81="","",IF(OR($O$28="ანუიტეტური",$O$28="სამომხმარებლო"),ROUND($P$34/$I$22*($L81-$L80)*IS80,2),IF($O$28="საშეღავათო",ROUND($P$34/$I$22*($L81-$L80)*IS80,2),IF(AND($O$28="ნულოვანი საშეღავათო",$K81&lt;=$Q$30),0,IF(AND($O$28="ნულოვანი საშეღავათო",$K81=$Q$30+1),ROUND($P$34/$I$22*($L81-$L$80)*IS80,2),IF(AND($O$28="ნულოვანი საშეღავათო",$K81&gt;$Q$30),ROUND($P$34/$I$22*($L81-$L80)*IS80,2)))))))</f>
        <v>0</v>
      </c>
      <c r="IS81" s="110">
        <f>IF($K81="","",IS80-IQ81)</f>
        <v>9039.83</v>
      </c>
      <c r="IT81" s="51"/>
      <c r="IU81" s="108">
        <f t="shared" ref="IU81:IU144" si="86">IF($K81="","",ROUND(-PMT($P$34/$I$20,$R$32,IU$80),2))</f>
        <v>0</v>
      </c>
      <c r="IV81" s="109">
        <f>IF($K81="","",IU81-IW81)</f>
        <v>0</v>
      </c>
      <c r="IW81" s="109">
        <f t="shared" ref="IW81:IW144" si="87">IF($K81="","",ROUND($P$34/$I$22*($L81-$L80)*IX80,2))</f>
        <v>0</v>
      </c>
      <c r="IX81" s="110">
        <f>IF($K81="","",IX80-IV81)</f>
        <v>0</v>
      </c>
      <c r="IY81" s="51"/>
      <c r="IZ81" s="108">
        <f>IF($K81="","",IF(OR($O$28="ანუიტეტური",$O$28="სამომხმარებლო"),JA81+JB81,IF(AND($O$28="საშეღავათო",$K81&lt;=$Q$30),JA81+JB81,IF(AND($O$28="ნულოვანი საშეღავათო",$K81&lt;=$Q$30),JA81+JB81))))</f>
        <v>960.17</v>
      </c>
      <c r="JA81" s="109">
        <f>IF($K81="","",IF(OR($O$28="ანუიტეტური",$O$28="სამომხმარებლო"),IQ81+IV81,IF(AND($O$28="საშეღავათო",$K81&gt;$Q$30),IZ81-JB81,IF(AND($O$28="საშეღავათო",$K81&lt;=$Q$30),0,IF(AND($O$28="ნულოვანი საშეღავათო",$K81&gt;$Q$30),IZ81-JB81,IF(AND($O$28="ნულოვანი საშეღავათო",$K81&lt;=$Q$30),0))))))</f>
        <v>960.17</v>
      </c>
      <c r="JB81" s="109">
        <f t="shared" ref="JB81:JB144" si="88">IF($K81="","",IF(OR($O$28="ანუიტეტური",$O$28="სამომხმარებლო"),ROUND($P$34/$I$22*($L81-$L80)*JC80,2),IF($O$28="საშეღავათო",ROUND($P$34/$I$22*($L81-$L80)*JC80,2),IF(AND($O$28="ნულოვანი საშეღავათო",$K81&lt;=$Q$30),0,IF(AND($O$28="ნულოვანი საშეღავათო",$K81=$Q$30+1),ROUND($P$34/$I$22*($L81-$L$80)*JC80,2),IF(AND($O$28="ნულოვანი საშეღავათო",$K81&gt;$Q$30),ROUND($P$34/$I$22*($L81-$L80)*JC80,2)))))))</f>
        <v>0</v>
      </c>
      <c r="JC81" s="110">
        <f>IF($K81="","",JC80-JA81)</f>
        <v>9039.83</v>
      </c>
      <c r="JD81" s="51"/>
      <c r="JE81" s="108">
        <f t="shared" ref="JE81:JE144" si="89">IF($K81="","",ROUND(-PMT($P$34/$I$20,$R$32,JE$80),2))</f>
        <v>0</v>
      </c>
      <c r="JF81" s="109">
        <f>IF($K81="","",JE81-JG81)</f>
        <v>0</v>
      </c>
      <c r="JG81" s="109">
        <f t="shared" ref="JG81:JG144" si="90">IF($K81="","",ROUND($P$34/$I$22*($L81-$L80)*JH80,2))</f>
        <v>0</v>
      </c>
      <c r="JH81" s="110">
        <f>IF($K81="","",JH80-JF81)</f>
        <v>0</v>
      </c>
      <c r="JI81" s="51"/>
      <c r="JJ81" s="108">
        <f>IF($K81="","",IF(OR($O$28="ანუიტეტური",$O$28="სამომხმარებლო"),JK81+JL81,IF(AND($O$28="საშეღავათო",$K81&lt;=$Q$30),JK81+JL81,IF(AND($O$28="ნულოვანი საშეღავათო",$K81&lt;=$Q$30),JK81+JL81))))</f>
        <v>960.17</v>
      </c>
      <c r="JK81" s="109">
        <f>IF($K81="","",IF(OR($O$28="ანუიტეტური",$O$28="სამომხმარებლო"),JA81+JF81,IF(AND($O$28="საშეღავათო",$K81&gt;$Q$30),JJ81-JL81,IF(AND($O$28="საშეღავათო",$K81&lt;=$Q$30),0,IF(AND($O$28="ნულოვანი საშეღავათო",$K81&gt;$Q$30),JJ81-JL81,IF(AND($O$28="ნულოვანი საშეღავათო",$K81&lt;=$Q$30),0))))))</f>
        <v>960.17</v>
      </c>
      <c r="JL81" s="109">
        <f t="shared" ref="JL81:JL144" si="91">IF($K81="","",IF(OR($O$28="ანუიტეტური",$O$28="სამომხმარებლო"),ROUND($P$34/$I$22*($L81-$L80)*JM80,2),IF($O$28="საშეღავათო",ROUND($P$34/$I$22*($L81-$L80)*JM80,2),IF(AND($O$28="ნულოვანი საშეღავათო",$K81&lt;=$Q$30),0,IF(AND($O$28="ნულოვანი საშეღავათო",$K81=$Q$30+1),ROUND($P$34/$I$22*($L81-$L$80)*JM80,2),IF(AND($O$28="ნულოვანი საშეღავათო",$K81&gt;$Q$30),ROUND($P$34/$I$22*($L81-$L80)*JM80,2)))))))</f>
        <v>0</v>
      </c>
      <c r="JM81" s="110">
        <f>IF($K81="","",JM80-JK81)</f>
        <v>9039.83</v>
      </c>
      <c r="JN81" s="51"/>
      <c r="JO81" s="108">
        <f t="shared" ref="JO81:JO144" si="92">IF($K81="","",ROUND(-PMT($P$34/$I$20,$R$32,JO$80),2))</f>
        <v>0</v>
      </c>
      <c r="JP81" s="109">
        <f>IF($K81="","",JO81-JQ81)</f>
        <v>0</v>
      </c>
      <c r="JQ81" s="109">
        <f t="shared" ref="JQ81:JQ144" si="93">IF($K81="","",ROUND($P$34/$I$22*($L81-$L80)*JR80,2))</f>
        <v>0</v>
      </c>
      <c r="JR81" s="110">
        <f>IF($K81="","",JR80-JP81)</f>
        <v>0</v>
      </c>
      <c r="JS81" s="51"/>
      <c r="JT81" s="108">
        <f>IF($K81="","",IF(OR($O$28="ანუიტეტური",$O$28="სამომხმარებლო"),JU81+JV81,IF(AND($O$28="საშეღავათო",$K81&lt;=$Q$30),JU81+JV81,IF(AND($O$28="ნულოვანი საშეღავათო",$K81&lt;=$Q$30),JU81+JV81))))</f>
        <v>960.17</v>
      </c>
      <c r="JU81" s="109">
        <f>IF($K81="","",IF(OR($O$28="ანუიტეტური",$O$28="სამომხმარებლო"),JK81+JP81,IF(AND($O$28="საშეღავათო",$K81&gt;$Q$30),JT81-JV81,IF(AND($O$28="საშეღავათო",$K81&lt;=$Q$30),0,IF(AND($O$28="ნულოვანი საშეღავათო",$K81&gt;$Q$30),JT81-JV81,IF(AND($O$28="ნულოვანი საშეღავათო",$K81&lt;=$Q$30),0))))))</f>
        <v>960.17</v>
      </c>
      <c r="JV81" s="109">
        <f t="shared" ref="JV81:JV144" si="94">IF($K81="","",IF(OR($O$28="ანუიტეტური",$O$28="სამომხმარებლო"),ROUND($P$34/$I$22*($L81-$L80)*JW80,2),IF($O$28="საშეღავათო",ROUND($P$34/$I$22*($L81-$L80)*JW80,2),IF(AND($O$28="ნულოვანი საშეღავათო",$K81&lt;=$Q$30),0,IF(AND($O$28="ნულოვანი საშეღავათო",$K81=$Q$30+1),ROUND($P$34/$I$22*($L81-$L$80)*JW80,2),IF(AND($O$28="ნულოვანი საშეღავათო",$K81&gt;$Q$30),ROUND($P$34/$I$22*($L81-$L80)*JW80,2)))))))</f>
        <v>0</v>
      </c>
      <c r="JW81" s="110">
        <f>IF($K81="","",JW80-JU81)</f>
        <v>9039.83</v>
      </c>
      <c r="JX81" s="51"/>
      <c r="JY81" s="108">
        <f t="shared" ref="JY81:JY144" si="95">IF($K81="","",ROUND(-PMT($P$34/$I$20,$R$32,JY$80),2))</f>
        <v>0</v>
      </c>
      <c r="JZ81" s="109">
        <f>IF($K81="","",JY81-KA81)</f>
        <v>0</v>
      </c>
      <c r="KA81" s="109">
        <f t="shared" ref="KA81:KA144" si="96">IF($K81="","",ROUND($P$34/$I$22*($L81-$L80)*KB80,2))</f>
        <v>0</v>
      </c>
      <c r="KB81" s="110">
        <f>IF($K81="","",KB80-JZ81)</f>
        <v>0</v>
      </c>
      <c r="KC81" s="51"/>
      <c r="KD81" s="108">
        <f>IF($K81="","",IF(OR($O$28="ანუიტეტური",$O$28="სამომხმარებლო"),KE81+KF81,IF(AND($O$28="საშეღავათო",$K81&lt;=$Q$30),KE81+KF81,IF(AND($O$28="ნულოვანი საშეღავათო",$K81&lt;=$Q$30),KE81+KF81))))</f>
        <v>960.17</v>
      </c>
      <c r="KE81" s="109">
        <f>IF($K81="","",IF(OR($O$28="ანუიტეტური",$O$28="სამომხმარებლო"),JU81+JZ81,IF(AND($O$28="საშეღავათო",$K81&gt;$Q$30),KD81-KF81,IF(AND($O$28="საშეღავათო",$K81&lt;=$Q$30),0,IF(AND($O$28="ნულოვანი საშეღავათო",$K81&gt;$Q$30),KD81-KF81,IF(AND($O$28="ნულოვანი საშეღავათო",$K81&lt;=$Q$30),0))))))</f>
        <v>960.17</v>
      </c>
      <c r="KF81" s="109">
        <f t="shared" ref="KF81:KF144" si="97">IF($K81="","",IF(OR($O$28="ანუიტეტური",$O$28="სამომხმარებლო"),ROUND($P$34/$I$22*($L81-$L80)*KG80,2),IF($O$28="საშეღავათო",ROUND($P$34/$I$22*($L81-$L80)*KG80,2),IF(AND($O$28="ნულოვანი საშეღავათო",$K81&lt;=$Q$30),0,IF(AND($O$28="ნულოვანი საშეღავათო",$K81=$Q$30+1),ROUND($P$34/$I$22*($L81-$L$80)*KG80,2),IF(AND($O$28="ნულოვანი საშეღავათო",$K81&gt;$Q$30),ROUND($P$34/$I$22*($L81-$L80)*KG80,2)))))))</f>
        <v>0</v>
      </c>
      <c r="KG81" s="110">
        <f t="shared" ref="KG81:KG144" si="98">IF($K81="","",KG80-KE81)</f>
        <v>9039.83</v>
      </c>
    </row>
    <row r="82" spans="1:293" ht="12" customHeight="1">
      <c r="A82" s="105">
        <f t="array" ref="A82">MAX(IF($J$80:J81&gt;0,$C$80:C81,0))</f>
        <v>43535</v>
      </c>
      <c r="B82" s="81">
        <f t="shared" si="4"/>
        <v>2</v>
      </c>
      <c r="C82" s="82">
        <f t="shared" si="5"/>
        <v>43600</v>
      </c>
      <c r="D82" s="83">
        <f t="shared" si="6"/>
        <v>108.41000000000001</v>
      </c>
      <c r="E82" s="83">
        <f t="shared" ref="E82:E145" si="99">IF(B82="","",IF(H81&gt;0,IF(OR($F$10="ანუიტეტური",$F$10="საშეღავათო",$F$10="ასიმეტრიული პროცენტით",$F$10="სამომხმარებლო"),ROUND($H81*$R$20/$I$22*(C82-C81),2),IF($F$10="ნულოვანი საშეღავათო",IF($B82&lt;=$G$12,0,IF($B82=$G$12+1,ROUND($H81*$R$20/$I$22*($C82-$C$80),2),ROUND($H81*$R$20/$I$22*($C82-$C81),2))),IF($F$10="ასიმეტრიული",IF(AND(J82="",B82&lt;$H$20),0,IF(OR(J82&gt;0,B82=$H$20),ROUND($H81*$R$20/$I$22*(C82-A82),2))),0)))))</f>
        <v>0.71</v>
      </c>
      <c r="F82" s="83">
        <f t="shared" si="7"/>
        <v>68.04000000000002</v>
      </c>
      <c r="G82" s="83">
        <f t="shared" si="8"/>
        <v>39.659999999999997</v>
      </c>
      <c r="H82" s="83">
        <f t="shared" si="9"/>
        <v>1372.44</v>
      </c>
      <c r="I82" s="105">
        <f t="array" ref="I82">MAX(IF($R$80:R81&gt;0,$L$80:L81,0))</f>
        <v>0</v>
      </c>
      <c r="J82" s="106"/>
      <c r="K82" s="69">
        <f t="shared" si="10"/>
        <v>2</v>
      </c>
      <c r="L82" s="82">
        <f>IFERROR(IF($F$52="ფიქსირებული",DATE($F$50,$G$50,$H$50),IF(OR(WEEKDAY(EOMONTH(DATE($F$46,$G$46,$H$46),$K$81),2)=6,WEEKDAY(EOMONTH(DATE($F$46,$G$46,$H$46),$K$81),2)=7,IF(EOMONTH(DATE($F$46,$G$46,$H$46),$K$81)=IFERROR(VLOOKUP(EOMONTH(DATE($F$46,$G$46,$H$46),$K$81),$BK$80:$BK$624,1,FALSE),0),1,0)=1),WORKDAY(EOMONTH(DATE($F$46,$G$46,$H$46),$K$81),1,$BK$80:$BK$624),EOMONTH(DATE($F$46,$G$46,$H$46),$K$81))),0)</f>
        <v>0</v>
      </c>
      <c r="M82" s="83">
        <f t="shared" si="11"/>
        <v>960.17</v>
      </c>
      <c r="N82" s="83">
        <f t="shared" si="12"/>
        <v>0</v>
      </c>
      <c r="O82" s="83" t="str">
        <f t="shared" si="13"/>
        <v/>
      </c>
      <c r="P82" s="83">
        <f t="shared" si="14"/>
        <v>0</v>
      </c>
      <c r="Q82" s="83">
        <f t="shared" si="15"/>
        <v>8079.66</v>
      </c>
      <c r="R82" s="106"/>
      <c r="S82" s="66"/>
      <c r="U82" s="85" t="e">
        <f t="shared" si="0"/>
        <v>#NUM!</v>
      </c>
      <c r="V82" s="86" t="e">
        <f t="shared" ref="V82:V145" si="100">IF(U82="",0,C82)</f>
        <v>#NUM!</v>
      </c>
      <c r="W82" s="87" t="e">
        <f t="shared" si="16"/>
        <v>#NUM!</v>
      </c>
      <c r="X82" s="87" t="e">
        <f t="shared" si="17"/>
        <v>#NUM!</v>
      </c>
      <c r="Y82" s="87" t="e">
        <f t="shared" si="18"/>
        <v>#NUM!</v>
      </c>
      <c r="Z82" s="88" t="e">
        <f t="shared" si="1"/>
        <v>#NUM!</v>
      </c>
      <c r="AB82" s="89">
        <f t="shared" ref="AB82:AB145" si="101">IF(D82&lt;&gt;"",D82,0)</f>
        <v>108.41000000000001</v>
      </c>
      <c r="AC82" s="87">
        <f t="shared" si="19"/>
        <v>111.42</v>
      </c>
      <c r="AD82" s="87" t="str">
        <f t="shared" si="20"/>
        <v/>
      </c>
      <c r="AE82" s="87" t="str">
        <f t="shared" si="21"/>
        <v/>
      </c>
      <c r="AF82" s="86">
        <f t="shared" ref="AF82:AF145" si="102">IF(AND(EDATE($AF81,1)&lt;=MAX($C$80:$C$200),$AF81&lt;&gt;0),EDATE($AF81,1),0)</f>
        <v>43596</v>
      </c>
      <c r="AG82" s="87">
        <f t="shared" si="2"/>
        <v>1.5</v>
      </c>
      <c r="AH82" s="87">
        <f t="shared" ref="AH82:AH145" si="103">IF(E82&lt;&gt;"",E82,0)</f>
        <v>0.71</v>
      </c>
      <c r="AI82" s="90"/>
      <c r="AJ82" s="87" t="e">
        <f t="shared" si="22"/>
        <v>#NUM!</v>
      </c>
      <c r="AK82" s="87" t="e">
        <f t="shared" ref="AK82:AK145" si="104">IF(OR($F$46="",DATE($F$34,$G$34,$H$34)&lt;=DATE($F$46,$G$46,$H$46)),0,IF(M82&lt;&gt;"",ROUND((M82*($BJ$81+(L82-$L$80)*$BJ$82)),2),0))</f>
        <v>#NUM!</v>
      </c>
      <c r="AL82" s="87" t="e">
        <f t="shared" ref="AL82:AL145" si="105">IF(OR($F$46="",DATE($F$34,$G$34,$H$34)&lt;=DATE($F$46,$G$46,$H$46)),0,IF(OR($O$28="ბიზნეს ოვერდრაფტი",$O$28="საკრედიტო ბარათი"),IF(M82&lt;&gt;"",M82,0),""))</f>
        <v>#NUM!</v>
      </c>
      <c r="AM82" s="87" t="e">
        <f t="shared" ref="AM82:AM145" si="106">IF(OR($F$46="",DATE($F$34,$G$34,$H$34)&lt;=DATE($F$46,$G$46,$H$46)),0,IF(OR($O$28="ბიზნეს ოვერდრაფტი",$O$28="საკრედიტო ბარათი"),IF(M82&lt;&gt;"",ROUND((M82*($BJ$81+(L82-$L$80)*$BJ$82)),2),0),""))</f>
        <v>#NUM!</v>
      </c>
      <c r="AN82" s="86">
        <f t="shared" si="23"/>
        <v>0</v>
      </c>
      <c r="AO82" s="87">
        <f t="shared" si="24"/>
        <v>0</v>
      </c>
      <c r="AP82" s="88">
        <f t="shared" si="25"/>
        <v>0</v>
      </c>
      <c r="AR82" s="91">
        <f t="shared" si="26"/>
        <v>108.41000000000001</v>
      </c>
      <c r="AS82" s="92">
        <f t="shared" si="27"/>
        <v>111.42</v>
      </c>
      <c r="AT82" s="87" t="str">
        <f t="shared" si="28"/>
        <v/>
      </c>
      <c r="AU82" s="87" t="str">
        <f t="shared" si="29"/>
        <v/>
      </c>
      <c r="AV82" s="86">
        <f t="shared" ref="AV82:AV145" si="107">IF(OR($F$46="",$G$46="",$H$46=""),IF(AND(EDATE($AF81,1)&lt;=MAX($C$80:$C$200),$AF81&lt;&gt;0),EDATE($AF81,1),0),IF(DATE($F$46,$G$46,$H$46)&gt;=DATE($F$34,$G$34,$H$34),IF(AND(EDATE($AF81,1)&lt;=MAX($C$80:$C$200),$AF81&lt;&gt;0),EDATE($AF81,1),0),IF(AND(DATE($F$46,$G$46,$H$46)&lt;DATE($F$34,$G$34,$H$34),U82&lt;&gt;""),IF(AND(EDATE($AF81,1)&lt;=MAX($C$80:$C$200),$AF81&lt;&gt;0),EDATE($AF81,1),0),IF(AND(DATE($F$46,$G$46,$H$46)&lt;DATE($F$34,$G$34,$H$34),U82=""),0))))</f>
        <v>43596</v>
      </c>
      <c r="AW82" s="87">
        <f t="shared" ref="AW82:AW145" si="108">IF(OR($F$46="",$G$46="",$H$46=""),IF(AF82&gt;0,$R$14,0),IF(DATE($F$46,$G$46,$H$46)&gt;=DATE($F$34,$G$34,$H$34),IF(AF82&gt;0,$R$14,0),IF(AND(DATE($F$46,$G$46,$H$46)&lt;DATE($F$34,$G$34,$H$34),U82&lt;&gt;""),IF(AF82&gt;0,$R$14,0),IF(AND(DATE($F$46,$G$46,$H$46)&lt;DATE($F$34,$G$34,$H$34),U82=""),0))))</f>
        <v>1.5</v>
      </c>
      <c r="AX82" s="87">
        <f t="shared" ref="AX82:AX145" si="109">IF(OR($F$46="",$G$46="",$H$46=""),IF($H$16="GEL",$AH82,ROUND($AH82*$H$18,2)),IF(DATE($F$46,$G$46,$H$46)&gt;=DATE($F$34,$G$34,$H$34),IF($H$16="GEL",$AH82,ROUND($AH82*$H$18,2)),IF(AND(DATE($F$46,$G$46,$H$46)&lt;DATE($F$34,$G$34,$H$34),U82&lt;&gt;""),IF($H$16="GEL",$AH82,ROUND($AH82*$H$18,2)),IF(AND(DATE($F$46,$G$46,$H$46)&lt;DATE($F$34,$G$34,$H$34),U82=""),0))))</f>
        <v>0.71</v>
      </c>
      <c r="AY82" s="93"/>
      <c r="AZ82" s="87">
        <f>IFERROR(IF(OR($F$46="",$G$46="",$H$46="",DATE($F$34,$G$34,$H$34)&lt;=DATE($F$46,$G$46,$H$46)),0,IF(M82&lt;&gt;"",IF($P$32="GEL",M82,M82*$Q$32),0)),0)</f>
        <v>0</v>
      </c>
      <c r="BA82" s="87">
        <f t="shared" ref="BA82:BA145" si="110">IFERROR(IF(OR($F$46="",DATE($F$34,$G$34,$H$34)&lt;=DATE($F$46,$G$46,$H$46)),0,IF(M82&lt;&gt;"",(IF($P$32="GEL",M82,M82*$Q$32)*($BJ$81+(L82-$L$80)*$BJ$82)),0)),0)</f>
        <v>0</v>
      </c>
      <c r="BB82" s="87">
        <f t="shared" ref="BB82:BB145" si="111">IFERROR(IF(OR($F$46="",DATE($F$34,$G$34,$H$34)&lt;=DATE($F$46,$G$46,$H$46)),0,IF(OR($O$28="ბიზნეს ოვერდრაფტი",$O$28="საკრედიტო ბარათი"),IF(M82&lt;&gt;"",IF($P$32="GEL",M82,M82*$Q$32),0),"")),0)</f>
        <v>0</v>
      </c>
      <c r="BC82" s="87">
        <f>IFERROR(IF(OR($F$46="",DATE($F$34,$G$34,$H$34)&lt;=DATE($F$46,$G$46,$H$46)),0,IF(OR($O$28="ბიზნეს ოვერდრაფტი",$O$28="საკრედიტო ბარათი"),IF(M82&lt;&gt;"",(IF($P$32="GEL",M82,M82*$Q$32)*($BJ$81+(L82-$L$80)*$BJ$82)),0),"")),0)</f>
        <v>0</v>
      </c>
      <c r="BD82" s="86" t="e">
        <f t="shared" si="30"/>
        <v>#NUM!</v>
      </c>
      <c r="BE82" s="87" t="e">
        <f t="shared" si="3"/>
        <v>#NUM!</v>
      </c>
      <c r="BF82" s="88">
        <f t="shared" ref="BF82:BF145" si="112">IFERROR(IF(Q81&gt;0,IF($P$32="GEL",ROUND($Q81*$R$46/$I$22*(L82-L81),2),ROUND($Q81*$Q$32*$R$46/$I$22*(L82-L81),2)),0),0)</f>
        <v>0</v>
      </c>
      <c r="BH82" s="87" t="e">
        <f t="shared" si="31"/>
        <v>#NUM!</v>
      </c>
      <c r="BI82" s="51"/>
      <c r="BJ82" s="96">
        <f>(-BJ81+(BJ81*(1+$BJ$80)^((MAX($C$80:$C$212)-$C$80)/$I$22)))/(MAX($C$80:$C$212)-$C$80)</f>
        <v>4.2655388239745592E-4</v>
      </c>
      <c r="BK82" s="95">
        <v>39454</v>
      </c>
      <c r="BL82" s="96">
        <v>3</v>
      </c>
      <c r="BM82" s="96">
        <v>3</v>
      </c>
      <c r="BP82" t="s">
        <v>176</v>
      </c>
      <c r="BQ82" s="98">
        <v>3.5</v>
      </c>
      <c r="BR82" s="98"/>
      <c r="BT82" s="51"/>
      <c r="BU82" s="51"/>
      <c r="BV82" s="30"/>
      <c r="BW82" s="107" t="str">
        <f>CONCATENATE(BW80,"&gt;&gt;",BW81)</f>
        <v>1&gt;&gt;5</v>
      </c>
      <c r="BX82" s="107" t="str">
        <f t="shared" ref="BX82:CE82" si="113">CONCATENATE(BX80,"&gt;&gt;",BX81)</f>
        <v>6&gt;&gt;10</v>
      </c>
      <c r="BY82" s="107" t="str">
        <f t="shared" si="113"/>
        <v>11&gt;&gt;14</v>
      </c>
      <c r="BZ82" s="107" t="str">
        <f t="shared" si="113"/>
        <v>15&gt;&gt;23</v>
      </c>
      <c r="CA82" s="107" t="str">
        <f t="shared" si="113"/>
        <v>24&gt;&gt;35</v>
      </c>
      <c r="CB82" s="107" t="str">
        <f t="shared" si="113"/>
        <v>36&gt;&gt;47</v>
      </c>
      <c r="CC82" s="107" t="str">
        <f t="shared" si="113"/>
        <v>48&gt;&gt;59</v>
      </c>
      <c r="CD82" s="107" t="str">
        <f t="shared" si="113"/>
        <v>60&gt;&gt;60</v>
      </c>
      <c r="CE82" s="107" t="str">
        <f t="shared" si="113"/>
        <v>61&gt;&gt;</v>
      </c>
      <c r="CF82" s="107"/>
      <c r="CG82" s="107"/>
      <c r="CI82" s="100" t="s">
        <v>265</v>
      </c>
      <c r="CJ82" s="51">
        <v>100</v>
      </c>
      <c r="CK82" s="51">
        <v>3000</v>
      </c>
      <c r="CL82" s="30">
        <v>0.33</v>
      </c>
      <c r="CO82" s="100" t="s">
        <v>144</v>
      </c>
      <c r="CP82" s="100">
        <v>1.5</v>
      </c>
      <c r="CQ82" s="30">
        <v>5.0000000000000001E-3</v>
      </c>
      <c r="CR82">
        <v>0.5</v>
      </c>
      <c r="CT82" s="101" t="s">
        <v>266</v>
      </c>
      <c r="CU82">
        <v>366</v>
      </c>
      <c r="CV82">
        <v>730</v>
      </c>
      <c r="CW82" s="30">
        <v>0.01</v>
      </c>
      <c r="CY82" s="108">
        <f t="shared" si="32"/>
        <v>107.15</v>
      </c>
      <c r="CZ82" s="109">
        <f t="shared" si="33"/>
        <v>67.47</v>
      </c>
      <c r="DA82" s="109">
        <f t="shared" si="34"/>
        <v>39.68</v>
      </c>
      <c r="DB82" s="110">
        <f t="shared" si="35"/>
        <v>1373.56</v>
      </c>
      <c r="DD82" s="108">
        <f t="shared" si="36"/>
        <v>0.9</v>
      </c>
      <c r="DE82" s="109">
        <f t="shared" ref="DE82:DE145" si="114">IF($B82="","",DD82-DF82)</f>
        <v>0.57000000000000006</v>
      </c>
      <c r="DF82" s="109">
        <f t="shared" si="37"/>
        <v>0.33</v>
      </c>
      <c r="DG82" s="110">
        <f t="shared" si="38"/>
        <v>11.590000000000062</v>
      </c>
      <c r="DI82" s="108">
        <f t="shared" ref="DI82:DI145" si="115">IF($B82="","",IF(OR($F$10="ანუიტეტური",$F$10="სამომხმარებლო"),DI81,IF(AND($F$10="საშეღავათო",$B82&lt;=$G$12),DJ82+DK82,IF(AND($F$10="საშეღავათო",$B82&gt;$G$12),CY82+DD82,IF(AND($F$10="ნულოვანი საშეღავათო",$B82&lt;=$G$12),DJ82+DK82,IF(AND($F$10="ნულოვანი საშეღავათო",$B82&gt;$G$12,DA82&gt;ROUND(-PMT($H$22/$I$20,$H$20-$G$12,$CY$80),2)),DA82,CY82+DD82))))))</f>
        <v>107.64000000000001</v>
      </c>
      <c r="DJ82" s="109">
        <f t="shared" ref="DJ82:DJ145" si="116">IF($B82="","",IF(OR($F$10="ანუიტეტური",$F$10="სამომხმარებლო"),DI82-DK82,IF(AND($F$10="საშეღავათო",$B82&gt;$G$12),DI82-DK82,IF(AND($F$10="საშეღავათო",$B82&lt;=$G$12),0,IF(AND($F$10="ნულოვანი საშეღავათო",$B82&gt;$G$12),DI82-DK82,IF(AND($F$10="ნულოვანი საშეღავათო",$B82&lt;=$G$12),0))))))</f>
        <v>67.980000000000018</v>
      </c>
      <c r="DK82" s="109">
        <f t="shared" si="39"/>
        <v>39.659999999999997</v>
      </c>
      <c r="DL82" s="110">
        <f t="shared" si="40"/>
        <v>1372.56</v>
      </c>
      <c r="DN82" s="108">
        <f t="shared" si="41"/>
        <v>0.1</v>
      </c>
      <c r="DO82" s="109">
        <f t="shared" si="42"/>
        <v>6.0000000000000005E-2</v>
      </c>
      <c r="DP82" s="109">
        <f t="shared" si="43"/>
        <v>0.04</v>
      </c>
      <c r="DQ82" s="110">
        <f t="shared" si="44"/>
        <v>1.2700000000000431</v>
      </c>
      <c r="DS82" s="108">
        <f t="shared" ref="DS82:DS145" si="117">IF($B82="","",IF(OR($F$10="ანუიტეტური",$F$10="სამომხმარებლო"),DS81,IF(AND($F$10="საშეღავათო",$B82&lt;=$G$12),DT82+DU82,IF(AND($F$10="საშეღავათო",$B82&gt;$G$12),DI82+DN82,IF(AND($F$10="ნულოვანი საშეღავათო",$B82&lt;=$G$12),DT82+DU82,IF(AND($F$10="ნულოვანი საშეღავათო",$B82&gt;$G$12,DA82&gt;ROUND(-PMT($H$22/$I$20,$H$20-$G$12,$CY$80),2)),DA82,DI82+DN82))))))</f>
        <v>107.70000000000002</v>
      </c>
      <c r="DT82" s="109">
        <f t="shared" ref="DT82:DT145" si="118">IF($B82="","",IF(OR($F$10="ანუიტეტური",$F$10="სამომხმარებლო"),DS82-DU82,IF(AND($F$10="საშეღავათო",$B82&gt;$G$12),DS82-DU82,IF(AND($F$10="საშეღავათო",$B82&lt;=$G$12),0,IF(AND($F$10="ნულოვანი საშეღავათო",$B82&gt;$G$12),DS82-DU82,IF(AND($F$10="ნულოვანი საშეღავათო",$B82&lt;=$G$12),0))))))</f>
        <v>68.04000000000002</v>
      </c>
      <c r="DU82" s="109">
        <f t="shared" si="45"/>
        <v>39.659999999999997</v>
      </c>
      <c r="DV82" s="110">
        <f>IF($B82="","",DV81-DT82)</f>
        <v>1372.44</v>
      </c>
      <c r="DX82" s="108">
        <f t="shared" si="46"/>
        <v>0</v>
      </c>
      <c r="DY82" s="109">
        <f t="shared" ref="DY82:DY145" si="119">IF($B82="","",DX82-DZ82)</f>
        <v>0</v>
      </c>
      <c r="DZ82" s="109">
        <f t="shared" si="47"/>
        <v>0</v>
      </c>
      <c r="EA82" s="110">
        <f t="shared" ref="EA82:EA108" si="120">IF($B82="","",EA81-DY82)</f>
        <v>9.9999999996924771E-3</v>
      </c>
      <c r="EC82" s="108">
        <f t="shared" ref="EC82:EC145" si="121">IF($B82="","",IF(OR($F$10="ანუიტეტური",$F$10="სამომხმარებლო"),EC81,IF(AND($F$10="საშეღავათო",$B82&lt;=$G$12),ED82+EE82,IF(AND($F$10="საშეღავათო",$B82&gt;$G$12),DS82+DX82,IF(AND($F$10="ნულოვანი საშეღავათო",$B82&lt;=$G$12),ED82+EE82,IF(AND($F$10="ნულოვანი საშეღავათო",$B82&gt;$G$12,DA82&gt;ROUND(-PMT($H$22/$I$20,$H$20-$G$12,$CY$80),2)),DA82,DS82+DX82))))))</f>
        <v>107.70000000000002</v>
      </c>
      <c r="ED82" s="109">
        <f t="shared" ref="ED82:ED145" si="122">IF($B82="","",IF(OR($F$10="ანუიტეტური",$F$10="სამომხმარებლო"),EC82-EE82,IF(AND($F$10="საშეღავათო",$B82&gt;$G$12),EC82-EE82,IF(AND($F$10="საშეღავათო",$B82&lt;=$G$12),0,IF(AND($F$10="ნულოვანი საშეღავათო",$B82&gt;$G$12),EC82-EE82,IF(AND($F$10="ნულოვანი საშეღავათო",$B82&lt;=$G$12),0))))))</f>
        <v>68.04000000000002</v>
      </c>
      <c r="EE82" s="109">
        <f t="shared" si="48"/>
        <v>39.659999999999997</v>
      </c>
      <c r="EF82" s="110">
        <f>IF($B82="","",EF81-ED82)</f>
        <v>1372.44</v>
      </c>
      <c r="EH82" s="108">
        <f t="shared" si="49"/>
        <v>0</v>
      </c>
      <c r="EI82" s="109">
        <f t="shared" ref="EI82:EI145" si="123">IF($B82="","",EH82-EJ82)</f>
        <v>0</v>
      </c>
      <c r="EJ82" s="109">
        <f t="shared" si="50"/>
        <v>0</v>
      </c>
      <c r="EK82" s="110">
        <f t="shared" ref="EK82:EK108" si="124">IF($B82="","",EK81-EI82)</f>
        <v>9.9999999996924771E-3</v>
      </c>
      <c r="EM82" s="108">
        <f t="shared" ref="EM82:EM145" si="125">IF($B82="","",IF(OR($F$10="ანუიტეტური",$F$10="სამომხმარებლო"),EM81,IF(AND($F$10="საშეღავათო",$B82&lt;=$G$12),EN82+EO82,IF(AND($F$10="საშეღავათო",$B82&gt;$G$12),EC82+EH82,IF(AND($F$10="ნულოვანი საშეღავათო",$B82&lt;=$G$12),EN82+EO82,IF(AND($F$10="ნულოვანი საშეღავათო",$B82&gt;$G$12,DA82&gt;ROUND(-PMT($H$22/$I$20,$H$20-$G$12,$CY$80),2)),DA82,EC82+EH82))))))</f>
        <v>107.70000000000002</v>
      </c>
      <c r="EN82" s="109">
        <f t="shared" ref="EN82:EN145" si="126">IF($B82="","",IF(OR($F$10="ანუიტეტური",$F$10="სამომხმარებლო"),EM82-EO82,IF(AND($F$10="საშეღავათო",$B82&gt;$G$12),EM82-EO82,IF(AND($F$10="საშეღავათო",$B82&lt;=$G$12),0,IF(AND($F$10="ნულოვანი საშეღავათო",$B82&gt;$G$12),EM82-EO82,IF(AND($F$10="ნულოვანი საშეღავათო",$B82&lt;=$G$12),0))))))</f>
        <v>68.04000000000002</v>
      </c>
      <c r="EO82" s="109">
        <f t="shared" si="51"/>
        <v>39.659999999999997</v>
      </c>
      <c r="EP82" s="110">
        <f>IF($B82="","",EP81-EN82)</f>
        <v>1372.44</v>
      </c>
      <c r="ER82" s="108">
        <f t="shared" si="52"/>
        <v>0</v>
      </c>
      <c r="ES82" s="109">
        <f t="shared" ref="ES82:ES145" si="127">IF($B82="","",ER82-ET82)</f>
        <v>0</v>
      </c>
      <c r="ET82" s="109">
        <f t="shared" si="53"/>
        <v>0</v>
      </c>
      <c r="EU82" s="110">
        <f t="shared" ref="EU82:EU108" si="128">IF($B82="","",EU81-ES82)</f>
        <v>9.9999999996924771E-3</v>
      </c>
      <c r="EW82" s="108">
        <f t="shared" ref="EW82:EW145" si="129">IF($B82="","",IF(OR($F$10="ანუიტეტური",$F$10="სამომხმარებლო"),EW81,IF(AND($F$10="საშეღავათო",$B82&lt;=$G$12),EX82+EY82,IF(AND($F$10="საშეღავათო",$B82&gt;$G$12),EM82+ER82,IF(AND($F$10="ნულოვანი საშეღავათო",$B82&lt;=$G$12),EX82+EY82,IF(AND($F$10="ნულოვანი საშეღავათო",$B82&gt;$G$12,DA82&gt;ROUND(-PMT($H$22/$I$20,$H$20-$G$12,$CY$80),2)),DA82,EM82+ER82))))))</f>
        <v>107.70000000000002</v>
      </c>
      <c r="EX82" s="109">
        <f t="shared" ref="EX82:EX145" si="130">IF($B82="","",IF(OR($F$10="ანუიტეტური",$F$10="სამომხმარებლო"),EW82-EY82,IF(AND($F$10="საშეღავათო",$B82&gt;$G$12),EW82-EY82,IF(AND($F$10="საშეღავათო",$B82&lt;=$G$12),0,IF(AND($F$10="ნულოვანი საშეღავათო",$B82&gt;$G$12),EW82-EY82,IF(AND($F$10="ნულოვანი საშეღავათო",$B82&lt;=$G$12),0))))))</f>
        <v>68.04000000000002</v>
      </c>
      <c r="EY82" s="109">
        <f t="shared" si="54"/>
        <v>39.659999999999997</v>
      </c>
      <c r="EZ82" s="110">
        <f>IF($B82="","",EZ81-EX82)</f>
        <v>1372.44</v>
      </c>
      <c r="FB82" s="108">
        <f t="shared" si="55"/>
        <v>0</v>
      </c>
      <c r="FC82" s="109">
        <f t="shared" ref="FC82:FC145" si="131">IF($B82="","",FB82-FD82)</f>
        <v>0</v>
      </c>
      <c r="FD82" s="109">
        <f t="shared" si="56"/>
        <v>0</v>
      </c>
      <c r="FE82" s="110">
        <f t="shared" ref="FE82:FE108" si="132">IF($B82="","",FE81-FC82)</f>
        <v>9.9999999996924771E-3</v>
      </c>
      <c r="FG82" s="108">
        <f t="shared" ref="FG82:FG145" si="133">IF($B82="","",IF(OR($F$10="ანუიტეტური",$F$10="სამომხმარებლო"),FG81,IF(AND($F$10="საშეღავათო",$B82&lt;=$G$12),FH82+FI82,IF(AND($F$10="საშეღავათო",$B82&gt;$G$12),EW82+FB82,IF(AND($F$10="ნულოვანი საშეღავათო",$B82&lt;=$G$12),FH82+FI82,IF(AND($F$10="ნულოვანი საშეღავათო",$B82&gt;$G$12,DA82&gt;ROUND(-PMT($H$22/$I$20,$H$20-$G$12,$CY$80),2)),DA82,EW82+FB82))))))</f>
        <v>107.70000000000002</v>
      </c>
      <c r="FH82" s="109">
        <f t="shared" ref="FH82:FH145" si="134">IF($B82="","",IF(OR($F$10="ანუიტეტური",$F$10="სამომხმარებლო"),FG82-FI82,IF(AND($F$10="საშეღავათო",$B82&gt;$G$12),FG82-FI82,IF(AND($F$10="საშეღავათო",$B82&lt;=$G$12),0,IF(AND($F$10="ნულოვანი საშეღავათო",$B82&gt;$G$12),FG82-FI82,IF(AND($F$10="ნულოვანი საშეღავათო",$B82&lt;=$G$12),0))))))</f>
        <v>68.04000000000002</v>
      </c>
      <c r="FI82" s="109">
        <f t="shared" si="57"/>
        <v>39.659999999999997</v>
      </c>
      <c r="FJ82" s="110">
        <f>IF($B82="","",FJ81-FH82)</f>
        <v>1372.44</v>
      </c>
      <c r="FL82" s="108">
        <f t="shared" si="58"/>
        <v>0</v>
      </c>
      <c r="FM82" s="109">
        <f t="shared" ref="FM82:FM145" si="135">IF($B82="","",FL82-FN82)</f>
        <v>0</v>
      </c>
      <c r="FN82" s="109">
        <f t="shared" si="59"/>
        <v>0</v>
      </c>
      <c r="FO82" s="110">
        <f t="shared" ref="FO82:FO108" si="136">IF($B82="","",FO81-FM82)</f>
        <v>9.9999999996924771E-3</v>
      </c>
      <c r="FQ82" s="108">
        <f t="shared" ref="FQ82:FQ145" si="137">IF($B82="","",IF(OR($F$10="ანუიტეტური",$F$10="სამომხმარებლო"),FQ81,IF(AND($F$10="საშეღავათო",$B82&lt;=$G$12),FR82+FS82,IF(AND($F$10="საშეღავათო",$B82&gt;$G$12),FG82+FL82,IF(AND($F$10="ნულოვანი საშეღავათო",$B82&lt;=$G$12),FR82+FS82,IF(AND($F$10="ნულოვანი საშეღავათო",$B82&gt;$G$12,DA82&gt;ROUND(-PMT($H$22/$I$20,$H$20-$G$12,$CY$80),2)),DA82,FG82+FL82))))))</f>
        <v>107.70000000000002</v>
      </c>
      <c r="FR82" s="109">
        <f t="shared" ref="FR82:FR145" si="138">IF($B82="","",IF(OR($F$10="ანუიტეტური",$F$10="სამომხმარებლო"),FQ82-FS82,IF(AND($F$10="საშეღავათო",$B82&gt;$G$12),FQ82-FS82,IF(AND($F$10="საშეღავათო",$B82&lt;=$G$12),0,IF(AND($F$10="ნულოვანი საშეღავათო",$B82&gt;$G$12),FQ82-FS82,IF(AND($F$10="ნულოვანი საშეღავათო",$B82&lt;=$G$12),0))))))</f>
        <v>68.04000000000002</v>
      </c>
      <c r="FS82" s="109">
        <f t="shared" si="60"/>
        <v>39.659999999999997</v>
      </c>
      <c r="FT82" s="110">
        <f>IF($B82="","",FT81-FR82)</f>
        <v>1372.44</v>
      </c>
      <c r="FV82" s="108">
        <f t="shared" si="61"/>
        <v>0</v>
      </c>
      <c r="FW82" s="109">
        <f t="shared" ref="FW82:FW145" si="139">IF($B82="","",FV82-FX82)</f>
        <v>0</v>
      </c>
      <c r="FX82" s="109">
        <f t="shared" si="62"/>
        <v>0</v>
      </c>
      <c r="FY82" s="110">
        <f t="shared" ref="FY82:FY108" si="140">IF($B82="","",FY81-FW82)</f>
        <v>9.9999999996924771E-3</v>
      </c>
      <c r="GA82" s="108">
        <f t="shared" ref="GA82:GA145" si="141">IF($B82="","",IF(OR($F$10="ანუიტეტური",$F$10="სამომხმარებლო"),GA81,IF(AND($F$10="საშეღავათო",$B82&lt;=$G$12),GB82+GC82,IF(AND($F$10="საშეღავათო",$B82&gt;$G$12),FQ82+FV82,IF(AND($F$10="ნულოვანი საშეღავათო",$B82&lt;=$G$12),GB82+GC82,IF(AND($F$10="ნულოვანი საშეღავათო",$B82&gt;$G$12,DA82&gt;ROUND(-PMT($H$22/$I$20,$H$20-$G$12,$CY$80),2)),DA82,FQ82+FV82))))))</f>
        <v>107.70000000000002</v>
      </c>
      <c r="GB82" s="109">
        <f t="shared" ref="GB82:GB145" si="142">IF($B82="","",IF(OR($F$10="ანუიტეტური",$F$10="სამომხმარებლო"),GA82-GC82,IF(AND($F$10="საშეღავათო",$B82&gt;$G$12),GA82-GC82,IF(AND($F$10="საშეღავათო",$B82&lt;=$G$12),0,IF(AND($F$10="ნულოვანი საშეღავათო",$B82&gt;$G$12),GA82-GC82,IF(AND($F$10="ნულოვანი საშეღავათო",$B82&lt;=$G$12),0))))))</f>
        <v>68.04000000000002</v>
      </c>
      <c r="GC82" s="109">
        <f t="shared" si="63"/>
        <v>39.659999999999997</v>
      </c>
      <c r="GD82" s="110">
        <f>IF($B82="","",GD81-GB82)</f>
        <v>1372.44</v>
      </c>
      <c r="GF82" s="108">
        <f t="shared" si="64"/>
        <v>0</v>
      </c>
      <c r="GG82" s="109">
        <f t="shared" ref="GG82:GG145" si="143">IF($B82="","",GF82-GH82)</f>
        <v>0</v>
      </c>
      <c r="GH82" s="109">
        <f t="shared" si="65"/>
        <v>0</v>
      </c>
      <c r="GI82" s="110">
        <f t="shared" ref="GI82:GI108" si="144">IF($B82="","",GI81-GG82)</f>
        <v>9.9999999996924771E-3</v>
      </c>
      <c r="GK82" s="108">
        <f t="shared" ref="GK82:GK145" si="145">IF($B82="","",IF($B82=$H$20,GL82+GM82,IF(OR($F$10="ანუიტეტური",$F$10="სამომხმარებლო"),GK81,IF(AND($F$10="საშეღავათო",$B82&lt;=$G$12),GL82+GM82,IF(AND($F$10="საშეღავათო",$B82&gt;$G$12),GA82+GF82,IF(AND($F$10="ნულოვანი საშეღავათო",$B82&lt;=$G$12),GL82+GM82,IF(AND($F$10="ნულოვანი საშეღავათო",$B82&gt;$G$12,DA82&gt;ROUND(-PMT($H$22/$I$20,$H$20-$G$12,$CY$80),2)),DA82,GA82+GF82)))))))</f>
        <v>107.70000000000002</v>
      </c>
      <c r="GL82" s="109">
        <f t="shared" ref="GL82:GL145" si="146">IF($B82="","",IF($B82=$H$20,GN81,IF(OR($F$10="ანუიტეტური",$F$10="სამომხმარებლო"),GK82-GM82,IF(AND($F$10="საშეღავათო",$B82&gt;$G$12),GK82-GM82,IF(AND($F$10="საშეღავათო",$B82&lt;=$G$12),0,IF(AND($F$10="ნულოვანი საშეღავათო",$B82&gt;$G$12),GK82-GM82,IF(AND($F$10="ნულოვანი საშეღავათო",$B82&lt;=$G$12),0)))))))</f>
        <v>68.04000000000002</v>
      </c>
      <c r="GM82" s="109">
        <f t="shared" ref="GM82:GM145" si="147">IF($B82="","",IF(OR($F$10="ანუიტეტური",$F$10="სამომხმარებლო"),ROUND($H$22/$I$22*($C82-$C81)*GN81,2),IF($F$10="საშეღავათო",ROUND($H$22/$I$22*($C82-$C81)*GN81,2),IF(AND($F$10="ნულოვანი საშეღავათო",$B82&lt;=$G$12),0,IF(AND($F$10="ნულოვანი საშეღავათო",$B82=$G$12+1),ROUND($H$22/$I$22*($C82-$C$80)*GN81,2),IF(AND($F$10="ნულოვანი საშეღავათო",$B82&gt;$G$12),ROUND($H$22/$I$22*($C82-$C81)*GN81,2)))))))</f>
        <v>39.659999999999997</v>
      </c>
      <c r="GN82" s="110">
        <f>IF($B82="","",GN81-GL82)</f>
        <v>1372.44</v>
      </c>
      <c r="GR82" s="108">
        <f t="shared" si="66"/>
        <v>960.17</v>
      </c>
      <c r="GS82" s="109">
        <f t="shared" si="67"/>
        <v>960.17</v>
      </c>
      <c r="GT82" s="109">
        <f t="shared" si="68"/>
        <v>0</v>
      </c>
      <c r="GU82" s="110">
        <f t="shared" si="69"/>
        <v>8079.66</v>
      </c>
      <c r="GV82" s="51"/>
      <c r="GW82" s="108">
        <f t="shared" si="70"/>
        <v>0</v>
      </c>
      <c r="GX82" s="109">
        <f t="shared" ref="GX82:GX145" si="148">IF($K82="","",GW82-GY82)</f>
        <v>0</v>
      </c>
      <c r="GY82" s="109">
        <f t="shared" si="71"/>
        <v>0</v>
      </c>
      <c r="GZ82" s="110">
        <f t="shared" si="72"/>
        <v>0</v>
      </c>
      <c r="HA82" s="51"/>
      <c r="HB82" s="108">
        <f t="shared" ref="HB82:HB145" si="149">IF($K82="","",IF(OR($O$28="ანუიტეტური",$O$28="სამომხმარებლო"),HB81,IF(AND($O$28="საშეღავათო",$K82&lt;=$Q$30),HC82+HD82,IF(AND($O$28="საშეღავათო",$K82&gt;$Q$30),GR82+GW82,IF(AND($O$28="ნულოვანი საშეღავათო",$K82&lt;=$Q$30),HC82+HD82,IF(AND($O$28="ნულოვანი საშეღავათო",$K82&gt;$Q$30,GT82&gt;ROUND(-PMT($P$34/$I$20,$R$32-$Q$30,$GR$80),2)),GT82,GR82+GW82))))))</f>
        <v>960.17</v>
      </c>
      <c r="HC82" s="109">
        <f t="shared" ref="HC82:HC145" si="150">IF($K82="","",IF(OR($O$28="ანუიტეტური",$O$28="სამომხმარებლო"),HB82-HD82,IF(AND($O$28="საშეღავათო",$K82&gt;$Q$30),HB82-HD82,IF(AND($O$28="საშეღავათო",$K82&lt;=$Q$30),0,IF(AND($O$28="ნულოვანი საშეღავათო",$K82&gt;$Q$30),HB82-HD82,IF(AND($O$28="ნულოვანი საშეღავათო",$K82&lt;=$Q$30),0))))))</f>
        <v>960.17</v>
      </c>
      <c r="HD82" s="109">
        <f t="shared" si="73"/>
        <v>0</v>
      </c>
      <c r="HE82" s="110">
        <f t="shared" ref="HE82:HE145" si="151">IF($K82="","",HE81-HC82)</f>
        <v>8079.66</v>
      </c>
      <c r="HF82" s="51"/>
      <c r="HG82" s="108">
        <f t="shared" si="74"/>
        <v>0</v>
      </c>
      <c r="HH82" s="109">
        <f t="shared" ref="HH82:HH145" si="152">IF($K82="","",HG82-HI82)</f>
        <v>0</v>
      </c>
      <c r="HI82" s="109">
        <f t="shared" si="75"/>
        <v>0</v>
      </c>
      <c r="HJ82" s="110">
        <f>IF($K82="","",HJ81-HH82)</f>
        <v>0</v>
      </c>
      <c r="HK82" s="51"/>
      <c r="HL82" s="108">
        <f t="shared" ref="HL82:HL145" si="153">IF($K82="","",IF(OR($O$28="ანუიტეტური",$O$28="სამომხმარებლო"),HL81,IF(AND($O$28="საშეღავათო",$K82&lt;=$Q$30),HM82+HN82,IF(AND($O$28="საშეღავათო",$K82&gt;$Q$30),HB82+HG82,IF(AND($O$28="ნულოვანი საშეღავათო",$K82&lt;=$Q$30),HM82+HN82,IF(AND($O$28="ნულოვანი საშეღავათო",$K82&gt;$Q$30,HD82&gt;ROUND(-PMT($P$34/$I$20,$R$32-$Q$30,$GR$80),2)),HD82,HB82+HG82))))))</f>
        <v>960.17</v>
      </c>
      <c r="HM82" s="109">
        <f t="shared" ref="HM82:HM145" si="154">IF($K82="","",IF(OR($O$28="ანუიტეტური",$O$28="სამომხმარებლო"),HL82-HN82,IF(AND($O$28="საშეღავათო",$K82&gt;$Q$30),HL82-HN82,IF(AND($O$28="საშეღავათო",$K82&lt;=$Q$30),0,IF(AND($O$28="ნულოვანი საშეღავათო",$K82&gt;$Q$30),HL82-HN82,IF(AND($O$28="ნულოვანი საშეღავათო",$K82&lt;=$Q$30),0))))))</f>
        <v>960.17</v>
      </c>
      <c r="HN82" s="109">
        <f t="shared" si="76"/>
        <v>0</v>
      </c>
      <c r="HO82" s="110">
        <f t="shared" ref="HO82:HO145" si="155">IF($K82="","",HO81-HM82)</f>
        <v>8079.66</v>
      </c>
      <c r="HP82" s="51"/>
      <c r="HQ82" s="108">
        <f t="shared" si="77"/>
        <v>0</v>
      </c>
      <c r="HR82" s="109">
        <f t="shared" ref="HR82:HR145" si="156">IF($K82="","",HQ82-HS82)</f>
        <v>0</v>
      </c>
      <c r="HS82" s="109">
        <f t="shared" si="78"/>
        <v>0</v>
      </c>
      <c r="HT82" s="110">
        <f>IF($K82="","",HT81-HR82)</f>
        <v>0</v>
      </c>
      <c r="HU82" s="51"/>
      <c r="HV82" s="108">
        <f t="shared" ref="HV82:HV145" si="157">IF($K82="","",IF(OR($O$28="ანუიტეტური",$O$28="სამომხმარებლო"),HV81,IF(AND($O$28="საშეღავათო",$K82&lt;=$Q$30),HW82+HX82,IF(AND($O$28="საშეღავათო",$K82&gt;$Q$30),HL82+HQ82,IF(AND($O$28="ნულოვანი საშეღავათო",$K82&lt;=$Q$30),HW82+HX82,IF(AND($O$28="ნულოვანი საშეღავათო",$K82&gt;$Q$30,HN82&gt;ROUND(-PMT($P$34/$I$20,$R$32-$Q$30,$GR$80),2)),HN82,HL82+HQ82))))))</f>
        <v>960.17</v>
      </c>
      <c r="HW82" s="109">
        <f t="shared" ref="HW82:HW145" si="158">IF($K82="","",IF(OR($O$28="ანუიტეტური",$O$28="სამომხმარებლო"),HV82-HX82,IF(AND($O$28="საშეღავათო",$K82&gt;$Q$30),HV82-HX82,IF(AND($O$28="საშეღავათო",$K82&lt;=$Q$30),0,IF(AND($O$28="ნულოვანი საშეღავათო",$K82&gt;$Q$30),HV82-HX82,IF(AND($O$28="ნულოვანი საშეღავათო",$K82&lt;=$Q$30),0))))))</f>
        <v>960.17</v>
      </c>
      <c r="HX82" s="109">
        <f t="shared" si="79"/>
        <v>0</v>
      </c>
      <c r="HY82" s="110">
        <f t="shared" ref="HY82:HY145" si="159">IF($K82="","",HY81-HW82)</f>
        <v>8079.66</v>
      </c>
      <c r="HZ82" s="51"/>
      <c r="IA82" s="108">
        <f t="shared" si="80"/>
        <v>0</v>
      </c>
      <c r="IB82" s="109">
        <f t="shared" ref="IB82:IB145" si="160">IF($K82="","",IA82-IC82)</f>
        <v>0</v>
      </c>
      <c r="IC82" s="109">
        <f t="shared" si="81"/>
        <v>0</v>
      </c>
      <c r="ID82" s="110">
        <f>IF($K82="","",ID81-IB82)</f>
        <v>0</v>
      </c>
      <c r="IE82" s="51"/>
      <c r="IF82" s="108">
        <f t="shared" ref="IF82:IF145" si="161">IF($K82="","",IF(OR($O$28="ანუიტეტური",$O$28="სამომხმარებლო"),IF81,IF(AND($O$28="საშეღავათო",$K82&lt;=$Q$30),IG82+IH82,IF(AND($O$28="საშეღავათო",$K82&gt;$Q$30),HV82+IA82,IF(AND($O$28="ნულოვანი საშეღავათო",$K82&lt;=$Q$30),IG82+IH82,IF(AND($O$28="ნულოვანი საშეღავათო",$K82&gt;$Q$30,HX82&gt;ROUND(-PMT($P$34/$I$20,$R$32-$Q$30,$GR$80),2)),HX82,HV82+IA82))))))</f>
        <v>960.17</v>
      </c>
      <c r="IG82" s="109">
        <f t="shared" ref="IG82:IG145" si="162">IF($K82="","",IF(OR($O$28="ანუიტეტური",$O$28="სამომხმარებლო"),IF82-IH82,IF(AND($O$28="საშეღავათო",$K82&gt;$Q$30),IF82-IH82,IF(AND($O$28="საშეღავათო",$K82&lt;=$Q$30),0,IF(AND($O$28="ნულოვანი საშეღავათო",$K82&gt;$Q$30),IF82-IH82,IF(AND($O$28="ნულოვანი საშეღავათო",$K82&lt;=$Q$30),0))))))</f>
        <v>960.17</v>
      </c>
      <c r="IH82" s="109">
        <f t="shared" si="82"/>
        <v>0</v>
      </c>
      <c r="II82" s="110">
        <f t="shared" ref="II82:II145" si="163">IF($K82="","",II81-IG82)</f>
        <v>8079.66</v>
      </c>
      <c r="IJ82" s="51"/>
      <c r="IK82" s="108">
        <f t="shared" si="83"/>
        <v>0</v>
      </c>
      <c r="IL82" s="109">
        <f t="shared" ref="IL82:IL145" si="164">IF($K82="","",IK82-IM82)</f>
        <v>0</v>
      </c>
      <c r="IM82" s="109">
        <f t="shared" si="84"/>
        <v>0</v>
      </c>
      <c r="IN82" s="110">
        <f>IF($K82="","",IN81-IL82)</f>
        <v>0</v>
      </c>
      <c r="IO82" s="51"/>
      <c r="IP82" s="108">
        <f t="shared" ref="IP82:IP145" si="165">IF($K82="","",IF(OR($O$28="ანუიტეტური",$O$28="სამომხმარებლო"),IP81,IF(AND($O$28="საშეღავათო",$K82&lt;=$Q$30),IQ82+IR82,IF(AND($O$28="საშეღავათო",$K82&gt;$Q$30),IF82+IK82,IF(AND($O$28="ნულოვანი საშეღავათო",$K82&lt;=$Q$30),IQ82+IR82,IF(AND($O$28="ნულოვანი საშეღავათო",$K82&gt;$Q$30,IH82&gt;ROUND(-PMT($P$34/$I$20,$R$32-$Q$30,$GR$80),2)),IH82,IF82+IK82))))))</f>
        <v>960.17</v>
      </c>
      <c r="IQ82" s="109">
        <f t="shared" ref="IQ82:IQ145" si="166">IF($K82="","",IF(OR($O$28="ანუიტეტური",$O$28="სამომხმარებლო"),IP82-IR82,IF(AND($O$28="საშეღავათო",$K82&gt;$Q$30),IP82-IR82,IF(AND($O$28="საშეღავათო",$K82&lt;=$Q$30),0,IF(AND($O$28="ნულოვანი საშეღავათო",$K82&gt;$Q$30),IP82-IR82,IF(AND($O$28="ნულოვანი საშეღავათო",$K82&lt;=$Q$30),0))))))</f>
        <v>960.17</v>
      </c>
      <c r="IR82" s="109">
        <f t="shared" si="85"/>
        <v>0</v>
      </c>
      <c r="IS82" s="110">
        <f t="shared" ref="IS82:IS145" si="167">IF($K82="","",IS81-IQ82)</f>
        <v>8079.66</v>
      </c>
      <c r="IT82" s="51"/>
      <c r="IU82" s="108">
        <f t="shared" si="86"/>
        <v>0</v>
      </c>
      <c r="IV82" s="109">
        <f t="shared" ref="IV82:IV145" si="168">IF($K82="","",IU82-IW82)</f>
        <v>0</v>
      </c>
      <c r="IW82" s="109">
        <f t="shared" si="87"/>
        <v>0</v>
      </c>
      <c r="IX82" s="110">
        <f>IF($K82="","",IX81-IV82)</f>
        <v>0</v>
      </c>
      <c r="IY82" s="51"/>
      <c r="IZ82" s="108">
        <f t="shared" ref="IZ82:IZ145" si="169">IF($K82="","",IF(OR($O$28="ანუიტეტური",$O$28="სამომხმარებლო"),IZ81,IF(AND($O$28="საშეღავათო",$K82&lt;=$Q$30),JA82+JB82,IF(AND($O$28="საშეღავათო",$K82&gt;$Q$30),IP82+IU82,IF(AND($O$28="ნულოვანი საშეღავათო",$K82&lt;=$Q$30),JA82+JB82,IF(AND($O$28="ნულოვანი საშეღავათო",$K82&gt;$Q$30,IR82&gt;ROUND(-PMT($P$34/$I$20,$R$32-$Q$30,$GR$80),2)),IR82,IP82+IU82))))))</f>
        <v>960.17</v>
      </c>
      <c r="JA82" s="109">
        <f t="shared" ref="JA82:JA145" si="170">IF($K82="","",IF(OR($O$28="ანუიტეტური",$O$28="სამომხმარებლო"),IZ82-JB82,IF(AND($O$28="საშეღავათო",$K82&gt;$Q$30),IZ82-JB82,IF(AND($O$28="საშეღავათო",$K82&lt;=$Q$30),0,IF(AND($O$28="ნულოვანი საშეღავათო",$K82&gt;$Q$30),IZ82-JB82,IF(AND($O$28="ნულოვანი საშეღავათო",$K82&lt;=$Q$30),0))))))</f>
        <v>960.17</v>
      </c>
      <c r="JB82" s="109">
        <f t="shared" si="88"/>
        <v>0</v>
      </c>
      <c r="JC82" s="110">
        <f t="shared" ref="JC82:JC145" si="171">IF($K82="","",JC81-JA82)</f>
        <v>8079.66</v>
      </c>
      <c r="JD82" s="51"/>
      <c r="JE82" s="108">
        <f t="shared" si="89"/>
        <v>0</v>
      </c>
      <c r="JF82" s="109">
        <f t="shared" ref="JF82:JF145" si="172">IF($K82="","",JE82-JG82)</f>
        <v>0</v>
      </c>
      <c r="JG82" s="109">
        <f t="shared" si="90"/>
        <v>0</v>
      </c>
      <c r="JH82" s="110">
        <f>IF($K82="","",JH81-JF82)</f>
        <v>0</v>
      </c>
      <c r="JI82" s="51"/>
      <c r="JJ82" s="108">
        <f t="shared" ref="JJ82:JJ145" si="173">IF($K82="","",IF(OR($O$28="ანუიტეტური",$O$28="სამომხმარებლო"),JJ81,IF(AND($O$28="საშეღავათო",$K82&lt;=$Q$30),JK82+JL82,IF(AND($O$28="საშეღავათო",$K82&gt;$Q$30),IZ82+JE82,IF(AND($O$28="ნულოვანი საშეღავათო",$K82&lt;=$Q$30),JK82+JL82,IF(AND($O$28="ნულოვანი საშეღავათო",$K82&gt;$Q$30,JB82&gt;ROUND(-PMT($P$34/$I$20,$R$32-$Q$30,$GR$80),2)),JB82,IZ82+JE82))))))</f>
        <v>960.17</v>
      </c>
      <c r="JK82" s="109">
        <f t="shared" ref="JK82:JK145" si="174">IF($K82="","",IF(OR($O$28="ანუიტეტური",$O$28="სამომხმარებლო"),JJ82-JL82,IF(AND($O$28="საშეღავათო",$K82&gt;$Q$30),JJ82-JL82,IF(AND($O$28="საშეღავათო",$K82&lt;=$Q$30),0,IF(AND($O$28="ნულოვანი საშეღავათო",$K82&gt;$Q$30),JJ82-JL82,IF(AND($O$28="ნულოვანი საშეღავათო",$K82&lt;=$Q$30),0))))))</f>
        <v>960.17</v>
      </c>
      <c r="JL82" s="109">
        <f t="shared" si="91"/>
        <v>0</v>
      </c>
      <c r="JM82" s="110">
        <f t="shared" ref="JM82:JM145" si="175">IF($K82="","",JM81-JK82)</f>
        <v>8079.66</v>
      </c>
      <c r="JN82" s="51"/>
      <c r="JO82" s="108">
        <f t="shared" si="92"/>
        <v>0</v>
      </c>
      <c r="JP82" s="109">
        <f t="shared" ref="JP82:JP145" si="176">IF($K82="","",JO82-JQ82)</f>
        <v>0</v>
      </c>
      <c r="JQ82" s="109">
        <f t="shared" si="93"/>
        <v>0</v>
      </c>
      <c r="JR82" s="110">
        <f>IF($K82="","",JR81-JP82)</f>
        <v>0</v>
      </c>
      <c r="JS82" s="51"/>
      <c r="JT82" s="108">
        <f t="shared" ref="JT82:JT145" si="177">IF($K82="","",IF(OR($O$28="ანუიტეტური",$O$28="სამომხმარებლო"),JT81,IF(AND($O$28="საშეღავათო",$K82&lt;=$Q$30),JU82+JV82,IF(AND($O$28="საშეღავათო",$K82&gt;$Q$30),JJ82+JO82,IF(AND($O$28="ნულოვანი საშეღავათო",$K82&lt;=$Q$30),JU82+JV82,IF(AND($O$28="ნულოვანი საშეღავათო",$K82&gt;$Q$30,JL82&gt;ROUND(-PMT($P$34/$I$20,$R$32-$Q$30,$GR$80),2)),JL82,JJ82+JO82))))))</f>
        <v>960.17</v>
      </c>
      <c r="JU82" s="109">
        <f t="shared" ref="JU82:JU145" si="178">IF($K82="","",IF(OR($O$28="ანუიტეტური",$O$28="სამომხმარებლო"),JT82-JV82,IF(AND($O$28="საშეღავათო",$K82&gt;$Q$30),JT82-JV82,IF(AND($O$28="საშეღავათო",$K82&lt;=$Q$30),0,IF(AND($O$28="ნულოვანი საშეღავათო",$K82&gt;$Q$30),JT82-JV82,IF(AND($O$28="ნულოვანი საშეღავათო",$K82&lt;=$Q$30),0))))))</f>
        <v>960.17</v>
      </c>
      <c r="JV82" s="109">
        <f t="shared" si="94"/>
        <v>0</v>
      </c>
      <c r="JW82" s="110">
        <f t="shared" ref="JW82:JW145" si="179">IF($K82="","",JW81-JU82)</f>
        <v>8079.66</v>
      </c>
      <c r="JX82" s="51"/>
      <c r="JY82" s="108">
        <f t="shared" si="95"/>
        <v>0</v>
      </c>
      <c r="JZ82" s="109">
        <f t="shared" ref="JZ82:JZ145" si="180">IF($K82="","",JY82-KA82)</f>
        <v>0</v>
      </c>
      <c r="KA82" s="109">
        <f t="shared" si="96"/>
        <v>0</v>
      </c>
      <c r="KB82" s="110">
        <f>IF($K82="","",KB81-JZ82)</f>
        <v>0</v>
      </c>
      <c r="KC82" s="51"/>
      <c r="KD82" s="108">
        <f t="shared" ref="KD82:KD145" si="181">IF($K82="","",IF($K82=$R$32,KE82+KF82,IF(OR($O$28="ანუიტეტური",$O$28="სამომხმარებლო"),KD81,IF(AND($O$28="საშეღავათო",$K82&lt;=$Q$30),KE82+KF82,IF(AND($O$28="საშეღავათო",$K82&gt;$Q$30),JT82+JY82,IF(AND($O$28="ნულოვანი საშეღავათო",$K82&lt;=$Q$30),KE82+KF82,IF(AND($O$28="ნულოვანი საშეღავათო",$K82&gt;$Q$30,GT82&gt;ROUND(-PMT($P$34/$I$20,$R$32-$Q$30,$CY$80),2)),GT82,JT82+JY82)))))))</f>
        <v>960.17</v>
      </c>
      <c r="KE82" s="109">
        <f t="shared" ref="KE82:KE145" si="182">IF($K82="","",IF($K82=$R$32,KG81,IF(OR($O$28="ანუიტეტური",$O$28="სამომხმარებლო"),KD82-KF82,IF(AND($O$28="საშეღავათო",$K82&gt;$Q$30),KD82-KF82,IF(AND($O$28="საშეღავათო",$K82&lt;=$Q$30),0,IF(AND($O$28="ნულოვანი საშეღავათო",$K82&gt;$Q$30),KD82-KF82,IF(AND($O$28="ნულოვანი საშეღავათო",$K82&lt;=$Q$30),0)))))))</f>
        <v>960.17</v>
      </c>
      <c r="KF82" s="109">
        <f t="shared" si="97"/>
        <v>0</v>
      </c>
      <c r="KG82" s="110">
        <f t="shared" si="98"/>
        <v>8079.66</v>
      </c>
    </row>
    <row r="83" spans="1:293" ht="12" customHeight="1">
      <c r="A83" s="105">
        <f t="array" ref="A83">MAX(IF($J$80:J82&gt;0,$C$80:C82,0))</f>
        <v>43535</v>
      </c>
      <c r="B83" s="81">
        <f t="shared" si="4"/>
        <v>3</v>
      </c>
      <c r="C83" s="82">
        <f t="shared" si="5"/>
        <v>43633</v>
      </c>
      <c r="D83" s="83">
        <f t="shared" si="6"/>
        <v>108.44000000000001</v>
      </c>
      <c r="E83" s="83">
        <f t="shared" si="99"/>
        <v>0.74</v>
      </c>
      <c r="F83" s="83">
        <f t="shared" si="7"/>
        <v>66.130000000000024</v>
      </c>
      <c r="G83" s="83">
        <f t="shared" si="8"/>
        <v>41.57</v>
      </c>
      <c r="H83" s="83">
        <f t="shared" si="9"/>
        <v>1306.31</v>
      </c>
      <c r="I83" s="105">
        <f t="array" ref="I83">MAX(IF($R$80:R82&gt;0,$L$80:L82,0))</f>
        <v>0</v>
      </c>
      <c r="J83" s="106"/>
      <c r="K83" s="69">
        <f t="shared" si="10"/>
        <v>3</v>
      </c>
      <c r="L83" s="82">
        <f t="shared" ref="L83:L146" si="183">IFERROR(IF(K83="",0,IF(OR($F$52="ფიქსირებული",AND($F$52="თვის ბოლო",K83=$R$32)),IF(OR(WEEKDAY(EDATE(DATE($F$50,$G$50,$H$52),K83-$K$82),2)=6,WEEKDAY(EDATE(DATE($F$50,$G$50,$H$52),K83-$K$82),2)=7,IF(EDATE(DATE($F$50,$G$50,$H$52),K83-$K$82)=IFERROR(VLOOKUP(EDATE(DATE($F$50,$G$50,$H$52),K83-$K$82),$BK$80:$BK$624,1,FALSE),0),1,0)=1),WORKDAY(EDATE(DATE($F$50,$G$50,$H$52),K83-$K$82),1,$BK$80:$BK$624),EDATE(DATE($F$50,$G$50,$H$52),K83-$K$82)),IF(OR(WEEKDAY(EOMONTH(DATE($F$46,$G$46,$H$46),K83),2)=6,WEEKDAY(EOMONTH(DATE($F$46,$G$46,$H$46),K83),2)=7,IF(EOMONTH(DATE($F$46,$G$46,$H$46),K83)=IFERROR(VLOOKUP(EOMONTH(DATE($F$46,$G$46,$H$46),K83),$BK$80:$BK$624,1,FALSE),0),1,0)=1),WORKDAY(EOMONTH(DATE($F$46,$G$46,$H$46),K83),1,$BK$80:$BK$624),EOMONTH(DATE($F$46,$G$46,$H$46),K83)))),0)</f>
        <v>0</v>
      </c>
      <c r="M83" s="83">
        <f t="shared" si="11"/>
        <v>960.17</v>
      </c>
      <c r="N83" s="83">
        <f t="shared" si="12"/>
        <v>0</v>
      </c>
      <c r="O83" s="83" t="str">
        <f t="shared" si="13"/>
        <v/>
      </c>
      <c r="P83" s="83">
        <f t="shared" si="14"/>
        <v>0</v>
      </c>
      <c r="Q83" s="83">
        <f t="shared" si="15"/>
        <v>7119.49</v>
      </c>
      <c r="R83" s="106"/>
      <c r="S83" s="66"/>
      <c r="U83" s="85" t="e">
        <f t="shared" si="0"/>
        <v>#NUM!</v>
      </c>
      <c r="V83" s="86" t="e">
        <f t="shared" si="100"/>
        <v>#NUM!</v>
      </c>
      <c r="W83" s="87" t="e">
        <f t="shared" si="16"/>
        <v>#NUM!</v>
      </c>
      <c r="X83" s="87" t="e">
        <f t="shared" si="17"/>
        <v>#NUM!</v>
      </c>
      <c r="Y83" s="87" t="e">
        <f t="shared" si="18"/>
        <v>#NUM!</v>
      </c>
      <c r="Z83" s="88" t="e">
        <f t="shared" si="1"/>
        <v>#NUM!</v>
      </c>
      <c r="AB83" s="89">
        <f t="shared" si="101"/>
        <v>108.44000000000001</v>
      </c>
      <c r="AC83" s="87">
        <f t="shared" si="19"/>
        <v>112.97</v>
      </c>
      <c r="AD83" s="87" t="str">
        <f t="shared" si="20"/>
        <v/>
      </c>
      <c r="AE83" s="87" t="str">
        <f t="shared" si="21"/>
        <v/>
      </c>
      <c r="AF83" s="86">
        <f t="shared" si="102"/>
        <v>43627</v>
      </c>
      <c r="AG83" s="87">
        <f t="shared" si="2"/>
        <v>1.5</v>
      </c>
      <c r="AH83" s="87">
        <f t="shared" si="103"/>
        <v>0.74</v>
      </c>
      <c r="AI83" s="90"/>
      <c r="AJ83" s="87" t="e">
        <f t="shared" si="22"/>
        <v>#NUM!</v>
      </c>
      <c r="AK83" s="87" t="e">
        <f t="shared" si="104"/>
        <v>#NUM!</v>
      </c>
      <c r="AL83" s="87" t="e">
        <f t="shared" si="105"/>
        <v>#NUM!</v>
      </c>
      <c r="AM83" s="87" t="e">
        <f t="shared" si="106"/>
        <v>#NUM!</v>
      </c>
      <c r="AN83" s="86">
        <f t="shared" si="23"/>
        <v>0</v>
      </c>
      <c r="AO83" s="87">
        <f t="shared" si="24"/>
        <v>0</v>
      </c>
      <c r="AP83" s="88">
        <f t="shared" si="25"/>
        <v>0</v>
      </c>
      <c r="AQ83" s="51"/>
      <c r="AR83" s="91">
        <f t="shared" si="26"/>
        <v>108.44000000000001</v>
      </c>
      <c r="AS83" s="92">
        <f t="shared" si="27"/>
        <v>112.97</v>
      </c>
      <c r="AT83" s="87" t="str">
        <f t="shared" si="28"/>
        <v/>
      </c>
      <c r="AU83" s="87" t="str">
        <f t="shared" si="29"/>
        <v/>
      </c>
      <c r="AV83" s="86">
        <f t="shared" si="107"/>
        <v>43627</v>
      </c>
      <c r="AW83" s="87">
        <f t="shared" si="108"/>
        <v>1.5</v>
      </c>
      <c r="AX83" s="87">
        <f t="shared" si="109"/>
        <v>0.74</v>
      </c>
      <c r="AY83" s="93"/>
      <c r="AZ83" s="87">
        <f>IFERROR(IF(OR($F$46="",DATE($F$34,$G$34,$H$34)&lt;=DATE($F$46,$G$46,$H$46)),0,IF(M83&lt;&gt;"",IF($P$32="GEL",M83,M83*$Q$32),0)),0)</f>
        <v>0</v>
      </c>
      <c r="BA83" s="87">
        <f t="shared" si="110"/>
        <v>0</v>
      </c>
      <c r="BB83" s="87">
        <f t="shared" si="111"/>
        <v>0</v>
      </c>
      <c r="BC83" s="87">
        <f t="shared" ref="BC83:BC146" si="184">IFERROR(IF(OR($F$46="",DATE($F$34,$G$34,$H$34)&lt;=DATE($F$46,$G$46,$H$46)),0,IF(OR($O$28="ბიზნეს ოვერდრაფტი",$O$28="საკრედიტო ბარათი"),IF(M83&lt;&gt;"",(IF($P$32="GEL",M83,M83*$Q$32)*($BJ$81+(L83-$L$80)*$BJ$82)),0),"")),0)</f>
        <v>0</v>
      </c>
      <c r="BD83" s="86" t="e">
        <f t="shared" si="30"/>
        <v>#NUM!</v>
      </c>
      <c r="BE83" s="87" t="e">
        <f t="shared" si="3"/>
        <v>#NUM!</v>
      </c>
      <c r="BF83" s="88">
        <f t="shared" si="112"/>
        <v>0</v>
      </c>
      <c r="BH83" s="87" t="e">
        <f t="shared" si="31"/>
        <v>#NUM!</v>
      </c>
      <c r="BI83" s="51"/>
      <c r="BK83" s="95">
        <v>39510</v>
      </c>
      <c r="BL83" s="96">
        <v>4</v>
      </c>
      <c r="BM83" s="96">
        <v>4</v>
      </c>
      <c r="BP83" t="s">
        <v>267</v>
      </c>
      <c r="BT83">
        <v>0</v>
      </c>
      <c r="BU83">
        <v>999.99</v>
      </c>
      <c r="BV83" s="30" t="str">
        <f>CONCATENATE(BT83,"-",BU83)</f>
        <v>0-999.99</v>
      </c>
      <c r="BW83" s="30" t="s">
        <v>497</v>
      </c>
      <c r="BX83" s="30" t="s">
        <v>497</v>
      </c>
      <c r="BY83" s="30" t="s">
        <v>497</v>
      </c>
      <c r="BZ83" s="30" t="s">
        <v>497</v>
      </c>
      <c r="CA83" s="30" t="s">
        <v>497</v>
      </c>
      <c r="CB83" s="30" t="s">
        <v>497</v>
      </c>
      <c r="CC83" s="30" t="s">
        <v>497</v>
      </c>
      <c r="CD83" s="30" t="s">
        <v>497</v>
      </c>
      <c r="CE83" s="30" t="s">
        <v>497</v>
      </c>
      <c r="CF83" s="30" t="s">
        <v>497</v>
      </c>
      <c r="CG83" s="30" t="s">
        <v>497</v>
      </c>
      <c r="CI83" s="100" t="s">
        <v>268</v>
      </c>
      <c r="CJ83" s="51">
        <v>100</v>
      </c>
      <c r="CK83" s="51">
        <v>6000</v>
      </c>
      <c r="CL83" s="30">
        <v>0</v>
      </c>
      <c r="CM83" s="41"/>
      <c r="CO83" s="100" t="s">
        <v>183</v>
      </c>
      <c r="CP83" s="100"/>
      <c r="CQ83" s="30">
        <v>0</v>
      </c>
      <c r="CR83">
        <v>0</v>
      </c>
      <c r="CT83" s="101" t="s">
        <v>269</v>
      </c>
      <c r="CU83">
        <v>731</v>
      </c>
      <c r="CV83">
        <v>10000000</v>
      </c>
      <c r="CW83" s="30">
        <v>0.02</v>
      </c>
      <c r="CY83" s="108">
        <f t="shared" si="32"/>
        <v>107.15</v>
      </c>
      <c r="CZ83" s="109">
        <f t="shared" si="33"/>
        <v>65.550000000000011</v>
      </c>
      <c r="DA83" s="109">
        <f t="shared" si="34"/>
        <v>41.6</v>
      </c>
      <c r="DB83" s="110">
        <f t="shared" si="35"/>
        <v>1308.01</v>
      </c>
      <c r="DD83" s="108">
        <f t="shared" si="36"/>
        <v>0.9</v>
      </c>
      <c r="DE83" s="109">
        <f t="shared" si="114"/>
        <v>0.55000000000000004</v>
      </c>
      <c r="DF83" s="109">
        <f t="shared" si="37"/>
        <v>0.35</v>
      </c>
      <c r="DG83" s="110">
        <f t="shared" si="38"/>
        <v>11.040000000000061</v>
      </c>
      <c r="DI83" s="108">
        <f t="shared" si="115"/>
        <v>107.64000000000001</v>
      </c>
      <c r="DJ83" s="109">
        <f t="shared" si="116"/>
        <v>66.070000000000022</v>
      </c>
      <c r="DK83" s="109">
        <f t="shared" si="39"/>
        <v>41.57</v>
      </c>
      <c r="DL83" s="110">
        <f t="shared" si="40"/>
        <v>1306.49</v>
      </c>
      <c r="DN83" s="108">
        <f t="shared" si="41"/>
        <v>0.1</v>
      </c>
      <c r="DO83" s="109">
        <f t="shared" si="42"/>
        <v>6.0000000000000005E-2</v>
      </c>
      <c r="DP83" s="109">
        <f t="shared" si="43"/>
        <v>0.04</v>
      </c>
      <c r="DQ83" s="110">
        <f t="shared" si="44"/>
        <v>1.210000000000043</v>
      </c>
      <c r="DS83" s="108">
        <f t="shared" si="117"/>
        <v>107.70000000000002</v>
      </c>
      <c r="DT83" s="109">
        <f t="shared" si="118"/>
        <v>66.130000000000024</v>
      </c>
      <c r="DU83" s="109">
        <f t="shared" si="45"/>
        <v>41.57</v>
      </c>
      <c r="DV83" s="110">
        <f t="shared" ref="DV83:DV108" si="185">IF($B83="","",DV82-DT83)</f>
        <v>1306.31</v>
      </c>
      <c r="DX83" s="108">
        <f t="shared" si="46"/>
        <v>0</v>
      </c>
      <c r="DY83" s="109">
        <f t="shared" si="119"/>
        <v>0</v>
      </c>
      <c r="DZ83" s="109">
        <f t="shared" si="47"/>
        <v>0</v>
      </c>
      <c r="EA83" s="110">
        <f t="shared" si="120"/>
        <v>9.9999999996924771E-3</v>
      </c>
      <c r="EC83" s="108">
        <f t="shared" si="121"/>
        <v>107.70000000000002</v>
      </c>
      <c r="ED83" s="109">
        <f t="shared" si="122"/>
        <v>66.130000000000024</v>
      </c>
      <c r="EE83" s="109">
        <f t="shared" si="48"/>
        <v>41.57</v>
      </c>
      <c r="EF83" s="110">
        <f t="shared" ref="EF83:EF108" si="186">IF($B83="","",EF82-ED83)</f>
        <v>1306.31</v>
      </c>
      <c r="EH83" s="108">
        <f t="shared" si="49"/>
        <v>0</v>
      </c>
      <c r="EI83" s="109">
        <f t="shared" si="123"/>
        <v>0</v>
      </c>
      <c r="EJ83" s="109">
        <f t="shared" si="50"/>
        <v>0</v>
      </c>
      <c r="EK83" s="110">
        <f t="shared" si="124"/>
        <v>9.9999999996924771E-3</v>
      </c>
      <c r="EM83" s="108">
        <f t="shared" si="125"/>
        <v>107.70000000000002</v>
      </c>
      <c r="EN83" s="109">
        <f t="shared" si="126"/>
        <v>66.130000000000024</v>
      </c>
      <c r="EO83" s="109">
        <f t="shared" si="51"/>
        <v>41.57</v>
      </c>
      <c r="EP83" s="110">
        <f t="shared" ref="EP83:EP108" si="187">IF($B83="","",EP82-EN83)</f>
        <v>1306.31</v>
      </c>
      <c r="ER83" s="108">
        <f t="shared" si="52"/>
        <v>0</v>
      </c>
      <c r="ES83" s="109">
        <f t="shared" si="127"/>
        <v>0</v>
      </c>
      <c r="ET83" s="109">
        <f t="shared" si="53"/>
        <v>0</v>
      </c>
      <c r="EU83" s="110">
        <f t="shared" si="128"/>
        <v>9.9999999996924771E-3</v>
      </c>
      <c r="EW83" s="108">
        <f t="shared" si="129"/>
        <v>107.70000000000002</v>
      </c>
      <c r="EX83" s="109">
        <f t="shared" si="130"/>
        <v>66.130000000000024</v>
      </c>
      <c r="EY83" s="109">
        <f t="shared" si="54"/>
        <v>41.57</v>
      </c>
      <c r="EZ83" s="110">
        <f t="shared" ref="EZ83:EZ108" si="188">IF($B83="","",EZ82-EX83)</f>
        <v>1306.31</v>
      </c>
      <c r="FB83" s="108">
        <f t="shared" si="55"/>
        <v>0</v>
      </c>
      <c r="FC83" s="109">
        <f t="shared" si="131"/>
        <v>0</v>
      </c>
      <c r="FD83" s="109">
        <f t="shared" si="56"/>
        <v>0</v>
      </c>
      <c r="FE83" s="110">
        <f t="shared" si="132"/>
        <v>9.9999999996924771E-3</v>
      </c>
      <c r="FG83" s="108">
        <f t="shared" si="133"/>
        <v>107.70000000000002</v>
      </c>
      <c r="FH83" s="109">
        <f t="shared" si="134"/>
        <v>66.130000000000024</v>
      </c>
      <c r="FI83" s="109">
        <f t="shared" si="57"/>
        <v>41.57</v>
      </c>
      <c r="FJ83" s="110">
        <f t="shared" ref="FJ83:FJ108" si="189">IF($B83="","",FJ82-FH83)</f>
        <v>1306.31</v>
      </c>
      <c r="FL83" s="108">
        <f t="shared" si="58"/>
        <v>0</v>
      </c>
      <c r="FM83" s="109">
        <f t="shared" si="135"/>
        <v>0</v>
      </c>
      <c r="FN83" s="109">
        <f t="shared" si="59"/>
        <v>0</v>
      </c>
      <c r="FO83" s="110">
        <f t="shared" si="136"/>
        <v>9.9999999996924771E-3</v>
      </c>
      <c r="FQ83" s="108">
        <f t="shared" si="137"/>
        <v>107.70000000000002</v>
      </c>
      <c r="FR83" s="109">
        <f t="shared" si="138"/>
        <v>66.130000000000024</v>
      </c>
      <c r="FS83" s="109">
        <f t="shared" si="60"/>
        <v>41.57</v>
      </c>
      <c r="FT83" s="110">
        <f t="shared" ref="FT83:FT108" si="190">IF($B83="","",FT82-FR83)</f>
        <v>1306.31</v>
      </c>
      <c r="FV83" s="108">
        <f t="shared" si="61"/>
        <v>0</v>
      </c>
      <c r="FW83" s="109">
        <f t="shared" si="139"/>
        <v>0</v>
      </c>
      <c r="FX83" s="109">
        <f t="shared" si="62"/>
        <v>0</v>
      </c>
      <c r="FY83" s="110">
        <f t="shared" si="140"/>
        <v>9.9999999996924771E-3</v>
      </c>
      <c r="GA83" s="108">
        <f t="shared" si="141"/>
        <v>107.70000000000002</v>
      </c>
      <c r="GB83" s="109">
        <f t="shared" si="142"/>
        <v>66.130000000000024</v>
      </c>
      <c r="GC83" s="109">
        <f t="shared" si="63"/>
        <v>41.57</v>
      </c>
      <c r="GD83" s="110">
        <f t="shared" ref="GD83:GD108" si="191">IF($B83="","",GD82-GB83)</f>
        <v>1306.31</v>
      </c>
      <c r="GF83" s="108">
        <f t="shared" si="64"/>
        <v>0</v>
      </c>
      <c r="GG83" s="109">
        <f t="shared" si="143"/>
        <v>0</v>
      </c>
      <c r="GH83" s="109">
        <f t="shared" si="65"/>
        <v>0</v>
      </c>
      <c r="GI83" s="110">
        <f t="shared" si="144"/>
        <v>9.9999999996924771E-3</v>
      </c>
      <c r="GK83" s="108">
        <f t="shared" si="145"/>
        <v>107.70000000000002</v>
      </c>
      <c r="GL83" s="109">
        <f t="shared" si="146"/>
        <v>66.130000000000024</v>
      </c>
      <c r="GM83" s="109">
        <f t="shared" si="147"/>
        <v>41.57</v>
      </c>
      <c r="GN83" s="110">
        <f t="shared" ref="GN83:GN108" si="192">IF($B83="","",GN82-GL83)</f>
        <v>1306.31</v>
      </c>
      <c r="GR83" s="108">
        <f t="shared" si="66"/>
        <v>960.17</v>
      </c>
      <c r="GS83" s="109">
        <f t="shared" si="67"/>
        <v>960.17</v>
      </c>
      <c r="GT83" s="109">
        <f t="shared" si="68"/>
        <v>0</v>
      </c>
      <c r="GU83" s="110">
        <f t="shared" si="69"/>
        <v>7119.49</v>
      </c>
      <c r="GV83" s="51"/>
      <c r="GW83" s="108">
        <f t="shared" si="70"/>
        <v>0</v>
      </c>
      <c r="GX83" s="109">
        <f t="shared" si="148"/>
        <v>0</v>
      </c>
      <c r="GY83" s="109">
        <f t="shared" si="71"/>
        <v>0</v>
      </c>
      <c r="GZ83" s="110">
        <f t="shared" si="72"/>
        <v>0</v>
      </c>
      <c r="HA83" s="51"/>
      <c r="HB83" s="108">
        <f t="shared" si="149"/>
        <v>960.17</v>
      </c>
      <c r="HC83" s="109">
        <f t="shared" si="150"/>
        <v>960.17</v>
      </c>
      <c r="HD83" s="109">
        <f t="shared" si="73"/>
        <v>0</v>
      </c>
      <c r="HE83" s="110">
        <f t="shared" si="151"/>
        <v>7119.49</v>
      </c>
      <c r="HF83" s="51"/>
      <c r="HG83" s="108">
        <f t="shared" si="74"/>
        <v>0</v>
      </c>
      <c r="HH83" s="109">
        <f t="shared" si="152"/>
        <v>0</v>
      </c>
      <c r="HI83" s="109">
        <f t="shared" si="75"/>
        <v>0</v>
      </c>
      <c r="HJ83" s="110">
        <f t="shared" ref="HJ83:HJ146" si="193">IF($K83="","",HJ82-HH83)</f>
        <v>0</v>
      </c>
      <c r="HK83" s="51"/>
      <c r="HL83" s="108">
        <f t="shared" si="153"/>
        <v>960.17</v>
      </c>
      <c r="HM83" s="109">
        <f t="shared" si="154"/>
        <v>960.17</v>
      </c>
      <c r="HN83" s="109">
        <f t="shared" si="76"/>
        <v>0</v>
      </c>
      <c r="HO83" s="110">
        <f t="shared" si="155"/>
        <v>7119.49</v>
      </c>
      <c r="HP83" s="51"/>
      <c r="HQ83" s="108">
        <f t="shared" si="77"/>
        <v>0</v>
      </c>
      <c r="HR83" s="109">
        <f t="shared" si="156"/>
        <v>0</v>
      </c>
      <c r="HS83" s="109">
        <f t="shared" si="78"/>
        <v>0</v>
      </c>
      <c r="HT83" s="110">
        <f t="shared" ref="HT83:HT146" si="194">IF($K83="","",HT82-HR83)</f>
        <v>0</v>
      </c>
      <c r="HU83" s="51"/>
      <c r="HV83" s="108">
        <f t="shared" si="157"/>
        <v>960.17</v>
      </c>
      <c r="HW83" s="109">
        <f t="shared" si="158"/>
        <v>960.17</v>
      </c>
      <c r="HX83" s="109">
        <f t="shared" si="79"/>
        <v>0</v>
      </c>
      <c r="HY83" s="110">
        <f t="shared" si="159"/>
        <v>7119.49</v>
      </c>
      <c r="HZ83" s="51"/>
      <c r="IA83" s="108">
        <f t="shared" si="80"/>
        <v>0</v>
      </c>
      <c r="IB83" s="109">
        <f t="shared" si="160"/>
        <v>0</v>
      </c>
      <c r="IC83" s="109">
        <f t="shared" si="81"/>
        <v>0</v>
      </c>
      <c r="ID83" s="110">
        <f t="shared" ref="ID83:ID146" si="195">IF($K83="","",ID82-IB83)</f>
        <v>0</v>
      </c>
      <c r="IE83" s="51"/>
      <c r="IF83" s="108">
        <f t="shared" si="161"/>
        <v>960.17</v>
      </c>
      <c r="IG83" s="109">
        <f t="shared" si="162"/>
        <v>960.17</v>
      </c>
      <c r="IH83" s="109">
        <f t="shared" si="82"/>
        <v>0</v>
      </c>
      <c r="II83" s="110">
        <f t="shared" si="163"/>
        <v>7119.49</v>
      </c>
      <c r="IJ83" s="51"/>
      <c r="IK83" s="108">
        <f t="shared" si="83"/>
        <v>0</v>
      </c>
      <c r="IL83" s="109">
        <f t="shared" si="164"/>
        <v>0</v>
      </c>
      <c r="IM83" s="109">
        <f t="shared" si="84"/>
        <v>0</v>
      </c>
      <c r="IN83" s="110">
        <f t="shared" ref="IN83:IN146" si="196">IF($K83="","",IN82-IL83)</f>
        <v>0</v>
      </c>
      <c r="IO83" s="51"/>
      <c r="IP83" s="108">
        <f t="shared" si="165"/>
        <v>960.17</v>
      </c>
      <c r="IQ83" s="109">
        <f t="shared" si="166"/>
        <v>960.17</v>
      </c>
      <c r="IR83" s="109">
        <f t="shared" si="85"/>
        <v>0</v>
      </c>
      <c r="IS83" s="110">
        <f t="shared" si="167"/>
        <v>7119.49</v>
      </c>
      <c r="IT83" s="51"/>
      <c r="IU83" s="108">
        <f t="shared" si="86"/>
        <v>0</v>
      </c>
      <c r="IV83" s="109">
        <f t="shared" si="168"/>
        <v>0</v>
      </c>
      <c r="IW83" s="109">
        <f t="shared" si="87"/>
        <v>0</v>
      </c>
      <c r="IX83" s="110">
        <f t="shared" ref="IX83:IX146" si="197">IF($K83="","",IX82-IV83)</f>
        <v>0</v>
      </c>
      <c r="IY83" s="51"/>
      <c r="IZ83" s="108">
        <f t="shared" si="169"/>
        <v>960.17</v>
      </c>
      <c r="JA83" s="109">
        <f t="shared" si="170"/>
        <v>960.17</v>
      </c>
      <c r="JB83" s="109">
        <f t="shared" si="88"/>
        <v>0</v>
      </c>
      <c r="JC83" s="110">
        <f t="shared" si="171"/>
        <v>7119.49</v>
      </c>
      <c r="JD83" s="51"/>
      <c r="JE83" s="108">
        <f t="shared" si="89"/>
        <v>0</v>
      </c>
      <c r="JF83" s="109">
        <f t="shared" si="172"/>
        <v>0</v>
      </c>
      <c r="JG83" s="109">
        <f t="shared" si="90"/>
        <v>0</v>
      </c>
      <c r="JH83" s="110">
        <f t="shared" ref="JH83:JH146" si="198">IF($K83="","",JH82-JF83)</f>
        <v>0</v>
      </c>
      <c r="JI83" s="51"/>
      <c r="JJ83" s="108">
        <f t="shared" si="173"/>
        <v>960.17</v>
      </c>
      <c r="JK83" s="109">
        <f t="shared" si="174"/>
        <v>960.17</v>
      </c>
      <c r="JL83" s="109">
        <f t="shared" si="91"/>
        <v>0</v>
      </c>
      <c r="JM83" s="110">
        <f t="shared" si="175"/>
        <v>7119.49</v>
      </c>
      <c r="JN83" s="51"/>
      <c r="JO83" s="108">
        <f t="shared" si="92"/>
        <v>0</v>
      </c>
      <c r="JP83" s="109">
        <f t="shared" si="176"/>
        <v>0</v>
      </c>
      <c r="JQ83" s="109">
        <f t="shared" si="93"/>
        <v>0</v>
      </c>
      <c r="JR83" s="110">
        <f t="shared" ref="JR83:JR146" si="199">IF($K83="","",JR82-JP83)</f>
        <v>0</v>
      </c>
      <c r="JS83" s="51"/>
      <c r="JT83" s="108">
        <f t="shared" si="177"/>
        <v>960.17</v>
      </c>
      <c r="JU83" s="109">
        <f t="shared" si="178"/>
        <v>960.17</v>
      </c>
      <c r="JV83" s="109">
        <f t="shared" si="94"/>
        <v>0</v>
      </c>
      <c r="JW83" s="110">
        <f t="shared" si="179"/>
        <v>7119.49</v>
      </c>
      <c r="JX83" s="51"/>
      <c r="JY83" s="108">
        <f t="shared" si="95"/>
        <v>0</v>
      </c>
      <c r="JZ83" s="109">
        <f t="shared" si="180"/>
        <v>0</v>
      </c>
      <c r="KA83" s="109">
        <f t="shared" si="96"/>
        <v>0</v>
      </c>
      <c r="KB83" s="110">
        <f t="shared" ref="KB83:KB146" si="200">IF($K83="","",KB82-JZ83)</f>
        <v>0</v>
      </c>
      <c r="KC83" s="51"/>
      <c r="KD83" s="108">
        <f t="shared" si="181"/>
        <v>960.17</v>
      </c>
      <c r="KE83" s="109">
        <f t="shared" si="182"/>
        <v>960.17</v>
      </c>
      <c r="KF83" s="109">
        <f t="shared" si="97"/>
        <v>0</v>
      </c>
      <c r="KG83" s="110">
        <f t="shared" si="98"/>
        <v>7119.49</v>
      </c>
    </row>
    <row r="84" spans="1:293" ht="12" customHeight="1">
      <c r="A84" s="105">
        <f t="array" ref="A84">MAX(IF($J$80:J83&gt;0,$C$80:C83,0))</f>
        <v>43535</v>
      </c>
      <c r="B84" s="81">
        <f t="shared" si="4"/>
        <v>4</v>
      </c>
      <c r="C84" s="82">
        <f t="shared" si="5"/>
        <v>43661</v>
      </c>
      <c r="D84" s="83">
        <f t="shared" si="6"/>
        <v>108.30000000000001</v>
      </c>
      <c r="E84" s="83">
        <f t="shared" si="99"/>
        <v>0.6</v>
      </c>
      <c r="F84" s="83">
        <f t="shared" si="7"/>
        <v>74.130000000000024</v>
      </c>
      <c r="G84" s="83">
        <f t="shared" si="8"/>
        <v>33.57</v>
      </c>
      <c r="H84" s="83">
        <f t="shared" si="9"/>
        <v>1232.1799999999998</v>
      </c>
      <c r="I84" s="105">
        <f t="array" ref="I84">MAX(IF($R$80:R83&gt;0,$L$80:L83,0))</f>
        <v>0</v>
      </c>
      <c r="J84" s="106"/>
      <c r="K84" s="69">
        <f t="shared" si="10"/>
        <v>4</v>
      </c>
      <c r="L84" s="82">
        <f t="shared" si="183"/>
        <v>0</v>
      </c>
      <c r="M84" s="83">
        <f t="shared" si="11"/>
        <v>960.17</v>
      </c>
      <c r="N84" s="83">
        <f t="shared" si="12"/>
        <v>0</v>
      </c>
      <c r="O84" s="83" t="str">
        <f t="shared" si="13"/>
        <v/>
      </c>
      <c r="P84" s="83">
        <f t="shared" si="14"/>
        <v>0</v>
      </c>
      <c r="Q84" s="83">
        <f t="shared" si="15"/>
        <v>6159.32</v>
      </c>
      <c r="R84" s="106"/>
      <c r="S84" s="66"/>
      <c r="U84" s="85" t="e">
        <f t="shared" si="0"/>
        <v>#NUM!</v>
      </c>
      <c r="V84" s="86" t="e">
        <f t="shared" si="100"/>
        <v>#NUM!</v>
      </c>
      <c r="W84" s="87" t="e">
        <f t="shared" si="16"/>
        <v>#NUM!</v>
      </c>
      <c r="X84" s="87" t="e">
        <f t="shared" si="17"/>
        <v>#NUM!</v>
      </c>
      <c r="Y84" s="87" t="e">
        <f t="shared" si="18"/>
        <v>#NUM!</v>
      </c>
      <c r="Z84" s="88" t="e">
        <f t="shared" si="1"/>
        <v>#NUM!</v>
      </c>
      <c r="AB84" s="89">
        <f t="shared" si="101"/>
        <v>108.30000000000001</v>
      </c>
      <c r="AC84" s="87">
        <f t="shared" si="19"/>
        <v>114.12</v>
      </c>
      <c r="AD84" s="87" t="str">
        <f t="shared" si="20"/>
        <v/>
      </c>
      <c r="AE84" s="87" t="str">
        <f t="shared" si="21"/>
        <v/>
      </c>
      <c r="AF84" s="86">
        <f t="shared" si="102"/>
        <v>43657</v>
      </c>
      <c r="AG84" s="87">
        <f t="shared" si="2"/>
        <v>1.5</v>
      </c>
      <c r="AH84" s="87">
        <f t="shared" si="103"/>
        <v>0.6</v>
      </c>
      <c r="AI84" s="90"/>
      <c r="AJ84" s="87" t="e">
        <f t="shared" si="22"/>
        <v>#NUM!</v>
      </c>
      <c r="AK84" s="87" t="e">
        <f t="shared" si="104"/>
        <v>#NUM!</v>
      </c>
      <c r="AL84" s="87" t="e">
        <f t="shared" si="105"/>
        <v>#NUM!</v>
      </c>
      <c r="AM84" s="87" t="e">
        <f t="shared" si="106"/>
        <v>#NUM!</v>
      </c>
      <c r="AN84" s="86">
        <f t="shared" si="23"/>
        <v>0</v>
      </c>
      <c r="AO84" s="87">
        <f t="shared" si="24"/>
        <v>0</v>
      </c>
      <c r="AP84" s="88">
        <f t="shared" si="25"/>
        <v>0</v>
      </c>
      <c r="AR84" s="91">
        <f t="shared" si="26"/>
        <v>108.30000000000001</v>
      </c>
      <c r="AS84" s="92">
        <f t="shared" si="27"/>
        <v>114.12</v>
      </c>
      <c r="AT84" s="87" t="str">
        <f t="shared" si="28"/>
        <v/>
      </c>
      <c r="AU84" s="87" t="str">
        <f t="shared" si="29"/>
        <v/>
      </c>
      <c r="AV84" s="86">
        <f t="shared" si="107"/>
        <v>43657</v>
      </c>
      <c r="AW84" s="87">
        <f t="shared" si="108"/>
        <v>1.5</v>
      </c>
      <c r="AX84" s="87">
        <f t="shared" si="109"/>
        <v>0.6</v>
      </c>
      <c r="AY84" s="93"/>
      <c r="AZ84" s="87">
        <f t="shared" ref="AZ84:AZ147" si="201">IFERROR(IF(OR($F$46="",DATE($F$34,$G$34,$H$34)&lt;=DATE($F$46,$G$46,$H$46)),0,IF(M84&lt;&gt;"",IF($P$32="GEL",M84,M84*$Q$32),0)),0)</f>
        <v>0</v>
      </c>
      <c r="BA84" s="87">
        <f t="shared" si="110"/>
        <v>0</v>
      </c>
      <c r="BB84" s="87">
        <f t="shared" si="111"/>
        <v>0</v>
      </c>
      <c r="BC84" s="87">
        <f t="shared" si="184"/>
        <v>0</v>
      </c>
      <c r="BD84" s="86" t="e">
        <f t="shared" si="30"/>
        <v>#NUM!</v>
      </c>
      <c r="BE84" s="87" t="e">
        <f t="shared" si="3"/>
        <v>#NUM!</v>
      </c>
      <c r="BF84" s="88">
        <f t="shared" si="112"/>
        <v>0</v>
      </c>
      <c r="BH84" s="87" t="e">
        <f t="shared" si="31"/>
        <v>#NUM!</v>
      </c>
      <c r="BI84" s="51"/>
      <c r="BK84" s="95">
        <v>39515</v>
      </c>
      <c r="BL84" s="96">
        <v>5</v>
      </c>
      <c r="BM84" s="96">
        <v>5</v>
      </c>
      <c r="BP84" t="s">
        <v>270</v>
      </c>
      <c r="BT84" s="51">
        <v>1000</v>
      </c>
      <c r="BU84" s="51">
        <v>10000</v>
      </c>
      <c r="BV84" s="30" t="str">
        <f t="shared" ref="BV84:BV89" si="202">CONCATENATE(BT84,"-",BU84)</f>
        <v>1000-10000</v>
      </c>
      <c r="BW84" s="30" t="s">
        <v>497</v>
      </c>
      <c r="BX84" s="30" t="s">
        <v>497</v>
      </c>
      <c r="BY84" s="107">
        <v>0.27</v>
      </c>
      <c r="BZ84" s="107">
        <v>0.29499999999999998</v>
      </c>
      <c r="CA84" s="107">
        <v>0.32</v>
      </c>
      <c r="CB84" s="107">
        <v>0.33</v>
      </c>
      <c r="CC84" s="107">
        <v>0.33500000000000002</v>
      </c>
      <c r="CD84" s="107">
        <v>0.33999999999999997</v>
      </c>
      <c r="CE84" s="30" t="s">
        <v>497</v>
      </c>
      <c r="CF84" s="107">
        <v>0.04</v>
      </c>
      <c r="CG84" s="107">
        <v>6.0000000000000001E-3</v>
      </c>
      <c r="CI84" s="100" t="s">
        <v>271</v>
      </c>
      <c r="CJ84" s="51">
        <v>100</v>
      </c>
      <c r="CK84" s="51">
        <v>3000</v>
      </c>
      <c r="CL84" s="30">
        <v>0</v>
      </c>
      <c r="CM84" s="41"/>
      <c r="CO84" s="100" t="s">
        <v>183</v>
      </c>
      <c r="CP84" s="100">
        <v>3.5</v>
      </c>
      <c r="CQ84" s="30">
        <v>4.0000000000000001E-3</v>
      </c>
      <c r="CR84">
        <v>0.2</v>
      </c>
      <c r="CY84" s="108">
        <f t="shared" si="32"/>
        <v>107.15</v>
      </c>
      <c r="CZ84" s="109">
        <f t="shared" si="33"/>
        <v>73.540000000000006</v>
      </c>
      <c r="DA84" s="109">
        <f t="shared" si="34"/>
        <v>33.61</v>
      </c>
      <c r="DB84" s="110">
        <f t="shared" si="35"/>
        <v>1234.47</v>
      </c>
      <c r="DD84" s="108">
        <f t="shared" si="36"/>
        <v>0.9</v>
      </c>
      <c r="DE84" s="109">
        <f t="shared" si="114"/>
        <v>0.62</v>
      </c>
      <c r="DF84" s="109">
        <f t="shared" si="37"/>
        <v>0.28000000000000003</v>
      </c>
      <c r="DG84" s="110">
        <f t="shared" si="38"/>
        <v>10.420000000000062</v>
      </c>
      <c r="DI84" s="108">
        <f t="shared" si="115"/>
        <v>107.64000000000001</v>
      </c>
      <c r="DJ84" s="109">
        <f t="shared" si="116"/>
        <v>74.060000000000016</v>
      </c>
      <c r="DK84" s="109">
        <f t="shared" si="39"/>
        <v>33.58</v>
      </c>
      <c r="DL84" s="110">
        <f t="shared" si="40"/>
        <v>1232.43</v>
      </c>
      <c r="DN84" s="108">
        <f t="shared" si="41"/>
        <v>0.1</v>
      </c>
      <c r="DO84" s="109">
        <f t="shared" si="42"/>
        <v>7.0000000000000007E-2</v>
      </c>
      <c r="DP84" s="109">
        <f t="shared" si="43"/>
        <v>0.03</v>
      </c>
      <c r="DQ84" s="110">
        <f t="shared" si="44"/>
        <v>1.140000000000043</v>
      </c>
      <c r="DS84" s="108">
        <f t="shared" si="117"/>
        <v>107.70000000000002</v>
      </c>
      <c r="DT84" s="109">
        <f t="shared" si="118"/>
        <v>74.130000000000024</v>
      </c>
      <c r="DU84" s="109">
        <f t="shared" si="45"/>
        <v>33.57</v>
      </c>
      <c r="DV84" s="110">
        <f t="shared" si="185"/>
        <v>1232.1799999999998</v>
      </c>
      <c r="DX84" s="108">
        <f t="shared" si="46"/>
        <v>0</v>
      </c>
      <c r="DY84" s="109">
        <f t="shared" si="119"/>
        <v>0</v>
      </c>
      <c r="DZ84" s="109">
        <f t="shared" si="47"/>
        <v>0</v>
      </c>
      <c r="EA84" s="110">
        <f t="shared" si="120"/>
        <v>9.9999999996924771E-3</v>
      </c>
      <c r="EC84" s="108">
        <f t="shared" si="121"/>
        <v>107.70000000000002</v>
      </c>
      <c r="ED84" s="109">
        <f t="shared" si="122"/>
        <v>74.130000000000024</v>
      </c>
      <c r="EE84" s="109">
        <f t="shared" si="48"/>
        <v>33.57</v>
      </c>
      <c r="EF84" s="110">
        <f t="shared" si="186"/>
        <v>1232.1799999999998</v>
      </c>
      <c r="EH84" s="108">
        <f t="shared" si="49"/>
        <v>0</v>
      </c>
      <c r="EI84" s="109">
        <f t="shared" si="123"/>
        <v>0</v>
      </c>
      <c r="EJ84" s="109">
        <f t="shared" si="50"/>
        <v>0</v>
      </c>
      <c r="EK84" s="110">
        <f t="shared" si="124"/>
        <v>9.9999999996924771E-3</v>
      </c>
      <c r="EM84" s="108">
        <f t="shared" si="125"/>
        <v>107.70000000000002</v>
      </c>
      <c r="EN84" s="109">
        <f t="shared" si="126"/>
        <v>74.130000000000024</v>
      </c>
      <c r="EO84" s="109">
        <f t="shared" si="51"/>
        <v>33.57</v>
      </c>
      <c r="EP84" s="110">
        <f t="shared" si="187"/>
        <v>1232.1799999999998</v>
      </c>
      <c r="ER84" s="108">
        <f t="shared" si="52"/>
        <v>0</v>
      </c>
      <c r="ES84" s="109">
        <f t="shared" si="127"/>
        <v>0</v>
      </c>
      <c r="ET84" s="109">
        <f t="shared" si="53"/>
        <v>0</v>
      </c>
      <c r="EU84" s="110">
        <f t="shared" si="128"/>
        <v>9.9999999996924771E-3</v>
      </c>
      <c r="EW84" s="108">
        <f t="shared" si="129"/>
        <v>107.70000000000002</v>
      </c>
      <c r="EX84" s="109">
        <f t="shared" si="130"/>
        <v>74.130000000000024</v>
      </c>
      <c r="EY84" s="109">
        <f t="shared" si="54"/>
        <v>33.57</v>
      </c>
      <c r="EZ84" s="110">
        <f t="shared" si="188"/>
        <v>1232.1799999999998</v>
      </c>
      <c r="FB84" s="108">
        <f t="shared" si="55"/>
        <v>0</v>
      </c>
      <c r="FC84" s="109">
        <f t="shared" si="131"/>
        <v>0</v>
      </c>
      <c r="FD84" s="109">
        <f t="shared" si="56"/>
        <v>0</v>
      </c>
      <c r="FE84" s="110">
        <f t="shared" si="132"/>
        <v>9.9999999996924771E-3</v>
      </c>
      <c r="FG84" s="108">
        <f t="shared" si="133"/>
        <v>107.70000000000002</v>
      </c>
      <c r="FH84" s="109">
        <f t="shared" si="134"/>
        <v>74.130000000000024</v>
      </c>
      <c r="FI84" s="109">
        <f t="shared" si="57"/>
        <v>33.57</v>
      </c>
      <c r="FJ84" s="110">
        <f t="shared" si="189"/>
        <v>1232.1799999999998</v>
      </c>
      <c r="FL84" s="108">
        <f t="shared" si="58"/>
        <v>0</v>
      </c>
      <c r="FM84" s="109">
        <f t="shared" si="135"/>
        <v>0</v>
      </c>
      <c r="FN84" s="109">
        <f t="shared" si="59"/>
        <v>0</v>
      </c>
      <c r="FO84" s="110">
        <f t="shared" si="136"/>
        <v>9.9999999996924771E-3</v>
      </c>
      <c r="FQ84" s="108">
        <f t="shared" si="137"/>
        <v>107.70000000000002</v>
      </c>
      <c r="FR84" s="109">
        <f t="shared" si="138"/>
        <v>74.130000000000024</v>
      </c>
      <c r="FS84" s="109">
        <f t="shared" si="60"/>
        <v>33.57</v>
      </c>
      <c r="FT84" s="110">
        <f t="shared" si="190"/>
        <v>1232.1799999999998</v>
      </c>
      <c r="FV84" s="108">
        <f t="shared" si="61"/>
        <v>0</v>
      </c>
      <c r="FW84" s="109">
        <f t="shared" si="139"/>
        <v>0</v>
      </c>
      <c r="FX84" s="109">
        <f t="shared" si="62"/>
        <v>0</v>
      </c>
      <c r="FY84" s="110">
        <f t="shared" si="140"/>
        <v>9.9999999996924771E-3</v>
      </c>
      <c r="GA84" s="108">
        <f t="shared" si="141"/>
        <v>107.70000000000002</v>
      </c>
      <c r="GB84" s="109">
        <f t="shared" si="142"/>
        <v>74.130000000000024</v>
      </c>
      <c r="GC84" s="109">
        <f t="shared" si="63"/>
        <v>33.57</v>
      </c>
      <c r="GD84" s="110">
        <f t="shared" si="191"/>
        <v>1232.1799999999998</v>
      </c>
      <c r="GF84" s="108">
        <f t="shared" si="64"/>
        <v>0</v>
      </c>
      <c r="GG84" s="109">
        <f t="shared" si="143"/>
        <v>0</v>
      </c>
      <c r="GH84" s="109">
        <f t="shared" si="65"/>
        <v>0</v>
      </c>
      <c r="GI84" s="110">
        <f t="shared" si="144"/>
        <v>9.9999999996924771E-3</v>
      </c>
      <c r="GK84" s="108">
        <f t="shared" si="145"/>
        <v>107.70000000000002</v>
      </c>
      <c r="GL84" s="109">
        <f t="shared" si="146"/>
        <v>74.130000000000024</v>
      </c>
      <c r="GM84" s="109">
        <f t="shared" si="147"/>
        <v>33.57</v>
      </c>
      <c r="GN84" s="110">
        <f t="shared" si="192"/>
        <v>1232.1799999999998</v>
      </c>
      <c r="GR84" s="108">
        <f t="shared" si="66"/>
        <v>960.17</v>
      </c>
      <c r="GS84" s="109">
        <f t="shared" si="67"/>
        <v>960.17</v>
      </c>
      <c r="GT84" s="109">
        <f t="shared" si="68"/>
        <v>0</v>
      </c>
      <c r="GU84" s="110">
        <f t="shared" si="69"/>
        <v>6159.32</v>
      </c>
      <c r="GV84" s="51"/>
      <c r="GW84" s="108">
        <f t="shared" si="70"/>
        <v>0</v>
      </c>
      <c r="GX84" s="109">
        <f t="shared" si="148"/>
        <v>0</v>
      </c>
      <c r="GY84" s="109">
        <f t="shared" si="71"/>
        <v>0</v>
      </c>
      <c r="GZ84" s="110">
        <f t="shared" si="72"/>
        <v>0</v>
      </c>
      <c r="HA84" s="51"/>
      <c r="HB84" s="108">
        <f t="shared" si="149"/>
        <v>960.17</v>
      </c>
      <c r="HC84" s="109">
        <f t="shared" si="150"/>
        <v>960.17</v>
      </c>
      <c r="HD84" s="109">
        <f t="shared" si="73"/>
        <v>0</v>
      </c>
      <c r="HE84" s="110">
        <f t="shared" si="151"/>
        <v>6159.32</v>
      </c>
      <c r="HF84" s="51"/>
      <c r="HG84" s="108">
        <f t="shared" si="74"/>
        <v>0</v>
      </c>
      <c r="HH84" s="109">
        <f t="shared" si="152"/>
        <v>0</v>
      </c>
      <c r="HI84" s="109">
        <f t="shared" si="75"/>
        <v>0</v>
      </c>
      <c r="HJ84" s="110">
        <f t="shared" si="193"/>
        <v>0</v>
      </c>
      <c r="HK84" s="51"/>
      <c r="HL84" s="108">
        <f t="shared" si="153"/>
        <v>960.17</v>
      </c>
      <c r="HM84" s="109">
        <f t="shared" si="154"/>
        <v>960.17</v>
      </c>
      <c r="HN84" s="109">
        <f t="shared" si="76"/>
        <v>0</v>
      </c>
      <c r="HO84" s="110">
        <f t="shared" si="155"/>
        <v>6159.32</v>
      </c>
      <c r="HP84" s="51"/>
      <c r="HQ84" s="108">
        <f t="shared" si="77"/>
        <v>0</v>
      </c>
      <c r="HR84" s="109">
        <f t="shared" si="156"/>
        <v>0</v>
      </c>
      <c r="HS84" s="109">
        <f t="shared" si="78"/>
        <v>0</v>
      </c>
      <c r="HT84" s="110">
        <f t="shared" si="194"/>
        <v>0</v>
      </c>
      <c r="HU84" s="51"/>
      <c r="HV84" s="108">
        <f t="shared" si="157"/>
        <v>960.17</v>
      </c>
      <c r="HW84" s="109">
        <f t="shared" si="158"/>
        <v>960.17</v>
      </c>
      <c r="HX84" s="109">
        <f t="shared" si="79"/>
        <v>0</v>
      </c>
      <c r="HY84" s="110">
        <f t="shared" si="159"/>
        <v>6159.32</v>
      </c>
      <c r="HZ84" s="51"/>
      <c r="IA84" s="108">
        <f t="shared" si="80"/>
        <v>0</v>
      </c>
      <c r="IB84" s="109">
        <f t="shared" si="160"/>
        <v>0</v>
      </c>
      <c r="IC84" s="109">
        <f t="shared" si="81"/>
        <v>0</v>
      </c>
      <c r="ID84" s="110">
        <f t="shared" si="195"/>
        <v>0</v>
      </c>
      <c r="IE84" s="51"/>
      <c r="IF84" s="108">
        <f t="shared" si="161"/>
        <v>960.17</v>
      </c>
      <c r="IG84" s="109">
        <f t="shared" si="162"/>
        <v>960.17</v>
      </c>
      <c r="IH84" s="109">
        <f t="shared" si="82"/>
        <v>0</v>
      </c>
      <c r="II84" s="110">
        <f t="shared" si="163"/>
        <v>6159.32</v>
      </c>
      <c r="IJ84" s="51"/>
      <c r="IK84" s="108">
        <f t="shared" si="83"/>
        <v>0</v>
      </c>
      <c r="IL84" s="109">
        <f t="shared" si="164"/>
        <v>0</v>
      </c>
      <c r="IM84" s="109">
        <f t="shared" si="84"/>
        <v>0</v>
      </c>
      <c r="IN84" s="110">
        <f t="shared" si="196"/>
        <v>0</v>
      </c>
      <c r="IO84" s="51"/>
      <c r="IP84" s="108">
        <f t="shared" si="165"/>
        <v>960.17</v>
      </c>
      <c r="IQ84" s="109">
        <f t="shared" si="166"/>
        <v>960.17</v>
      </c>
      <c r="IR84" s="109">
        <f t="shared" si="85"/>
        <v>0</v>
      </c>
      <c r="IS84" s="110">
        <f t="shared" si="167"/>
        <v>6159.32</v>
      </c>
      <c r="IT84" s="51"/>
      <c r="IU84" s="108">
        <f t="shared" si="86"/>
        <v>0</v>
      </c>
      <c r="IV84" s="109">
        <f t="shared" si="168"/>
        <v>0</v>
      </c>
      <c r="IW84" s="109">
        <f t="shared" si="87"/>
        <v>0</v>
      </c>
      <c r="IX84" s="110">
        <f t="shared" si="197"/>
        <v>0</v>
      </c>
      <c r="IY84" s="51"/>
      <c r="IZ84" s="108">
        <f t="shared" si="169"/>
        <v>960.17</v>
      </c>
      <c r="JA84" s="109">
        <f t="shared" si="170"/>
        <v>960.17</v>
      </c>
      <c r="JB84" s="109">
        <f t="shared" si="88"/>
        <v>0</v>
      </c>
      <c r="JC84" s="110">
        <f t="shared" si="171"/>
        <v>6159.32</v>
      </c>
      <c r="JD84" s="51"/>
      <c r="JE84" s="108">
        <f t="shared" si="89"/>
        <v>0</v>
      </c>
      <c r="JF84" s="109">
        <f t="shared" si="172"/>
        <v>0</v>
      </c>
      <c r="JG84" s="109">
        <f t="shared" si="90"/>
        <v>0</v>
      </c>
      <c r="JH84" s="110">
        <f t="shared" si="198"/>
        <v>0</v>
      </c>
      <c r="JI84" s="51"/>
      <c r="JJ84" s="108">
        <f t="shared" si="173"/>
        <v>960.17</v>
      </c>
      <c r="JK84" s="109">
        <f t="shared" si="174"/>
        <v>960.17</v>
      </c>
      <c r="JL84" s="109">
        <f t="shared" si="91"/>
        <v>0</v>
      </c>
      <c r="JM84" s="110">
        <f t="shared" si="175"/>
        <v>6159.32</v>
      </c>
      <c r="JN84" s="51"/>
      <c r="JO84" s="108">
        <f t="shared" si="92"/>
        <v>0</v>
      </c>
      <c r="JP84" s="109">
        <f t="shared" si="176"/>
        <v>0</v>
      </c>
      <c r="JQ84" s="109">
        <f t="shared" si="93"/>
        <v>0</v>
      </c>
      <c r="JR84" s="110">
        <f t="shared" si="199"/>
        <v>0</v>
      </c>
      <c r="JS84" s="51"/>
      <c r="JT84" s="108">
        <f t="shared" si="177"/>
        <v>960.17</v>
      </c>
      <c r="JU84" s="109">
        <f t="shared" si="178"/>
        <v>960.17</v>
      </c>
      <c r="JV84" s="109">
        <f t="shared" si="94"/>
        <v>0</v>
      </c>
      <c r="JW84" s="110">
        <f t="shared" si="179"/>
        <v>6159.32</v>
      </c>
      <c r="JX84" s="51"/>
      <c r="JY84" s="108">
        <f t="shared" si="95"/>
        <v>0</v>
      </c>
      <c r="JZ84" s="109">
        <f t="shared" si="180"/>
        <v>0</v>
      </c>
      <c r="KA84" s="109">
        <f t="shared" si="96"/>
        <v>0</v>
      </c>
      <c r="KB84" s="110">
        <f t="shared" si="200"/>
        <v>0</v>
      </c>
      <c r="KC84" s="51"/>
      <c r="KD84" s="108">
        <f t="shared" si="181"/>
        <v>960.17</v>
      </c>
      <c r="KE84" s="109">
        <f t="shared" si="182"/>
        <v>960.17</v>
      </c>
      <c r="KF84" s="109">
        <f t="shared" si="97"/>
        <v>0</v>
      </c>
      <c r="KG84" s="110">
        <f t="shared" si="98"/>
        <v>6159.32</v>
      </c>
    </row>
    <row r="85" spans="1:293" ht="12" customHeight="1">
      <c r="A85" s="105">
        <f t="array" ref="A85">MAX(IF($J$80:J84&gt;0,$C$80:C84,0))</f>
        <v>43535</v>
      </c>
      <c r="B85" s="81">
        <f t="shared" si="4"/>
        <v>5</v>
      </c>
      <c r="C85" s="82">
        <f t="shared" si="5"/>
        <v>43692</v>
      </c>
      <c r="D85" s="83">
        <f t="shared" si="6"/>
        <v>108.33000000000001</v>
      </c>
      <c r="E85" s="83">
        <f t="shared" si="99"/>
        <v>0.63</v>
      </c>
      <c r="F85" s="83">
        <f t="shared" si="7"/>
        <v>72.640000000000015</v>
      </c>
      <c r="G85" s="83">
        <f t="shared" si="8"/>
        <v>35.06</v>
      </c>
      <c r="H85" s="83">
        <f t="shared" si="9"/>
        <v>1159.5399999999997</v>
      </c>
      <c r="I85" s="105">
        <f t="array" ref="I85">MAX(IF($R$80:R84&gt;0,$L$80:L84,0))</f>
        <v>0</v>
      </c>
      <c r="J85" s="106"/>
      <c r="K85" s="69">
        <f t="shared" si="10"/>
        <v>5</v>
      </c>
      <c r="L85" s="82">
        <f t="shared" si="183"/>
        <v>0</v>
      </c>
      <c r="M85" s="83">
        <f t="shared" si="11"/>
        <v>960.17</v>
      </c>
      <c r="N85" s="83">
        <f t="shared" si="12"/>
        <v>0</v>
      </c>
      <c r="O85" s="83" t="str">
        <f t="shared" si="13"/>
        <v/>
      </c>
      <c r="P85" s="83">
        <f t="shared" si="14"/>
        <v>0</v>
      </c>
      <c r="Q85" s="83">
        <f t="shared" si="15"/>
        <v>5199.1499999999996</v>
      </c>
      <c r="R85" s="106"/>
      <c r="S85" s="66"/>
      <c r="U85" s="85" t="e">
        <f t="shared" si="0"/>
        <v>#NUM!</v>
      </c>
      <c r="V85" s="86" t="e">
        <f t="shared" si="100"/>
        <v>#NUM!</v>
      </c>
      <c r="W85" s="87" t="e">
        <f t="shared" si="16"/>
        <v>#NUM!</v>
      </c>
      <c r="X85" s="87" t="e">
        <f t="shared" si="17"/>
        <v>#NUM!</v>
      </c>
      <c r="Y85" s="87" t="e">
        <f t="shared" si="18"/>
        <v>#NUM!</v>
      </c>
      <c r="Z85" s="88" t="e">
        <f t="shared" si="1"/>
        <v>#NUM!</v>
      </c>
      <c r="AB85" s="89">
        <f t="shared" si="101"/>
        <v>108.33000000000001</v>
      </c>
      <c r="AC85" s="87">
        <f t="shared" si="19"/>
        <v>115.58</v>
      </c>
      <c r="AD85" s="87" t="str">
        <f t="shared" si="20"/>
        <v/>
      </c>
      <c r="AE85" s="87" t="str">
        <f t="shared" si="21"/>
        <v/>
      </c>
      <c r="AF85" s="86">
        <f t="shared" si="102"/>
        <v>43688</v>
      </c>
      <c r="AG85" s="87">
        <f t="shared" si="2"/>
        <v>1.5</v>
      </c>
      <c r="AH85" s="87">
        <f t="shared" si="103"/>
        <v>0.63</v>
      </c>
      <c r="AI85" s="90"/>
      <c r="AJ85" s="87" t="e">
        <f t="shared" si="22"/>
        <v>#NUM!</v>
      </c>
      <c r="AK85" s="87" t="e">
        <f t="shared" si="104"/>
        <v>#NUM!</v>
      </c>
      <c r="AL85" s="87" t="e">
        <f t="shared" si="105"/>
        <v>#NUM!</v>
      </c>
      <c r="AM85" s="87" t="e">
        <f t="shared" si="106"/>
        <v>#NUM!</v>
      </c>
      <c r="AN85" s="86">
        <f t="shared" si="23"/>
        <v>0</v>
      </c>
      <c r="AO85" s="87">
        <f t="shared" si="24"/>
        <v>0</v>
      </c>
      <c r="AP85" s="88">
        <f t="shared" si="25"/>
        <v>0</v>
      </c>
      <c r="AR85" s="91">
        <f t="shared" si="26"/>
        <v>108.33000000000001</v>
      </c>
      <c r="AS85" s="92">
        <f t="shared" si="27"/>
        <v>115.58</v>
      </c>
      <c r="AT85" s="87" t="str">
        <f t="shared" si="28"/>
        <v/>
      </c>
      <c r="AU85" s="87" t="str">
        <f t="shared" si="29"/>
        <v/>
      </c>
      <c r="AV85" s="86">
        <f t="shared" si="107"/>
        <v>43688</v>
      </c>
      <c r="AW85" s="87">
        <f t="shared" si="108"/>
        <v>1.5</v>
      </c>
      <c r="AX85" s="87">
        <f t="shared" si="109"/>
        <v>0.63</v>
      </c>
      <c r="AY85" s="93"/>
      <c r="AZ85" s="87">
        <f t="shared" si="201"/>
        <v>0</v>
      </c>
      <c r="BA85" s="87">
        <f t="shared" si="110"/>
        <v>0</v>
      </c>
      <c r="BB85" s="87">
        <f t="shared" si="111"/>
        <v>0</v>
      </c>
      <c r="BC85" s="87">
        <f t="shared" si="184"/>
        <v>0</v>
      </c>
      <c r="BD85" s="86" t="e">
        <f t="shared" si="30"/>
        <v>#NUM!</v>
      </c>
      <c r="BE85" s="87" t="e">
        <f t="shared" si="3"/>
        <v>#NUM!</v>
      </c>
      <c r="BF85" s="88">
        <f t="shared" si="112"/>
        <v>0</v>
      </c>
      <c r="BH85" s="87" t="e">
        <f t="shared" si="31"/>
        <v>#NUM!</v>
      </c>
      <c r="BI85" s="51"/>
      <c r="BK85" s="95">
        <v>39547</v>
      </c>
      <c r="BL85" s="96">
        <v>6</v>
      </c>
      <c r="BM85" s="96">
        <v>6</v>
      </c>
      <c r="BP85" t="s">
        <v>225</v>
      </c>
      <c r="BT85" s="51">
        <v>10000.01</v>
      </c>
      <c r="BU85" s="51">
        <v>20000</v>
      </c>
      <c r="BV85" s="30" t="str">
        <f t="shared" si="202"/>
        <v>10000.01-20000</v>
      </c>
      <c r="BW85" s="30" t="s">
        <v>497</v>
      </c>
      <c r="BX85" s="107">
        <v>0.20500000000000002</v>
      </c>
      <c r="BY85" s="107">
        <v>0.20500000000000002</v>
      </c>
      <c r="BZ85" s="107">
        <v>0.20500000000000002</v>
      </c>
      <c r="CA85" s="107">
        <v>0.24500000000000002</v>
      </c>
      <c r="CB85" s="107">
        <v>0.253</v>
      </c>
      <c r="CC85" s="107">
        <v>0.26</v>
      </c>
      <c r="CD85" s="107">
        <v>0.26500000000000001</v>
      </c>
      <c r="CE85" s="30" t="s">
        <v>497</v>
      </c>
      <c r="CF85" s="107">
        <v>0.03</v>
      </c>
      <c r="CG85" s="107">
        <v>2.1000000000000001E-2</v>
      </c>
      <c r="CI85" s="100" t="s">
        <v>498</v>
      </c>
      <c r="CJ85" s="51">
        <v>100</v>
      </c>
      <c r="CK85" s="51">
        <v>6000</v>
      </c>
      <c r="CL85" s="30">
        <v>6.0000000000000001E-3</v>
      </c>
      <c r="CO85" s="100" t="s">
        <v>183</v>
      </c>
      <c r="CP85" s="100">
        <v>1.5</v>
      </c>
      <c r="CQ85" s="30">
        <v>5.0000000000000001E-3</v>
      </c>
      <c r="CR85">
        <v>0.2</v>
      </c>
      <c r="CY85" s="108">
        <f t="shared" si="32"/>
        <v>107.15</v>
      </c>
      <c r="CZ85" s="109">
        <f t="shared" si="33"/>
        <v>72.03</v>
      </c>
      <c r="DA85" s="109">
        <f t="shared" si="34"/>
        <v>35.119999999999997</v>
      </c>
      <c r="DB85" s="110">
        <f t="shared" si="35"/>
        <v>1162.44</v>
      </c>
      <c r="DD85" s="108">
        <f t="shared" si="36"/>
        <v>0.9</v>
      </c>
      <c r="DE85" s="109">
        <f t="shared" si="114"/>
        <v>0.60000000000000009</v>
      </c>
      <c r="DF85" s="109">
        <f t="shared" si="37"/>
        <v>0.3</v>
      </c>
      <c r="DG85" s="110">
        <f t="shared" si="38"/>
        <v>9.8200000000000625</v>
      </c>
      <c r="DI85" s="108">
        <f t="shared" si="115"/>
        <v>107.64000000000001</v>
      </c>
      <c r="DJ85" s="109">
        <f t="shared" si="116"/>
        <v>72.570000000000022</v>
      </c>
      <c r="DK85" s="109">
        <f t="shared" si="39"/>
        <v>35.07</v>
      </c>
      <c r="DL85" s="110">
        <f t="shared" si="40"/>
        <v>1159.8600000000001</v>
      </c>
      <c r="DN85" s="108">
        <f t="shared" si="41"/>
        <v>0.1</v>
      </c>
      <c r="DO85" s="109">
        <f t="shared" si="42"/>
        <v>7.0000000000000007E-2</v>
      </c>
      <c r="DP85" s="109">
        <f t="shared" si="43"/>
        <v>0.03</v>
      </c>
      <c r="DQ85" s="110">
        <f t="shared" si="44"/>
        <v>1.0700000000000429</v>
      </c>
      <c r="DS85" s="108">
        <f t="shared" si="117"/>
        <v>107.70000000000002</v>
      </c>
      <c r="DT85" s="109">
        <f t="shared" si="118"/>
        <v>72.640000000000015</v>
      </c>
      <c r="DU85" s="109">
        <f t="shared" si="45"/>
        <v>35.06</v>
      </c>
      <c r="DV85" s="110">
        <f t="shared" si="185"/>
        <v>1159.5399999999997</v>
      </c>
      <c r="DX85" s="108">
        <f t="shared" si="46"/>
        <v>0</v>
      </c>
      <c r="DY85" s="109">
        <f t="shared" si="119"/>
        <v>0</v>
      </c>
      <c r="DZ85" s="109">
        <f t="shared" si="47"/>
        <v>0</v>
      </c>
      <c r="EA85" s="110">
        <f t="shared" si="120"/>
        <v>9.9999999996924771E-3</v>
      </c>
      <c r="EC85" s="108">
        <f t="shared" si="121"/>
        <v>107.70000000000002</v>
      </c>
      <c r="ED85" s="109">
        <f t="shared" si="122"/>
        <v>72.640000000000015</v>
      </c>
      <c r="EE85" s="109">
        <f t="shared" si="48"/>
        <v>35.06</v>
      </c>
      <c r="EF85" s="110">
        <f t="shared" si="186"/>
        <v>1159.5399999999997</v>
      </c>
      <c r="EH85" s="108">
        <f t="shared" si="49"/>
        <v>0</v>
      </c>
      <c r="EI85" s="109">
        <f t="shared" si="123"/>
        <v>0</v>
      </c>
      <c r="EJ85" s="109">
        <f t="shared" si="50"/>
        <v>0</v>
      </c>
      <c r="EK85" s="110">
        <f t="shared" si="124"/>
        <v>9.9999999996924771E-3</v>
      </c>
      <c r="EM85" s="108">
        <f t="shared" si="125"/>
        <v>107.70000000000002</v>
      </c>
      <c r="EN85" s="109">
        <f t="shared" si="126"/>
        <v>72.640000000000015</v>
      </c>
      <c r="EO85" s="109">
        <f t="shared" si="51"/>
        <v>35.06</v>
      </c>
      <c r="EP85" s="110">
        <f t="shared" si="187"/>
        <v>1159.5399999999997</v>
      </c>
      <c r="ER85" s="108">
        <f t="shared" si="52"/>
        <v>0</v>
      </c>
      <c r="ES85" s="109">
        <f t="shared" si="127"/>
        <v>0</v>
      </c>
      <c r="ET85" s="109">
        <f t="shared" si="53"/>
        <v>0</v>
      </c>
      <c r="EU85" s="110">
        <f t="shared" si="128"/>
        <v>9.9999999996924771E-3</v>
      </c>
      <c r="EW85" s="108">
        <f t="shared" si="129"/>
        <v>107.70000000000002</v>
      </c>
      <c r="EX85" s="109">
        <f t="shared" si="130"/>
        <v>72.640000000000015</v>
      </c>
      <c r="EY85" s="109">
        <f t="shared" si="54"/>
        <v>35.06</v>
      </c>
      <c r="EZ85" s="110">
        <f t="shared" si="188"/>
        <v>1159.5399999999997</v>
      </c>
      <c r="FB85" s="108">
        <f t="shared" si="55"/>
        <v>0</v>
      </c>
      <c r="FC85" s="109">
        <f t="shared" si="131"/>
        <v>0</v>
      </c>
      <c r="FD85" s="109">
        <f t="shared" si="56"/>
        <v>0</v>
      </c>
      <c r="FE85" s="110">
        <f t="shared" si="132"/>
        <v>9.9999999996924771E-3</v>
      </c>
      <c r="FG85" s="108">
        <f t="shared" si="133"/>
        <v>107.70000000000002</v>
      </c>
      <c r="FH85" s="109">
        <f t="shared" si="134"/>
        <v>72.640000000000015</v>
      </c>
      <c r="FI85" s="109">
        <f t="shared" si="57"/>
        <v>35.06</v>
      </c>
      <c r="FJ85" s="110">
        <f t="shared" si="189"/>
        <v>1159.5399999999997</v>
      </c>
      <c r="FL85" s="108">
        <f t="shared" si="58"/>
        <v>0</v>
      </c>
      <c r="FM85" s="109">
        <f t="shared" si="135"/>
        <v>0</v>
      </c>
      <c r="FN85" s="109">
        <f t="shared" si="59"/>
        <v>0</v>
      </c>
      <c r="FO85" s="110">
        <f t="shared" si="136"/>
        <v>9.9999999996924771E-3</v>
      </c>
      <c r="FQ85" s="108">
        <f t="shared" si="137"/>
        <v>107.70000000000002</v>
      </c>
      <c r="FR85" s="109">
        <f t="shared" si="138"/>
        <v>72.640000000000015</v>
      </c>
      <c r="FS85" s="109">
        <f t="shared" si="60"/>
        <v>35.06</v>
      </c>
      <c r="FT85" s="110">
        <f t="shared" si="190"/>
        <v>1159.5399999999997</v>
      </c>
      <c r="FV85" s="108">
        <f t="shared" si="61"/>
        <v>0</v>
      </c>
      <c r="FW85" s="109">
        <f t="shared" si="139"/>
        <v>0</v>
      </c>
      <c r="FX85" s="109">
        <f t="shared" si="62"/>
        <v>0</v>
      </c>
      <c r="FY85" s="110">
        <f t="shared" si="140"/>
        <v>9.9999999996924771E-3</v>
      </c>
      <c r="GA85" s="108">
        <f t="shared" si="141"/>
        <v>107.70000000000002</v>
      </c>
      <c r="GB85" s="109">
        <f t="shared" si="142"/>
        <v>72.640000000000015</v>
      </c>
      <c r="GC85" s="109">
        <f t="shared" si="63"/>
        <v>35.06</v>
      </c>
      <c r="GD85" s="110">
        <f t="shared" si="191"/>
        <v>1159.5399999999997</v>
      </c>
      <c r="GF85" s="108">
        <f t="shared" si="64"/>
        <v>0</v>
      </c>
      <c r="GG85" s="109">
        <f t="shared" si="143"/>
        <v>0</v>
      </c>
      <c r="GH85" s="109">
        <f t="shared" si="65"/>
        <v>0</v>
      </c>
      <c r="GI85" s="110">
        <f t="shared" si="144"/>
        <v>9.9999999996924771E-3</v>
      </c>
      <c r="GK85" s="108">
        <f t="shared" si="145"/>
        <v>107.70000000000002</v>
      </c>
      <c r="GL85" s="109">
        <f t="shared" si="146"/>
        <v>72.640000000000015</v>
      </c>
      <c r="GM85" s="109">
        <f t="shared" si="147"/>
        <v>35.06</v>
      </c>
      <c r="GN85" s="110">
        <f t="shared" si="192"/>
        <v>1159.5399999999997</v>
      </c>
      <c r="GR85" s="108">
        <f t="shared" si="66"/>
        <v>960.17</v>
      </c>
      <c r="GS85" s="109">
        <f t="shared" si="67"/>
        <v>960.17</v>
      </c>
      <c r="GT85" s="109">
        <f t="shared" si="68"/>
        <v>0</v>
      </c>
      <c r="GU85" s="110">
        <f t="shared" si="69"/>
        <v>5199.1499999999996</v>
      </c>
      <c r="GV85" s="51"/>
      <c r="GW85" s="108">
        <f t="shared" si="70"/>
        <v>0</v>
      </c>
      <c r="GX85" s="109">
        <f t="shared" si="148"/>
        <v>0</v>
      </c>
      <c r="GY85" s="109">
        <f t="shared" si="71"/>
        <v>0</v>
      </c>
      <c r="GZ85" s="110">
        <f t="shared" si="72"/>
        <v>0</v>
      </c>
      <c r="HA85" s="51"/>
      <c r="HB85" s="108">
        <f t="shared" si="149"/>
        <v>960.17</v>
      </c>
      <c r="HC85" s="109">
        <f t="shared" si="150"/>
        <v>960.17</v>
      </c>
      <c r="HD85" s="109">
        <f t="shared" si="73"/>
        <v>0</v>
      </c>
      <c r="HE85" s="110">
        <f t="shared" si="151"/>
        <v>5199.1499999999996</v>
      </c>
      <c r="HF85" s="51"/>
      <c r="HG85" s="108">
        <f t="shared" si="74"/>
        <v>0</v>
      </c>
      <c r="HH85" s="109">
        <f t="shared" si="152"/>
        <v>0</v>
      </c>
      <c r="HI85" s="109">
        <f t="shared" si="75"/>
        <v>0</v>
      </c>
      <c r="HJ85" s="110">
        <f t="shared" si="193"/>
        <v>0</v>
      </c>
      <c r="HK85" s="51"/>
      <c r="HL85" s="108">
        <f t="shared" si="153"/>
        <v>960.17</v>
      </c>
      <c r="HM85" s="109">
        <f t="shared" si="154"/>
        <v>960.17</v>
      </c>
      <c r="HN85" s="109">
        <f t="shared" si="76"/>
        <v>0</v>
      </c>
      <c r="HO85" s="110">
        <f t="shared" si="155"/>
        <v>5199.1499999999996</v>
      </c>
      <c r="HP85" s="51"/>
      <c r="HQ85" s="108">
        <f t="shared" si="77"/>
        <v>0</v>
      </c>
      <c r="HR85" s="109">
        <f t="shared" si="156"/>
        <v>0</v>
      </c>
      <c r="HS85" s="109">
        <f t="shared" si="78"/>
        <v>0</v>
      </c>
      <c r="HT85" s="110">
        <f t="shared" si="194"/>
        <v>0</v>
      </c>
      <c r="HU85" s="51"/>
      <c r="HV85" s="108">
        <f t="shared" si="157"/>
        <v>960.17</v>
      </c>
      <c r="HW85" s="109">
        <f t="shared" si="158"/>
        <v>960.17</v>
      </c>
      <c r="HX85" s="109">
        <f t="shared" si="79"/>
        <v>0</v>
      </c>
      <c r="HY85" s="110">
        <f t="shared" si="159"/>
        <v>5199.1499999999996</v>
      </c>
      <c r="HZ85" s="51"/>
      <c r="IA85" s="108">
        <f t="shared" si="80"/>
        <v>0</v>
      </c>
      <c r="IB85" s="109">
        <f t="shared" si="160"/>
        <v>0</v>
      </c>
      <c r="IC85" s="109">
        <f t="shared" si="81"/>
        <v>0</v>
      </c>
      <c r="ID85" s="110">
        <f t="shared" si="195"/>
        <v>0</v>
      </c>
      <c r="IE85" s="51"/>
      <c r="IF85" s="108">
        <f t="shared" si="161"/>
        <v>960.17</v>
      </c>
      <c r="IG85" s="109">
        <f t="shared" si="162"/>
        <v>960.17</v>
      </c>
      <c r="IH85" s="109">
        <f t="shared" si="82"/>
        <v>0</v>
      </c>
      <c r="II85" s="110">
        <f t="shared" si="163"/>
        <v>5199.1499999999996</v>
      </c>
      <c r="IJ85" s="51"/>
      <c r="IK85" s="108">
        <f t="shared" si="83"/>
        <v>0</v>
      </c>
      <c r="IL85" s="109">
        <f t="shared" si="164"/>
        <v>0</v>
      </c>
      <c r="IM85" s="109">
        <f t="shared" si="84"/>
        <v>0</v>
      </c>
      <c r="IN85" s="110">
        <f t="shared" si="196"/>
        <v>0</v>
      </c>
      <c r="IO85" s="51"/>
      <c r="IP85" s="108">
        <f t="shared" si="165"/>
        <v>960.17</v>
      </c>
      <c r="IQ85" s="109">
        <f t="shared" si="166"/>
        <v>960.17</v>
      </c>
      <c r="IR85" s="109">
        <f t="shared" si="85"/>
        <v>0</v>
      </c>
      <c r="IS85" s="110">
        <f t="shared" si="167"/>
        <v>5199.1499999999996</v>
      </c>
      <c r="IT85" s="51"/>
      <c r="IU85" s="108">
        <f t="shared" si="86"/>
        <v>0</v>
      </c>
      <c r="IV85" s="109">
        <f t="shared" si="168"/>
        <v>0</v>
      </c>
      <c r="IW85" s="109">
        <f t="shared" si="87"/>
        <v>0</v>
      </c>
      <c r="IX85" s="110">
        <f t="shared" si="197"/>
        <v>0</v>
      </c>
      <c r="IY85" s="51"/>
      <c r="IZ85" s="108">
        <f t="shared" si="169"/>
        <v>960.17</v>
      </c>
      <c r="JA85" s="109">
        <f t="shared" si="170"/>
        <v>960.17</v>
      </c>
      <c r="JB85" s="109">
        <f t="shared" si="88"/>
        <v>0</v>
      </c>
      <c r="JC85" s="110">
        <f t="shared" si="171"/>
        <v>5199.1499999999996</v>
      </c>
      <c r="JD85" s="51"/>
      <c r="JE85" s="108">
        <f t="shared" si="89"/>
        <v>0</v>
      </c>
      <c r="JF85" s="109">
        <f t="shared" si="172"/>
        <v>0</v>
      </c>
      <c r="JG85" s="109">
        <f t="shared" si="90"/>
        <v>0</v>
      </c>
      <c r="JH85" s="110">
        <f t="shared" si="198"/>
        <v>0</v>
      </c>
      <c r="JI85" s="51"/>
      <c r="JJ85" s="108">
        <f t="shared" si="173"/>
        <v>960.17</v>
      </c>
      <c r="JK85" s="109">
        <f t="shared" si="174"/>
        <v>960.17</v>
      </c>
      <c r="JL85" s="109">
        <f t="shared" si="91"/>
        <v>0</v>
      </c>
      <c r="JM85" s="110">
        <f t="shared" si="175"/>
        <v>5199.1499999999996</v>
      </c>
      <c r="JN85" s="51"/>
      <c r="JO85" s="108">
        <f t="shared" si="92"/>
        <v>0</v>
      </c>
      <c r="JP85" s="109">
        <f t="shared" si="176"/>
        <v>0</v>
      </c>
      <c r="JQ85" s="109">
        <f t="shared" si="93"/>
        <v>0</v>
      </c>
      <c r="JR85" s="110">
        <f t="shared" si="199"/>
        <v>0</v>
      </c>
      <c r="JS85" s="51"/>
      <c r="JT85" s="108">
        <f t="shared" si="177"/>
        <v>960.17</v>
      </c>
      <c r="JU85" s="109">
        <f t="shared" si="178"/>
        <v>960.17</v>
      </c>
      <c r="JV85" s="109">
        <f t="shared" si="94"/>
        <v>0</v>
      </c>
      <c r="JW85" s="110">
        <f t="shared" si="179"/>
        <v>5199.1499999999996</v>
      </c>
      <c r="JX85" s="51"/>
      <c r="JY85" s="108">
        <f t="shared" si="95"/>
        <v>0</v>
      </c>
      <c r="JZ85" s="109">
        <f t="shared" si="180"/>
        <v>0</v>
      </c>
      <c r="KA85" s="109">
        <f t="shared" si="96"/>
        <v>0</v>
      </c>
      <c r="KB85" s="110">
        <f t="shared" si="200"/>
        <v>0</v>
      </c>
      <c r="KC85" s="51"/>
      <c r="KD85" s="108">
        <f t="shared" si="181"/>
        <v>960.17</v>
      </c>
      <c r="KE85" s="109">
        <f t="shared" si="182"/>
        <v>960.17</v>
      </c>
      <c r="KF85" s="109">
        <f t="shared" si="97"/>
        <v>0</v>
      </c>
      <c r="KG85" s="110">
        <f t="shared" si="98"/>
        <v>5199.1499999999996</v>
      </c>
    </row>
    <row r="86" spans="1:293" ht="12" customHeight="1">
      <c r="A86" s="105">
        <f t="array" ref="A86">MAX(IF($J$80:J85&gt;0,$C$80:C85,0))</f>
        <v>43535</v>
      </c>
      <c r="B86" s="81">
        <f t="shared" si="4"/>
        <v>6</v>
      </c>
      <c r="C86" s="82">
        <f t="shared" si="5"/>
        <v>43724</v>
      </c>
      <c r="D86" s="83">
        <f t="shared" si="6"/>
        <v>108.31000000000002</v>
      </c>
      <c r="E86" s="83">
        <f t="shared" si="99"/>
        <v>0.61</v>
      </c>
      <c r="F86" s="83">
        <f t="shared" si="7"/>
        <v>73.640000000000015</v>
      </c>
      <c r="G86" s="83">
        <f t="shared" si="8"/>
        <v>34.06</v>
      </c>
      <c r="H86" s="83">
        <f t="shared" si="9"/>
        <v>1085.8999999999996</v>
      </c>
      <c r="I86" s="105">
        <f t="array" ref="I86">MAX(IF($R$80:R85&gt;0,$L$80:L85,0))</f>
        <v>0</v>
      </c>
      <c r="J86" s="106"/>
      <c r="K86" s="69">
        <f t="shared" si="10"/>
        <v>6</v>
      </c>
      <c r="L86" s="82">
        <f t="shared" si="183"/>
        <v>0</v>
      </c>
      <c r="M86" s="83">
        <f t="shared" si="11"/>
        <v>960.17</v>
      </c>
      <c r="N86" s="83">
        <f t="shared" si="12"/>
        <v>0</v>
      </c>
      <c r="O86" s="83" t="str">
        <f t="shared" si="13"/>
        <v/>
      </c>
      <c r="P86" s="83">
        <f t="shared" si="14"/>
        <v>0</v>
      </c>
      <c r="Q86" s="83">
        <f t="shared" si="15"/>
        <v>4238.9799999999996</v>
      </c>
      <c r="R86" s="106"/>
      <c r="S86" s="66"/>
      <c r="U86" s="85" t="e">
        <f t="shared" si="0"/>
        <v>#NUM!</v>
      </c>
      <c r="V86" s="86" t="e">
        <f t="shared" si="100"/>
        <v>#NUM!</v>
      </c>
      <c r="W86" s="87" t="e">
        <f t="shared" si="16"/>
        <v>#NUM!</v>
      </c>
      <c r="X86" s="87" t="e">
        <f t="shared" si="17"/>
        <v>#NUM!</v>
      </c>
      <c r="Y86" s="87" t="e">
        <f t="shared" si="18"/>
        <v>#NUM!</v>
      </c>
      <c r="Z86" s="88" t="e">
        <f t="shared" si="1"/>
        <v>#NUM!</v>
      </c>
      <c r="AB86" s="89">
        <f t="shared" si="101"/>
        <v>108.31000000000002</v>
      </c>
      <c r="AC86" s="87">
        <f t="shared" si="19"/>
        <v>117.04</v>
      </c>
      <c r="AD86" s="87" t="str">
        <f t="shared" si="20"/>
        <v/>
      </c>
      <c r="AE86" s="87" t="str">
        <f t="shared" si="21"/>
        <v/>
      </c>
      <c r="AF86" s="86">
        <f t="shared" si="102"/>
        <v>43719</v>
      </c>
      <c r="AG86" s="87">
        <f t="shared" si="2"/>
        <v>1.5</v>
      </c>
      <c r="AH86" s="87">
        <f t="shared" si="103"/>
        <v>0.61</v>
      </c>
      <c r="AI86" s="90"/>
      <c r="AJ86" s="87" t="e">
        <f t="shared" si="22"/>
        <v>#NUM!</v>
      </c>
      <c r="AK86" s="87" t="e">
        <f t="shared" si="104"/>
        <v>#NUM!</v>
      </c>
      <c r="AL86" s="87" t="e">
        <f t="shared" si="105"/>
        <v>#NUM!</v>
      </c>
      <c r="AM86" s="87" t="e">
        <f t="shared" si="106"/>
        <v>#NUM!</v>
      </c>
      <c r="AN86" s="86">
        <f t="shared" si="23"/>
        <v>0</v>
      </c>
      <c r="AO86" s="87">
        <f t="shared" si="24"/>
        <v>0</v>
      </c>
      <c r="AP86" s="88">
        <f t="shared" si="25"/>
        <v>0</v>
      </c>
      <c r="AR86" s="91">
        <f t="shared" si="26"/>
        <v>108.31000000000002</v>
      </c>
      <c r="AS86" s="92">
        <f t="shared" si="27"/>
        <v>117.04</v>
      </c>
      <c r="AT86" s="87" t="str">
        <f t="shared" si="28"/>
        <v/>
      </c>
      <c r="AU86" s="87" t="str">
        <f t="shared" si="29"/>
        <v/>
      </c>
      <c r="AV86" s="86">
        <f t="shared" si="107"/>
        <v>43719</v>
      </c>
      <c r="AW86" s="87">
        <f t="shared" si="108"/>
        <v>1.5</v>
      </c>
      <c r="AX86" s="87">
        <f t="shared" si="109"/>
        <v>0.61</v>
      </c>
      <c r="AY86" s="93"/>
      <c r="AZ86" s="87">
        <f t="shared" si="201"/>
        <v>0</v>
      </c>
      <c r="BA86" s="87">
        <f t="shared" si="110"/>
        <v>0</v>
      </c>
      <c r="BB86" s="87">
        <f t="shared" si="111"/>
        <v>0</v>
      </c>
      <c r="BC86" s="87">
        <f t="shared" si="184"/>
        <v>0</v>
      </c>
      <c r="BD86" s="86" t="e">
        <f t="shared" si="30"/>
        <v>#NUM!</v>
      </c>
      <c r="BE86" s="87" t="e">
        <f t="shared" si="3"/>
        <v>#NUM!</v>
      </c>
      <c r="BF86" s="88">
        <f t="shared" si="112"/>
        <v>0</v>
      </c>
      <c r="BH86" s="87" t="e">
        <f t="shared" si="31"/>
        <v>#NUM!</v>
      </c>
      <c r="BI86" s="51"/>
      <c r="BK86" s="95">
        <v>39566</v>
      </c>
      <c r="BL86" s="96">
        <v>7</v>
      </c>
      <c r="BM86" s="96">
        <v>7</v>
      </c>
      <c r="BP86" t="s">
        <v>226</v>
      </c>
      <c r="BT86" s="51">
        <v>20000.009999999998</v>
      </c>
      <c r="BU86" s="51">
        <v>30000</v>
      </c>
      <c r="BV86" s="30" t="str">
        <f t="shared" si="202"/>
        <v>20000.01-30000</v>
      </c>
      <c r="BW86" s="30" t="s">
        <v>497</v>
      </c>
      <c r="BX86" s="30">
        <v>0.2</v>
      </c>
      <c r="BY86" s="107">
        <v>0.2</v>
      </c>
      <c r="BZ86" s="107">
        <v>0.2</v>
      </c>
      <c r="CA86" s="107">
        <v>0.23499999999999999</v>
      </c>
      <c r="CB86" s="107">
        <v>0.24</v>
      </c>
      <c r="CC86" s="107">
        <v>0.245</v>
      </c>
      <c r="CD86" s="107">
        <v>0.25</v>
      </c>
      <c r="CE86" s="30" t="s">
        <v>497</v>
      </c>
      <c r="CF86" s="107">
        <v>2.5000000000000001E-2</v>
      </c>
      <c r="CG86" s="107">
        <v>1.6E-2</v>
      </c>
      <c r="CI86" s="100" t="s">
        <v>499</v>
      </c>
      <c r="CJ86" s="51">
        <v>100</v>
      </c>
      <c r="CK86" s="51">
        <v>3000</v>
      </c>
      <c r="CL86" s="30">
        <v>6.0000000000000001E-3</v>
      </c>
      <c r="CY86" s="108">
        <f t="shared" si="32"/>
        <v>107.15</v>
      </c>
      <c r="CZ86" s="109">
        <f t="shared" si="33"/>
        <v>73.010000000000005</v>
      </c>
      <c r="DA86" s="109">
        <f t="shared" si="34"/>
        <v>34.14</v>
      </c>
      <c r="DB86" s="110">
        <f t="shared" si="35"/>
        <v>1089.43</v>
      </c>
      <c r="DD86" s="108">
        <f t="shared" si="36"/>
        <v>0.9</v>
      </c>
      <c r="DE86" s="109">
        <f t="shared" si="114"/>
        <v>0.6100000000000001</v>
      </c>
      <c r="DF86" s="109">
        <f t="shared" si="37"/>
        <v>0.28999999999999998</v>
      </c>
      <c r="DG86" s="110">
        <f t="shared" si="38"/>
        <v>9.210000000000063</v>
      </c>
      <c r="DI86" s="108">
        <f t="shared" si="115"/>
        <v>107.64000000000001</v>
      </c>
      <c r="DJ86" s="109">
        <f t="shared" si="116"/>
        <v>73.580000000000013</v>
      </c>
      <c r="DK86" s="109">
        <f t="shared" si="39"/>
        <v>34.06</v>
      </c>
      <c r="DL86" s="110">
        <f t="shared" si="40"/>
        <v>1086.2800000000002</v>
      </c>
      <c r="DN86" s="108">
        <f t="shared" si="41"/>
        <v>0.1</v>
      </c>
      <c r="DO86" s="109">
        <f t="shared" si="42"/>
        <v>7.0000000000000007E-2</v>
      </c>
      <c r="DP86" s="109">
        <f t="shared" si="43"/>
        <v>0.03</v>
      </c>
      <c r="DQ86" s="110">
        <f t="shared" si="44"/>
        <v>1.0000000000000429</v>
      </c>
      <c r="DS86" s="108">
        <f t="shared" si="117"/>
        <v>107.70000000000002</v>
      </c>
      <c r="DT86" s="109">
        <f t="shared" si="118"/>
        <v>73.640000000000015</v>
      </c>
      <c r="DU86" s="109">
        <f t="shared" si="45"/>
        <v>34.06</v>
      </c>
      <c r="DV86" s="110">
        <f t="shared" si="185"/>
        <v>1085.8999999999996</v>
      </c>
      <c r="DX86" s="108">
        <f t="shared" si="46"/>
        <v>0</v>
      </c>
      <c r="DY86" s="109">
        <f t="shared" si="119"/>
        <v>0</v>
      </c>
      <c r="DZ86" s="109">
        <f t="shared" si="47"/>
        <v>0</v>
      </c>
      <c r="EA86" s="110">
        <f t="shared" si="120"/>
        <v>9.9999999996924771E-3</v>
      </c>
      <c r="EC86" s="108">
        <f t="shared" si="121"/>
        <v>107.70000000000002</v>
      </c>
      <c r="ED86" s="109">
        <f t="shared" si="122"/>
        <v>73.640000000000015</v>
      </c>
      <c r="EE86" s="109">
        <f t="shared" si="48"/>
        <v>34.06</v>
      </c>
      <c r="EF86" s="110">
        <f t="shared" si="186"/>
        <v>1085.8999999999996</v>
      </c>
      <c r="EH86" s="108">
        <f t="shared" si="49"/>
        <v>0</v>
      </c>
      <c r="EI86" s="109">
        <f t="shared" si="123"/>
        <v>0</v>
      </c>
      <c r="EJ86" s="109">
        <f t="shared" si="50"/>
        <v>0</v>
      </c>
      <c r="EK86" s="110">
        <f t="shared" si="124"/>
        <v>9.9999999996924771E-3</v>
      </c>
      <c r="EM86" s="108">
        <f t="shared" si="125"/>
        <v>107.70000000000002</v>
      </c>
      <c r="EN86" s="109">
        <f t="shared" si="126"/>
        <v>73.640000000000015</v>
      </c>
      <c r="EO86" s="109">
        <f t="shared" si="51"/>
        <v>34.06</v>
      </c>
      <c r="EP86" s="110">
        <f t="shared" si="187"/>
        <v>1085.8999999999996</v>
      </c>
      <c r="ER86" s="108">
        <f t="shared" si="52"/>
        <v>0</v>
      </c>
      <c r="ES86" s="109">
        <f t="shared" si="127"/>
        <v>0</v>
      </c>
      <c r="ET86" s="109">
        <f t="shared" si="53"/>
        <v>0</v>
      </c>
      <c r="EU86" s="110">
        <f t="shared" si="128"/>
        <v>9.9999999996924771E-3</v>
      </c>
      <c r="EW86" s="108">
        <f t="shared" si="129"/>
        <v>107.70000000000002</v>
      </c>
      <c r="EX86" s="109">
        <f t="shared" si="130"/>
        <v>73.640000000000015</v>
      </c>
      <c r="EY86" s="109">
        <f t="shared" si="54"/>
        <v>34.06</v>
      </c>
      <c r="EZ86" s="110">
        <f t="shared" si="188"/>
        <v>1085.8999999999996</v>
      </c>
      <c r="FB86" s="108">
        <f t="shared" si="55"/>
        <v>0</v>
      </c>
      <c r="FC86" s="109">
        <f t="shared" si="131"/>
        <v>0</v>
      </c>
      <c r="FD86" s="109">
        <f t="shared" si="56"/>
        <v>0</v>
      </c>
      <c r="FE86" s="110">
        <f t="shared" si="132"/>
        <v>9.9999999996924771E-3</v>
      </c>
      <c r="FG86" s="108">
        <f t="shared" si="133"/>
        <v>107.70000000000002</v>
      </c>
      <c r="FH86" s="109">
        <f t="shared" si="134"/>
        <v>73.640000000000015</v>
      </c>
      <c r="FI86" s="109">
        <f t="shared" si="57"/>
        <v>34.06</v>
      </c>
      <c r="FJ86" s="110">
        <f t="shared" si="189"/>
        <v>1085.8999999999996</v>
      </c>
      <c r="FL86" s="108">
        <f t="shared" si="58"/>
        <v>0</v>
      </c>
      <c r="FM86" s="109">
        <f t="shared" si="135"/>
        <v>0</v>
      </c>
      <c r="FN86" s="109">
        <f t="shared" si="59"/>
        <v>0</v>
      </c>
      <c r="FO86" s="110">
        <f t="shared" si="136"/>
        <v>9.9999999996924771E-3</v>
      </c>
      <c r="FQ86" s="108">
        <f t="shared" si="137"/>
        <v>107.70000000000002</v>
      </c>
      <c r="FR86" s="109">
        <f t="shared" si="138"/>
        <v>73.640000000000015</v>
      </c>
      <c r="FS86" s="109">
        <f t="shared" si="60"/>
        <v>34.06</v>
      </c>
      <c r="FT86" s="110">
        <f t="shared" si="190"/>
        <v>1085.8999999999996</v>
      </c>
      <c r="FV86" s="108">
        <f t="shared" si="61"/>
        <v>0</v>
      </c>
      <c r="FW86" s="109">
        <f t="shared" si="139"/>
        <v>0</v>
      </c>
      <c r="FX86" s="109">
        <f t="shared" si="62"/>
        <v>0</v>
      </c>
      <c r="FY86" s="110">
        <f t="shared" si="140"/>
        <v>9.9999999996924771E-3</v>
      </c>
      <c r="GA86" s="108">
        <f t="shared" si="141"/>
        <v>107.70000000000002</v>
      </c>
      <c r="GB86" s="109">
        <f t="shared" si="142"/>
        <v>73.640000000000015</v>
      </c>
      <c r="GC86" s="109">
        <f t="shared" si="63"/>
        <v>34.06</v>
      </c>
      <c r="GD86" s="110">
        <f t="shared" si="191"/>
        <v>1085.8999999999996</v>
      </c>
      <c r="GF86" s="108">
        <f t="shared" si="64"/>
        <v>0</v>
      </c>
      <c r="GG86" s="109">
        <f t="shared" si="143"/>
        <v>0</v>
      </c>
      <c r="GH86" s="109">
        <f t="shared" si="65"/>
        <v>0</v>
      </c>
      <c r="GI86" s="110">
        <f t="shared" si="144"/>
        <v>9.9999999996924771E-3</v>
      </c>
      <c r="GK86" s="108">
        <f t="shared" si="145"/>
        <v>107.70000000000002</v>
      </c>
      <c r="GL86" s="109">
        <f t="shared" si="146"/>
        <v>73.640000000000015</v>
      </c>
      <c r="GM86" s="109">
        <f t="shared" si="147"/>
        <v>34.06</v>
      </c>
      <c r="GN86" s="110">
        <f t="shared" si="192"/>
        <v>1085.8999999999996</v>
      </c>
      <c r="GR86" s="108">
        <f t="shared" si="66"/>
        <v>960.17</v>
      </c>
      <c r="GS86" s="109">
        <f t="shared" si="67"/>
        <v>960.17</v>
      </c>
      <c r="GT86" s="109">
        <f t="shared" si="68"/>
        <v>0</v>
      </c>
      <c r="GU86" s="110">
        <f t="shared" si="69"/>
        <v>4238.9799999999996</v>
      </c>
      <c r="GV86" s="51"/>
      <c r="GW86" s="108">
        <f t="shared" si="70"/>
        <v>0</v>
      </c>
      <c r="GX86" s="109">
        <f t="shared" si="148"/>
        <v>0</v>
      </c>
      <c r="GY86" s="109">
        <f t="shared" si="71"/>
        <v>0</v>
      </c>
      <c r="GZ86" s="110">
        <f t="shared" si="72"/>
        <v>0</v>
      </c>
      <c r="HA86" s="51"/>
      <c r="HB86" s="108">
        <f t="shared" si="149"/>
        <v>960.17</v>
      </c>
      <c r="HC86" s="109">
        <f t="shared" si="150"/>
        <v>960.17</v>
      </c>
      <c r="HD86" s="109">
        <f t="shared" si="73"/>
        <v>0</v>
      </c>
      <c r="HE86" s="110">
        <f t="shared" si="151"/>
        <v>4238.9799999999996</v>
      </c>
      <c r="HF86" s="51"/>
      <c r="HG86" s="108">
        <f t="shared" si="74"/>
        <v>0</v>
      </c>
      <c r="HH86" s="109">
        <f t="shared" si="152"/>
        <v>0</v>
      </c>
      <c r="HI86" s="109">
        <f t="shared" si="75"/>
        <v>0</v>
      </c>
      <c r="HJ86" s="110">
        <f t="shared" si="193"/>
        <v>0</v>
      </c>
      <c r="HK86" s="51"/>
      <c r="HL86" s="108">
        <f t="shared" si="153"/>
        <v>960.17</v>
      </c>
      <c r="HM86" s="109">
        <f t="shared" si="154"/>
        <v>960.17</v>
      </c>
      <c r="HN86" s="109">
        <f t="shared" si="76"/>
        <v>0</v>
      </c>
      <c r="HO86" s="110">
        <f t="shared" si="155"/>
        <v>4238.9799999999996</v>
      </c>
      <c r="HP86" s="51"/>
      <c r="HQ86" s="108">
        <f t="shared" si="77"/>
        <v>0</v>
      </c>
      <c r="HR86" s="109">
        <f t="shared" si="156"/>
        <v>0</v>
      </c>
      <c r="HS86" s="109">
        <f t="shared" si="78"/>
        <v>0</v>
      </c>
      <c r="HT86" s="110">
        <f t="shared" si="194"/>
        <v>0</v>
      </c>
      <c r="HU86" s="51"/>
      <c r="HV86" s="108">
        <f t="shared" si="157"/>
        <v>960.17</v>
      </c>
      <c r="HW86" s="109">
        <f t="shared" si="158"/>
        <v>960.17</v>
      </c>
      <c r="HX86" s="109">
        <f t="shared" si="79"/>
        <v>0</v>
      </c>
      <c r="HY86" s="110">
        <f t="shared" si="159"/>
        <v>4238.9799999999996</v>
      </c>
      <c r="HZ86" s="51"/>
      <c r="IA86" s="108">
        <f t="shared" si="80"/>
        <v>0</v>
      </c>
      <c r="IB86" s="109">
        <f t="shared" si="160"/>
        <v>0</v>
      </c>
      <c r="IC86" s="109">
        <f t="shared" si="81"/>
        <v>0</v>
      </c>
      <c r="ID86" s="110">
        <f t="shared" si="195"/>
        <v>0</v>
      </c>
      <c r="IE86" s="51"/>
      <c r="IF86" s="108">
        <f t="shared" si="161"/>
        <v>960.17</v>
      </c>
      <c r="IG86" s="109">
        <f t="shared" si="162"/>
        <v>960.17</v>
      </c>
      <c r="IH86" s="109">
        <f t="shared" si="82"/>
        <v>0</v>
      </c>
      <c r="II86" s="110">
        <f t="shared" si="163"/>
        <v>4238.9799999999996</v>
      </c>
      <c r="IJ86" s="51"/>
      <c r="IK86" s="108">
        <f t="shared" si="83"/>
        <v>0</v>
      </c>
      <c r="IL86" s="109">
        <f t="shared" si="164"/>
        <v>0</v>
      </c>
      <c r="IM86" s="109">
        <f t="shared" si="84"/>
        <v>0</v>
      </c>
      <c r="IN86" s="110">
        <f t="shared" si="196"/>
        <v>0</v>
      </c>
      <c r="IO86" s="51"/>
      <c r="IP86" s="108">
        <f t="shared" si="165"/>
        <v>960.17</v>
      </c>
      <c r="IQ86" s="109">
        <f t="shared" si="166"/>
        <v>960.17</v>
      </c>
      <c r="IR86" s="109">
        <f t="shared" si="85"/>
        <v>0</v>
      </c>
      <c r="IS86" s="110">
        <f t="shared" si="167"/>
        <v>4238.9799999999996</v>
      </c>
      <c r="IT86" s="51"/>
      <c r="IU86" s="108">
        <f t="shared" si="86"/>
        <v>0</v>
      </c>
      <c r="IV86" s="109">
        <f t="shared" si="168"/>
        <v>0</v>
      </c>
      <c r="IW86" s="109">
        <f t="shared" si="87"/>
        <v>0</v>
      </c>
      <c r="IX86" s="110">
        <f t="shared" si="197"/>
        <v>0</v>
      </c>
      <c r="IY86" s="51"/>
      <c r="IZ86" s="108">
        <f t="shared" si="169"/>
        <v>960.17</v>
      </c>
      <c r="JA86" s="109">
        <f t="shared" si="170"/>
        <v>960.17</v>
      </c>
      <c r="JB86" s="109">
        <f t="shared" si="88"/>
        <v>0</v>
      </c>
      <c r="JC86" s="110">
        <f t="shared" si="171"/>
        <v>4238.9799999999996</v>
      </c>
      <c r="JD86" s="51"/>
      <c r="JE86" s="108">
        <f t="shared" si="89"/>
        <v>0</v>
      </c>
      <c r="JF86" s="109">
        <f t="shared" si="172"/>
        <v>0</v>
      </c>
      <c r="JG86" s="109">
        <f t="shared" si="90"/>
        <v>0</v>
      </c>
      <c r="JH86" s="110">
        <f t="shared" si="198"/>
        <v>0</v>
      </c>
      <c r="JI86" s="51"/>
      <c r="JJ86" s="108">
        <f t="shared" si="173"/>
        <v>960.17</v>
      </c>
      <c r="JK86" s="109">
        <f t="shared" si="174"/>
        <v>960.17</v>
      </c>
      <c r="JL86" s="109">
        <f t="shared" si="91"/>
        <v>0</v>
      </c>
      <c r="JM86" s="110">
        <f t="shared" si="175"/>
        <v>4238.9799999999996</v>
      </c>
      <c r="JN86" s="51"/>
      <c r="JO86" s="108">
        <f t="shared" si="92"/>
        <v>0</v>
      </c>
      <c r="JP86" s="109">
        <f t="shared" si="176"/>
        <v>0</v>
      </c>
      <c r="JQ86" s="109">
        <f t="shared" si="93"/>
        <v>0</v>
      </c>
      <c r="JR86" s="110">
        <f t="shared" si="199"/>
        <v>0</v>
      </c>
      <c r="JS86" s="51"/>
      <c r="JT86" s="108">
        <f t="shared" si="177"/>
        <v>960.17</v>
      </c>
      <c r="JU86" s="109">
        <f t="shared" si="178"/>
        <v>960.17</v>
      </c>
      <c r="JV86" s="109">
        <f t="shared" si="94"/>
        <v>0</v>
      </c>
      <c r="JW86" s="110">
        <f t="shared" si="179"/>
        <v>4238.9799999999996</v>
      </c>
      <c r="JX86" s="51"/>
      <c r="JY86" s="108">
        <f t="shared" si="95"/>
        <v>0</v>
      </c>
      <c r="JZ86" s="109">
        <f t="shared" si="180"/>
        <v>0</v>
      </c>
      <c r="KA86" s="109">
        <f t="shared" si="96"/>
        <v>0</v>
      </c>
      <c r="KB86" s="110">
        <f t="shared" si="200"/>
        <v>0</v>
      </c>
      <c r="KC86" s="51"/>
      <c r="KD86" s="108">
        <f t="shared" si="181"/>
        <v>960.17</v>
      </c>
      <c r="KE86" s="109">
        <f t="shared" si="182"/>
        <v>960.17</v>
      </c>
      <c r="KF86" s="109">
        <f t="shared" si="97"/>
        <v>0</v>
      </c>
      <c r="KG86" s="110">
        <f t="shared" si="98"/>
        <v>4238.9799999999996</v>
      </c>
    </row>
    <row r="87" spans="1:293" ht="12" customHeight="1">
      <c r="A87" s="105">
        <f t="array" ref="A87">MAX(IF($J$80:J86&gt;0,$C$80:C86,0))</f>
        <v>43535</v>
      </c>
      <c r="B87" s="81">
        <f t="shared" si="4"/>
        <v>7</v>
      </c>
      <c r="C87" s="82">
        <f t="shared" si="5"/>
        <v>43753</v>
      </c>
      <c r="D87" s="83">
        <f t="shared" si="6"/>
        <v>108.22000000000001</v>
      </c>
      <c r="E87" s="83">
        <f t="shared" si="99"/>
        <v>0.52</v>
      </c>
      <c r="F87" s="83">
        <f t="shared" si="7"/>
        <v>78.800000000000011</v>
      </c>
      <c r="G87" s="83">
        <f t="shared" si="8"/>
        <v>28.9</v>
      </c>
      <c r="H87" s="83">
        <f t="shared" si="9"/>
        <v>1007.0999999999997</v>
      </c>
      <c r="I87" s="105">
        <f t="array" ref="I87">MAX(IF($R$80:R86&gt;0,$L$80:L86,0))</f>
        <v>0</v>
      </c>
      <c r="J87" s="106"/>
      <c r="K87" s="69">
        <f t="shared" si="10"/>
        <v>7</v>
      </c>
      <c r="L87" s="82">
        <f t="shared" si="183"/>
        <v>0</v>
      </c>
      <c r="M87" s="83">
        <f t="shared" si="11"/>
        <v>960.17</v>
      </c>
      <c r="N87" s="83">
        <f t="shared" si="12"/>
        <v>0</v>
      </c>
      <c r="O87" s="83" t="str">
        <f t="shared" si="13"/>
        <v/>
      </c>
      <c r="P87" s="83">
        <f t="shared" si="14"/>
        <v>0</v>
      </c>
      <c r="Q87" s="83">
        <f t="shared" si="15"/>
        <v>3278.8099999999995</v>
      </c>
      <c r="R87" s="106"/>
      <c r="S87" s="66"/>
      <c r="U87" s="85" t="e">
        <f t="shared" si="0"/>
        <v>#NUM!</v>
      </c>
      <c r="V87" s="86" t="e">
        <f t="shared" si="100"/>
        <v>#NUM!</v>
      </c>
      <c r="W87" s="87" t="e">
        <f t="shared" si="16"/>
        <v>#NUM!</v>
      </c>
      <c r="X87" s="87" t="e">
        <f t="shared" si="17"/>
        <v>#NUM!</v>
      </c>
      <c r="Y87" s="87" t="e">
        <f t="shared" si="18"/>
        <v>#NUM!</v>
      </c>
      <c r="Z87" s="88" t="e">
        <f t="shared" si="1"/>
        <v>#NUM!</v>
      </c>
      <c r="AB87" s="89">
        <f t="shared" si="101"/>
        <v>108.22000000000001</v>
      </c>
      <c r="AC87" s="87">
        <f t="shared" si="19"/>
        <v>118.28</v>
      </c>
      <c r="AD87" s="87" t="str">
        <f t="shared" si="20"/>
        <v/>
      </c>
      <c r="AE87" s="87" t="str">
        <f t="shared" si="21"/>
        <v/>
      </c>
      <c r="AF87" s="86">
        <f t="shared" si="102"/>
        <v>43749</v>
      </c>
      <c r="AG87" s="87">
        <f t="shared" si="2"/>
        <v>1.5</v>
      </c>
      <c r="AH87" s="87">
        <f t="shared" si="103"/>
        <v>0.52</v>
      </c>
      <c r="AI87" s="90"/>
      <c r="AJ87" s="87" t="e">
        <f t="shared" si="22"/>
        <v>#NUM!</v>
      </c>
      <c r="AK87" s="87" t="e">
        <f t="shared" si="104"/>
        <v>#NUM!</v>
      </c>
      <c r="AL87" s="87" t="e">
        <f t="shared" si="105"/>
        <v>#NUM!</v>
      </c>
      <c r="AM87" s="87" t="e">
        <f t="shared" si="106"/>
        <v>#NUM!</v>
      </c>
      <c r="AN87" s="86">
        <f t="shared" si="23"/>
        <v>0</v>
      </c>
      <c r="AO87" s="87">
        <f t="shared" si="24"/>
        <v>0</v>
      </c>
      <c r="AP87" s="88">
        <f t="shared" si="25"/>
        <v>0</v>
      </c>
      <c r="AR87" s="91">
        <f t="shared" si="26"/>
        <v>108.22000000000001</v>
      </c>
      <c r="AS87" s="92">
        <f t="shared" si="27"/>
        <v>118.28</v>
      </c>
      <c r="AT87" s="87" t="str">
        <f t="shared" si="28"/>
        <v/>
      </c>
      <c r="AU87" s="87" t="str">
        <f t="shared" si="29"/>
        <v/>
      </c>
      <c r="AV87" s="86">
        <f t="shared" si="107"/>
        <v>43749</v>
      </c>
      <c r="AW87" s="87">
        <f t="shared" si="108"/>
        <v>1.5</v>
      </c>
      <c r="AX87" s="87">
        <f t="shared" si="109"/>
        <v>0.52</v>
      </c>
      <c r="AY87" s="93"/>
      <c r="AZ87" s="87">
        <f t="shared" si="201"/>
        <v>0</v>
      </c>
      <c r="BA87" s="87">
        <f t="shared" si="110"/>
        <v>0</v>
      </c>
      <c r="BB87" s="87">
        <f t="shared" si="111"/>
        <v>0</v>
      </c>
      <c r="BC87" s="87">
        <f t="shared" si="184"/>
        <v>0</v>
      </c>
      <c r="BD87" s="86" t="e">
        <f t="shared" si="30"/>
        <v>#NUM!</v>
      </c>
      <c r="BE87" s="87" t="e">
        <f t="shared" si="3"/>
        <v>#NUM!</v>
      </c>
      <c r="BF87" s="88">
        <f t="shared" si="112"/>
        <v>0</v>
      </c>
      <c r="BH87" s="87" t="e">
        <f t="shared" si="31"/>
        <v>#NUM!</v>
      </c>
      <c r="BI87" s="51"/>
      <c r="BK87" s="95">
        <v>39577</v>
      </c>
      <c r="BL87" s="96">
        <v>8</v>
      </c>
      <c r="BM87" s="96">
        <v>8</v>
      </c>
      <c r="BP87" t="s">
        <v>274</v>
      </c>
      <c r="BT87" s="51">
        <v>30000.01</v>
      </c>
      <c r="BU87" s="51">
        <v>40000</v>
      </c>
      <c r="BV87" s="30" t="str">
        <f t="shared" si="202"/>
        <v>30000.01-40000</v>
      </c>
      <c r="BW87" s="30" t="s">
        <v>497</v>
      </c>
      <c r="BX87" s="30">
        <v>0.19</v>
      </c>
      <c r="BY87" s="107">
        <v>0.19</v>
      </c>
      <c r="BZ87" s="107">
        <v>0.19</v>
      </c>
      <c r="CA87" s="107">
        <v>0.21000000000000002</v>
      </c>
      <c r="CB87" s="107">
        <v>0.21500000000000002</v>
      </c>
      <c r="CC87" s="107">
        <v>0.22000000000000003</v>
      </c>
      <c r="CD87" s="107">
        <v>0.22000000000000003</v>
      </c>
      <c r="CE87" s="30" t="s">
        <v>497</v>
      </c>
      <c r="CF87" s="107">
        <v>1.4999999999999999E-2</v>
      </c>
      <c r="CG87" s="107">
        <v>1.6E-2</v>
      </c>
      <c r="CI87" s="100" t="s">
        <v>272</v>
      </c>
      <c r="CL87" s="30">
        <v>0</v>
      </c>
      <c r="CY87" s="108">
        <f t="shared" si="32"/>
        <v>107.15</v>
      </c>
      <c r="CZ87" s="109">
        <f t="shared" si="33"/>
        <v>78.150000000000006</v>
      </c>
      <c r="DA87" s="109">
        <f t="shared" si="34"/>
        <v>29</v>
      </c>
      <c r="DB87" s="110">
        <f t="shared" si="35"/>
        <v>1011.2800000000001</v>
      </c>
      <c r="DD87" s="108">
        <f t="shared" si="36"/>
        <v>0.9</v>
      </c>
      <c r="DE87" s="109">
        <f t="shared" si="114"/>
        <v>0.65</v>
      </c>
      <c r="DF87" s="109">
        <f t="shared" si="37"/>
        <v>0.25</v>
      </c>
      <c r="DG87" s="110">
        <f t="shared" si="38"/>
        <v>8.5600000000000627</v>
      </c>
      <c r="DI87" s="108">
        <f t="shared" si="115"/>
        <v>107.64000000000001</v>
      </c>
      <c r="DJ87" s="109">
        <f t="shared" si="116"/>
        <v>78.730000000000018</v>
      </c>
      <c r="DK87" s="109">
        <f t="shared" si="39"/>
        <v>28.91</v>
      </c>
      <c r="DL87" s="110">
        <f t="shared" si="40"/>
        <v>1007.5500000000002</v>
      </c>
      <c r="DN87" s="108">
        <f t="shared" si="41"/>
        <v>0.1</v>
      </c>
      <c r="DO87" s="109">
        <f t="shared" si="42"/>
        <v>7.0000000000000007E-2</v>
      </c>
      <c r="DP87" s="109">
        <f t="shared" si="43"/>
        <v>0.03</v>
      </c>
      <c r="DQ87" s="110">
        <f t="shared" si="44"/>
        <v>0.93000000000004279</v>
      </c>
      <c r="DS87" s="108">
        <f t="shared" si="117"/>
        <v>107.70000000000002</v>
      </c>
      <c r="DT87" s="109">
        <f t="shared" si="118"/>
        <v>78.800000000000011</v>
      </c>
      <c r="DU87" s="109">
        <f t="shared" si="45"/>
        <v>28.9</v>
      </c>
      <c r="DV87" s="110">
        <f t="shared" si="185"/>
        <v>1007.0999999999997</v>
      </c>
      <c r="DX87" s="108">
        <f t="shared" si="46"/>
        <v>0</v>
      </c>
      <c r="DY87" s="109">
        <f t="shared" si="119"/>
        <v>0</v>
      </c>
      <c r="DZ87" s="109">
        <f t="shared" si="47"/>
        <v>0</v>
      </c>
      <c r="EA87" s="110">
        <f t="shared" si="120"/>
        <v>9.9999999996924771E-3</v>
      </c>
      <c r="EC87" s="108">
        <f t="shared" si="121"/>
        <v>107.70000000000002</v>
      </c>
      <c r="ED87" s="109">
        <f t="shared" si="122"/>
        <v>78.800000000000011</v>
      </c>
      <c r="EE87" s="109">
        <f t="shared" si="48"/>
        <v>28.9</v>
      </c>
      <c r="EF87" s="110">
        <f t="shared" si="186"/>
        <v>1007.0999999999997</v>
      </c>
      <c r="EH87" s="108">
        <f t="shared" si="49"/>
        <v>0</v>
      </c>
      <c r="EI87" s="109">
        <f t="shared" si="123"/>
        <v>0</v>
      </c>
      <c r="EJ87" s="109">
        <f t="shared" si="50"/>
        <v>0</v>
      </c>
      <c r="EK87" s="110">
        <f t="shared" si="124"/>
        <v>9.9999999996924771E-3</v>
      </c>
      <c r="EM87" s="108">
        <f t="shared" si="125"/>
        <v>107.70000000000002</v>
      </c>
      <c r="EN87" s="109">
        <f t="shared" si="126"/>
        <v>78.800000000000011</v>
      </c>
      <c r="EO87" s="109">
        <f t="shared" si="51"/>
        <v>28.9</v>
      </c>
      <c r="EP87" s="110">
        <f t="shared" si="187"/>
        <v>1007.0999999999997</v>
      </c>
      <c r="ER87" s="108">
        <f t="shared" si="52"/>
        <v>0</v>
      </c>
      <c r="ES87" s="109">
        <f t="shared" si="127"/>
        <v>0</v>
      </c>
      <c r="ET87" s="109">
        <f t="shared" si="53"/>
        <v>0</v>
      </c>
      <c r="EU87" s="110">
        <f t="shared" si="128"/>
        <v>9.9999999996924771E-3</v>
      </c>
      <c r="EW87" s="108">
        <f t="shared" si="129"/>
        <v>107.70000000000002</v>
      </c>
      <c r="EX87" s="109">
        <f t="shared" si="130"/>
        <v>78.800000000000011</v>
      </c>
      <c r="EY87" s="109">
        <f t="shared" si="54"/>
        <v>28.9</v>
      </c>
      <c r="EZ87" s="110">
        <f t="shared" si="188"/>
        <v>1007.0999999999997</v>
      </c>
      <c r="FB87" s="108">
        <f t="shared" si="55"/>
        <v>0</v>
      </c>
      <c r="FC87" s="109">
        <f t="shared" si="131"/>
        <v>0</v>
      </c>
      <c r="FD87" s="109">
        <f t="shared" si="56"/>
        <v>0</v>
      </c>
      <c r="FE87" s="110">
        <f t="shared" si="132"/>
        <v>9.9999999996924771E-3</v>
      </c>
      <c r="FG87" s="108">
        <f t="shared" si="133"/>
        <v>107.70000000000002</v>
      </c>
      <c r="FH87" s="109">
        <f t="shared" si="134"/>
        <v>78.800000000000011</v>
      </c>
      <c r="FI87" s="109">
        <f t="shared" si="57"/>
        <v>28.9</v>
      </c>
      <c r="FJ87" s="110">
        <f t="shared" si="189"/>
        <v>1007.0999999999997</v>
      </c>
      <c r="FL87" s="108">
        <f t="shared" si="58"/>
        <v>0</v>
      </c>
      <c r="FM87" s="109">
        <f t="shared" si="135"/>
        <v>0</v>
      </c>
      <c r="FN87" s="109">
        <f t="shared" si="59"/>
        <v>0</v>
      </c>
      <c r="FO87" s="110">
        <f t="shared" si="136"/>
        <v>9.9999999996924771E-3</v>
      </c>
      <c r="FQ87" s="108">
        <f t="shared" si="137"/>
        <v>107.70000000000002</v>
      </c>
      <c r="FR87" s="109">
        <f t="shared" si="138"/>
        <v>78.800000000000011</v>
      </c>
      <c r="FS87" s="109">
        <f t="shared" si="60"/>
        <v>28.9</v>
      </c>
      <c r="FT87" s="110">
        <f t="shared" si="190"/>
        <v>1007.0999999999997</v>
      </c>
      <c r="FV87" s="108">
        <f t="shared" si="61"/>
        <v>0</v>
      </c>
      <c r="FW87" s="109">
        <f t="shared" si="139"/>
        <v>0</v>
      </c>
      <c r="FX87" s="109">
        <f t="shared" si="62"/>
        <v>0</v>
      </c>
      <c r="FY87" s="110">
        <f t="shared" si="140"/>
        <v>9.9999999996924771E-3</v>
      </c>
      <c r="GA87" s="108">
        <f t="shared" si="141"/>
        <v>107.70000000000002</v>
      </c>
      <c r="GB87" s="109">
        <f t="shared" si="142"/>
        <v>78.800000000000011</v>
      </c>
      <c r="GC87" s="109">
        <f t="shared" si="63"/>
        <v>28.9</v>
      </c>
      <c r="GD87" s="110">
        <f t="shared" si="191"/>
        <v>1007.0999999999997</v>
      </c>
      <c r="GF87" s="108">
        <f t="shared" si="64"/>
        <v>0</v>
      </c>
      <c r="GG87" s="109">
        <f t="shared" si="143"/>
        <v>0</v>
      </c>
      <c r="GH87" s="109">
        <f t="shared" si="65"/>
        <v>0</v>
      </c>
      <c r="GI87" s="110">
        <f t="shared" si="144"/>
        <v>9.9999999996924771E-3</v>
      </c>
      <c r="GK87" s="108">
        <f t="shared" si="145"/>
        <v>107.70000000000002</v>
      </c>
      <c r="GL87" s="109">
        <f t="shared" si="146"/>
        <v>78.800000000000011</v>
      </c>
      <c r="GM87" s="109">
        <f t="shared" si="147"/>
        <v>28.9</v>
      </c>
      <c r="GN87" s="110">
        <f t="shared" si="192"/>
        <v>1007.0999999999997</v>
      </c>
      <c r="GR87" s="108">
        <f t="shared" si="66"/>
        <v>960.17</v>
      </c>
      <c r="GS87" s="109">
        <f t="shared" si="67"/>
        <v>960.17</v>
      </c>
      <c r="GT87" s="109">
        <f t="shared" si="68"/>
        <v>0</v>
      </c>
      <c r="GU87" s="110">
        <f t="shared" si="69"/>
        <v>3278.8099999999995</v>
      </c>
      <c r="GV87" s="51"/>
      <c r="GW87" s="108">
        <f t="shared" si="70"/>
        <v>0</v>
      </c>
      <c r="GX87" s="109">
        <f t="shared" si="148"/>
        <v>0</v>
      </c>
      <c r="GY87" s="109">
        <f t="shared" si="71"/>
        <v>0</v>
      </c>
      <c r="GZ87" s="110">
        <f t="shared" si="72"/>
        <v>0</v>
      </c>
      <c r="HA87" s="51"/>
      <c r="HB87" s="108">
        <f t="shared" si="149"/>
        <v>960.17</v>
      </c>
      <c r="HC87" s="109">
        <f t="shared" si="150"/>
        <v>960.17</v>
      </c>
      <c r="HD87" s="109">
        <f t="shared" si="73"/>
        <v>0</v>
      </c>
      <c r="HE87" s="110">
        <f t="shared" si="151"/>
        <v>3278.8099999999995</v>
      </c>
      <c r="HF87" s="51"/>
      <c r="HG87" s="108">
        <f t="shared" si="74"/>
        <v>0</v>
      </c>
      <c r="HH87" s="109">
        <f t="shared" si="152"/>
        <v>0</v>
      </c>
      <c r="HI87" s="109">
        <f t="shared" si="75"/>
        <v>0</v>
      </c>
      <c r="HJ87" s="110">
        <f t="shared" si="193"/>
        <v>0</v>
      </c>
      <c r="HK87" s="51"/>
      <c r="HL87" s="108">
        <f t="shared" si="153"/>
        <v>960.17</v>
      </c>
      <c r="HM87" s="109">
        <f t="shared" si="154"/>
        <v>960.17</v>
      </c>
      <c r="HN87" s="109">
        <f t="shared" si="76"/>
        <v>0</v>
      </c>
      <c r="HO87" s="110">
        <f t="shared" si="155"/>
        <v>3278.8099999999995</v>
      </c>
      <c r="HP87" s="51"/>
      <c r="HQ87" s="108">
        <f t="shared" si="77"/>
        <v>0</v>
      </c>
      <c r="HR87" s="109">
        <f t="shared" si="156"/>
        <v>0</v>
      </c>
      <c r="HS87" s="109">
        <f t="shared" si="78"/>
        <v>0</v>
      </c>
      <c r="HT87" s="110">
        <f t="shared" si="194"/>
        <v>0</v>
      </c>
      <c r="HU87" s="51"/>
      <c r="HV87" s="108">
        <f t="shared" si="157"/>
        <v>960.17</v>
      </c>
      <c r="HW87" s="109">
        <f t="shared" si="158"/>
        <v>960.17</v>
      </c>
      <c r="HX87" s="109">
        <f t="shared" si="79"/>
        <v>0</v>
      </c>
      <c r="HY87" s="110">
        <f t="shared" si="159"/>
        <v>3278.8099999999995</v>
      </c>
      <c r="HZ87" s="51"/>
      <c r="IA87" s="108">
        <f t="shared" si="80"/>
        <v>0</v>
      </c>
      <c r="IB87" s="109">
        <f t="shared" si="160"/>
        <v>0</v>
      </c>
      <c r="IC87" s="109">
        <f t="shared" si="81"/>
        <v>0</v>
      </c>
      <c r="ID87" s="110">
        <f t="shared" si="195"/>
        <v>0</v>
      </c>
      <c r="IE87" s="51"/>
      <c r="IF87" s="108">
        <f t="shared" si="161"/>
        <v>960.17</v>
      </c>
      <c r="IG87" s="109">
        <f t="shared" si="162"/>
        <v>960.17</v>
      </c>
      <c r="IH87" s="109">
        <f t="shared" si="82"/>
        <v>0</v>
      </c>
      <c r="II87" s="110">
        <f t="shared" si="163"/>
        <v>3278.8099999999995</v>
      </c>
      <c r="IJ87" s="51"/>
      <c r="IK87" s="108">
        <f t="shared" si="83"/>
        <v>0</v>
      </c>
      <c r="IL87" s="109">
        <f t="shared" si="164"/>
        <v>0</v>
      </c>
      <c r="IM87" s="109">
        <f t="shared" si="84"/>
        <v>0</v>
      </c>
      <c r="IN87" s="110">
        <f t="shared" si="196"/>
        <v>0</v>
      </c>
      <c r="IO87" s="51"/>
      <c r="IP87" s="108">
        <f t="shared" si="165"/>
        <v>960.17</v>
      </c>
      <c r="IQ87" s="109">
        <f t="shared" si="166"/>
        <v>960.17</v>
      </c>
      <c r="IR87" s="109">
        <f t="shared" si="85"/>
        <v>0</v>
      </c>
      <c r="IS87" s="110">
        <f t="shared" si="167"/>
        <v>3278.8099999999995</v>
      </c>
      <c r="IT87" s="51"/>
      <c r="IU87" s="108">
        <f t="shared" si="86"/>
        <v>0</v>
      </c>
      <c r="IV87" s="109">
        <f t="shared" si="168"/>
        <v>0</v>
      </c>
      <c r="IW87" s="109">
        <f t="shared" si="87"/>
        <v>0</v>
      </c>
      <c r="IX87" s="110">
        <f t="shared" si="197"/>
        <v>0</v>
      </c>
      <c r="IY87" s="51"/>
      <c r="IZ87" s="108">
        <f t="shared" si="169"/>
        <v>960.17</v>
      </c>
      <c r="JA87" s="109">
        <f t="shared" si="170"/>
        <v>960.17</v>
      </c>
      <c r="JB87" s="109">
        <f t="shared" si="88"/>
        <v>0</v>
      </c>
      <c r="JC87" s="110">
        <f t="shared" si="171"/>
        <v>3278.8099999999995</v>
      </c>
      <c r="JD87" s="51"/>
      <c r="JE87" s="108">
        <f t="shared" si="89"/>
        <v>0</v>
      </c>
      <c r="JF87" s="109">
        <f t="shared" si="172"/>
        <v>0</v>
      </c>
      <c r="JG87" s="109">
        <f t="shared" si="90"/>
        <v>0</v>
      </c>
      <c r="JH87" s="110">
        <f t="shared" si="198"/>
        <v>0</v>
      </c>
      <c r="JI87" s="51"/>
      <c r="JJ87" s="108">
        <f t="shared" si="173"/>
        <v>960.17</v>
      </c>
      <c r="JK87" s="109">
        <f t="shared" si="174"/>
        <v>960.17</v>
      </c>
      <c r="JL87" s="109">
        <f t="shared" si="91"/>
        <v>0</v>
      </c>
      <c r="JM87" s="110">
        <f t="shared" si="175"/>
        <v>3278.8099999999995</v>
      </c>
      <c r="JN87" s="51"/>
      <c r="JO87" s="108">
        <f t="shared" si="92"/>
        <v>0</v>
      </c>
      <c r="JP87" s="109">
        <f t="shared" si="176"/>
        <v>0</v>
      </c>
      <c r="JQ87" s="109">
        <f t="shared" si="93"/>
        <v>0</v>
      </c>
      <c r="JR87" s="110">
        <f t="shared" si="199"/>
        <v>0</v>
      </c>
      <c r="JS87" s="51"/>
      <c r="JT87" s="108">
        <f t="shared" si="177"/>
        <v>960.17</v>
      </c>
      <c r="JU87" s="109">
        <f t="shared" si="178"/>
        <v>960.17</v>
      </c>
      <c r="JV87" s="109">
        <f t="shared" si="94"/>
        <v>0</v>
      </c>
      <c r="JW87" s="110">
        <f t="shared" si="179"/>
        <v>3278.8099999999995</v>
      </c>
      <c r="JX87" s="51"/>
      <c r="JY87" s="108">
        <f t="shared" si="95"/>
        <v>0</v>
      </c>
      <c r="JZ87" s="109">
        <f t="shared" si="180"/>
        <v>0</v>
      </c>
      <c r="KA87" s="109">
        <f t="shared" si="96"/>
        <v>0</v>
      </c>
      <c r="KB87" s="110">
        <f t="shared" si="200"/>
        <v>0</v>
      </c>
      <c r="KC87" s="51"/>
      <c r="KD87" s="108">
        <f t="shared" si="181"/>
        <v>960.17</v>
      </c>
      <c r="KE87" s="109">
        <f t="shared" si="182"/>
        <v>960.17</v>
      </c>
      <c r="KF87" s="109">
        <f t="shared" si="97"/>
        <v>0</v>
      </c>
      <c r="KG87" s="110">
        <f t="shared" si="98"/>
        <v>3278.8099999999995</v>
      </c>
    </row>
    <row r="88" spans="1:293" ht="12" customHeight="1">
      <c r="A88" s="105">
        <f t="array" ref="A88">MAX(IF($J$80:J87&gt;0,$C$80:C87,0))</f>
        <v>43535</v>
      </c>
      <c r="B88" s="81">
        <f t="shared" si="4"/>
        <v>8</v>
      </c>
      <c r="C88" s="82">
        <f t="shared" si="5"/>
        <v>43784</v>
      </c>
      <c r="D88" s="83">
        <f t="shared" si="6"/>
        <v>108.21000000000002</v>
      </c>
      <c r="E88" s="83">
        <f t="shared" si="99"/>
        <v>0.51</v>
      </c>
      <c r="F88" s="83">
        <f t="shared" si="7"/>
        <v>79.050000000000011</v>
      </c>
      <c r="G88" s="83">
        <f t="shared" si="8"/>
        <v>28.65</v>
      </c>
      <c r="H88" s="83">
        <f t="shared" si="9"/>
        <v>928.04999999999973</v>
      </c>
      <c r="I88" s="105">
        <f t="array" ref="I88">MAX(IF($R$80:R87&gt;0,$L$80:L87,0))</f>
        <v>0</v>
      </c>
      <c r="J88" s="106"/>
      <c r="K88" s="69">
        <f t="shared" si="10"/>
        <v>8</v>
      </c>
      <c r="L88" s="82">
        <f t="shared" si="183"/>
        <v>0</v>
      </c>
      <c r="M88" s="83">
        <f t="shared" si="11"/>
        <v>960.17</v>
      </c>
      <c r="N88" s="83">
        <f t="shared" si="12"/>
        <v>0</v>
      </c>
      <c r="O88" s="83" t="str">
        <f t="shared" si="13"/>
        <v/>
      </c>
      <c r="P88" s="83">
        <f t="shared" si="14"/>
        <v>0</v>
      </c>
      <c r="Q88" s="83">
        <f t="shared" si="15"/>
        <v>2318.6399999999994</v>
      </c>
      <c r="R88" s="106"/>
      <c r="S88" s="66"/>
      <c r="U88" s="85" t="e">
        <f t="shared" si="0"/>
        <v>#NUM!</v>
      </c>
      <c r="V88" s="86" t="e">
        <f t="shared" si="100"/>
        <v>#NUM!</v>
      </c>
      <c r="W88" s="87" t="e">
        <f t="shared" si="16"/>
        <v>#NUM!</v>
      </c>
      <c r="X88" s="87" t="e">
        <f t="shared" si="17"/>
        <v>#NUM!</v>
      </c>
      <c r="Y88" s="87" t="e">
        <f t="shared" si="18"/>
        <v>#NUM!</v>
      </c>
      <c r="Z88" s="88" t="e">
        <f t="shared" si="1"/>
        <v>#NUM!</v>
      </c>
      <c r="AB88" s="89">
        <f t="shared" si="101"/>
        <v>108.21000000000002</v>
      </c>
      <c r="AC88" s="87">
        <f t="shared" si="19"/>
        <v>119.7</v>
      </c>
      <c r="AD88" s="87" t="str">
        <f t="shared" si="20"/>
        <v/>
      </c>
      <c r="AE88" s="87" t="str">
        <f t="shared" si="21"/>
        <v/>
      </c>
      <c r="AF88" s="86">
        <f t="shared" si="102"/>
        <v>43780</v>
      </c>
      <c r="AG88" s="87">
        <f t="shared" si="2"/>
        <v>1.5</v>
      </c>
      <c r="AH88" s="87">
        <f t="shared" si="103"/>
        <v>0.51</v>
      </c>
      <c r="AI88" s="90"/>
      <c r="AJ88" s="87" t="e">
        <f t="shared" si="22"/>
        <v>#NUM!</v>
      </c>
      <c r="AK88" s="87" t="e">
        <f t="shared" si="104"/>
        <v>#NUM!</v>
      </c>
      <c r="AL88" s="87" t="e">
        <f t="shared" si="105"/>
        <v>#NUM!</v>
      </c>
      <c r="AM88" s="87" t="e">
        <f t="shared" si="106"/>
        <v>#NUM!</v>
      </c>
      <c r="AN88" s="86">
        <f t="shared" si="23"/>
        <v>0</v>
      </c>
      <c r="AO88" s="87">
        <f t="shared" si="24"/>
        <v>0</v>
      </c>
      <c r="AP88" s="88">
        <f t="shared" si="25"/>
        <v>0</v>
      </c>
      <c r="AR88" s="91">
        <f t="shared" si="26"/>
        <v>108.21000000000002</v>
      </c>
      <c r="AS88" s="92">
        <f t="shared" si="27"/>
        <v>119.7</v>
      </c>
      <c r="AT88" s="87" t="str">
        <f t="shared" si="28"/>
        <v/>
      </c>
      <c r="AU88" s="87" t="str">
        <f t="shared" si="29"/>
        <v/>
      </c>
      <c r="AV88" s="86">
        <f t="shared" si="107"/>
        <v>43780</v>
      </c>
      <c r="AW88" s="87">
        <f t="shared" si="108"/>
        <v>1.5</v>
      </c>
      <c r="AX88" s="87">
        <f t="shared" si="109"/>
        <v>0.51</v>
      </c>
      <c r="AY88" s="93"/>
      <c r="AZ88" s="87">
        <f t="shared" si="201"/>
        <v>0</v>
      </c>
      <c r="BA88" s="87">
        <f t="shared" si="110"/>
        <v>0</v>
      </c>
      <c r="BB88" s="87">
        <f t="shared" si="111"/>
        <v>0</v>
      </c>
      <c r="BC88" s="87">
        <f t="shared" si="184"/>
        <v>0</v>
      </c>
      <c r="BD88" s="86" t="e">
        <f t="shared" si="30"/>
        <v>#NUM!</v>
      </c>
      <c r="BE88" s="87" t="e">
        <f t="shared" si="3"/>
        <v>#NUM!</v>
      </c>
      <c r="BF88" s="88">
        <f t="shared" si="112"/>
        <v>0</v>
      </c>
      <c r="BH88" s="87" t="e">
        <f t="shared" si="31"/>
        <v>#NUM!</v>
      </c>
      <c r="BI88" s="51"/>
      <c r="BK88" s="95">
        <v>39580</v>
      </c>
      <c r="BL88" s="96">
        <v>9</v>
      </c>
      <c r="BM88" s="96">
        <v>9</v>
      </c>
      <c r="BT88" s="51">
        <v>40000.01</v>
      </c>
      <c r="BU88" s="51">
        <v>60000</v>
      </c>
      <c r="BV88" s="30" t="str">
        <f t="shared" si="202"/>
        <v>40000.01-60000</v>
      </c>
      <c r="BW88" s="30" t="s">
        <v>497</v>
      </c>
      <c r="BX88" s="30">
        <v>0.17</v>
      </c>
      <c r="BY88" s="107">
        <v>0.16999999999999998</v>
      </c>
      <c r="BZ88" s="107">
        <v>0.16999999999999998</v>
      </c>
      <c r="CA88" s="107">
        <v>0.19</v>
      </c>
      <c r="CB88" s="107">
        <v>0.19500000000000001</v>
      </c>
      <c r="CC88" s="107">
        <v>0.2</v>
      </c>
      <c r="CD88" s="107">
        <v>0.20500000000000002</v>
      </c>
      <c r="CE88" s="30" t="s">
        <v>497</v>
      </c>
      <c r="CF88" s="107">
        <v>1.4999999999999999E-2</v>
      </c>
      <c r="CG88" s="107">
        <v>1.6E-2</v>
      </c>
      <c r="CI88" s="100" t="s">
        <v>273</v>
      </c>
      <c r="CL88" s="30">
        <v>0</v>
      </c>
      <c r="CY88" s="108">
        <f t="shared" si="32"/>
        <v>107.15</v>
      </c>
      <c r="CZ88" s="109">
        <f t="shared" si="33"/>
        <v>78.38000000000001</v>
      </c>
      <c r="DA88" s="109">
        <f t="shared" si="34"/>
        <v>28.77</v>
      </c>
      <c r="DB88" s="110">
        <f t="shared" si="35"/>
        <v>932.90000000000009</v>
      </c>
      <c r="DD88" s="108">
        <f t="shared" si="36"/>
        <v>0.9</v>
      </c>
      <c r="DE88" s="109">
        <f t="shared" si="114"/>
        <v>0.66</v>
      </c>
      <c r="DF88" s="109">
        <f t="shared" si="37"/>
        <v>0.24</v>
      </c>
      <c r="DG88" s="110">
        <f t="shared" si="38"/>
        <v>7.9000000000000625</v>
      </c>
      <c r="DI88" s="108">
        <f t="shared" si="115"/>
        <v>107.64000000000001</v>
      </c>
      <c r="DJ88" s="109">
        <f t="shared" si="116"/>
        <v>78.970000000000013</v>
      </c>
      <c r="DK88" s="109">
        <f t="shared" si="39"/>
        <v>28.67</v>
      </c>
      <c r="DL88" s="110">
        <f t="shared" si="40"/>
        <v>928.58000000000015</v>
      </c>
      <c r="DN88" s="108">
        <f t="shared" si="41"/>
        <v>0.1</v>
      </c>
      <c r="DO88" s="109">
        <f t="shared" si="42"/>
        <v>7.0000000000000007E-2</v>
      </c>
      <c r="DP88" s="109">
        <f t="shared" si="43"/>
        <v>0.03</v>
      </c>
      <c r="DQ88" s="110">
        <f t="shared" si="44"/>
        <v>0.86000000000004273</v>
      </c>
      <c r="DS88" s="108">
        <f t="shared" si="117"/>
        <v>107.70000000000002</v>
      </c>
      <c r="DT88" s="109">
        <f t="shared" si="118"/>
        <v>79.050000000000011</v>
      </c>
      <c r="DU88" s="109">
        <f t="shared" si="45"/>
        <v>28.65</v>
      </c>
      <c r="DV88" s="110">
        <f t="shared" si="185"/>
        <v>928.04999999999973</v>
      </c>
      <c r="DX88" s="108">
        <f t="shared" si="46"/>
        <v>0</v>
      </c>
      <c r="DY88" s="109">
        <f t="shared" si="119"/>
        <v>0</v>
      </c>
      <c r="DZ88" s="109">
        <f t="shared" si="47"/>
        <v>0</v>
      </c>
      <c r="EA88" s="110">
        <f t="shared" si="120"/>
        <v>9.9999999996924771E-3</v>
      </c>
      <c r="EC88" s="108">
        <f t="shared" si="121"/>
        <v>107.70000000000002</v>
      </c>
      <c r="ED88" s="109">
        <f t="shared" si="122"/>
        <v>79.050000000000011</v>
      </c>
      <c r="EE88" s="109">
        <f t="shared" si="48"/>
        <v>28.65</v>
      </c>
      <c r="EF88" s="110">
        <f t="shared" si="186"/>
        <v>928.04999999999973</v>
      </c>
      <c r="EH88" s="108">
        <f t="shared" si="49"/>
        <v>0</v>
      </c>
      <c r="EI88" s="109">
        <f t="shared" si="123"/>
        <v>0</v>
      </c>
      <c r="EJ88" s="109">
        <f t="shared" si="50"/>
        <v>0</v>
      </c>
      <c r="EK88" s="110">
        <f t="shared" si="124"/>
        <v>9.9999999996924771E-3</v>
      </c>
      <c r="EM88" s="108">
        <f t="shared" si="125"/>
        <v>107.70000000000002</v>
      </c>
      <c r="EN88" s="109">
        <f t="shared" si="126"/>
        <v>79.050000000000011</v>
      </c>
      <c r="EO88" s="109">
        <f t="shared" si="51"/>
        <v>28.65</v>
      </c>
      <c r="EP88" s="110">
        <f t="shared" si="187"/>
        <v>928.04999999999973</v>
      </c>
      <c r="ER88" s="108">
        <f t="shared" si="52"/>
        <v>0</v>
      </c>
      <c r="ES88" s="109">
        <f t="shared" si="127"/>
        <v>0</v>
      </c>
      <c r="ET88" s="109">
        <f t="shared" si="53"/>
        <v>0</v>
      </c>
      <c r="EU88" s="110">
        <f t="shared" si="128"/>
        <v>9.9999999996924771E-3</v>
      </c>
      <c r="EW88" s="108">
        <f t="shared" si="129"/>
        <v>107.70000000000002</v>
      </c>
      <c r="EX88" s="109">
        <f t="shared" si="130"/>
        <v>79.050000000000011</v>
      </c>
      <c r="EY88" s="109">
        <f t="shared" si="54"/>
        <v>28.65</v>
      </c>
      <c r="EZ88" s="110">
        <f t="shared" si="188"/>
        <v>928.04999999999973</v>
      </c>
      <c r="FB88" s="108">
        <f t="shared" si="55"/>
        <v>0</v>
      </c>
      <c r="FC88" s="109">
        <f t="shared" si="131"/>
        <v>0</v>
      </c>
      <c r="FD88" s="109">
        <f t="shared" si="56"/>
        <v>0</v>
      </c>
      <c r="FE88" s="110">
        <f t="shared" si="132"/>
        <v>9.9999999996924771E-3</v>
      </c>
      <c r="FG88" s="108">
        <f t="shared" si="133"/>
        <v>107.70000000000002</v>
      </c>
      <c r="FH88" s="109">
        <f t="shared" si="134"/>
        <v>79.050000000000011</v>
      </c>
      <c r="FI88" s="109">
        <f t="shared" si="57"/>
        <v>28.65</v>
      </c>
      <c r="FJ88" s="110">
        <f t="shared" si="189"/>
        <v>928.04999999999973</v>
      </c>
      <c r="FL88" s="108">
        <f t="shared" si="58"/>
        <v>0</v>
      </c>
      <c r="FM88" s="109">
        <f t="shared" si="135"/>
        <v>0</v>
      </c>
      <c r="FN88" s="109">
        <f t="shared" si="59"/>
        <v>0</v>
      </c>
      <c r="FO88" s="110">
        <f t="shared" si="136"/>
        <v>9.9999999996924771E-3</v>
      </c>
      <c r="FQ88" s="108">
        <f t="shared" si="137"/>
        <v>107.70000000000002</v>
      </c>
      <c r="FR88" s="109">
        <f t="shared" si="138"/>
        <v>79.050000000000011</v>
      </c>
      <c r="FS88" s="109">
        <f t="shared" si="60"/>
        <v>28.65</v>
      </c>
      <c r="FT88" s="110">
        <f t="shared" si="190"/>
        <v>928.04999999999973</v>
      </c>
      <c r="FV88" s="108">
        <f t="shared" si="61"/>
        <v>0</v>
      </c>
      <c r="FW88" s="109">
        <f t="shared" si="139"/>
        <v>0</v>
      </c>
      <c r="FX88" s="109">
        <f t="shared" si="62"/>
        <v>0</v>
      </c>
      <c r="FY88" s="110">
        <f t="shared" si="140"/>
        <v>9.9999999996924771E-3</v>
      </c>
      <c r="GA88" s="108">
        <f t="shared" si="141"/>
        <v>107.70000000000002</v>
      </c>
      <c r="GB88" s="109">
        <f t="shared" si="142"/>
        <v>79.050000000000011</v>
      </c>
      <c r="GC88" s="109">
        <f t="shared" si="63"/>
        <v>28.65</v>
      </c>
      <c r="GD88" s="110">
        <f t="shared" si="191"/>
        <v>928.04999999999973</v>
      </c>
      <c r="GF88" s="108">
        <f t="shared" si="64"/>
        <v>0</v>
      </c>
      <c r="GG88" s="109">
        <f t="shared" si="143"/>
        <v>0</v>
      </c>
      <c r="GH88" s="109">
        <f t="shared" si="65"/>
        <v>0</v>
      </c>
      <c r="GI88" s="110">
        <f t="shared" si="144"/>
        <v>9.9999999996924771E-3</v>
      </c>
      <c r="GK88" s="108">
        <f t="shared" si="145"/>
        <v>107.70000000000002</v>
      </c>
      <c r="GL88" s="109">
        <f t="shared" si="146"/>
        <v>79.050000000000011</v>
      </c>
      <c r="GM88" s="109">
        <f t="shared" si="147"/>
        <v>28.65</v>
      </c>
      <c r="GN88" s="110">
        <f t="shared" si="192"/>
        <v>928.04999999999973</v>
      </c>
      <c r="GR88" s="108">
        <f t="shared" si="66"/>
        <v>960.17</v>
      </c>
      <c r="GS88" s="109">
        <f t="shared" si="67"/>
        <v>960.17</v>
      </c>
      <c r="GT88" s="109">
        <f t="shared" si="68"/>
        <v>0</v>
      </c>
      <c r="GU88" s="110">
        <f t="shared" si="69"/>
        <v>2318.6399999999994</v>
      </c>
      <c r="GV88" s="51"/>
      <c r="GW88" s="108">
        <f t="shared" si="70"/>
        <v>0</v>
      </c>
      <c r="GX88" s="109">
        <f t="shared" si="148"/>
        <v>0</v>
      </c>
      <c r="GY88" s="109">
        <f t="shared" si="71"/>
        <v>0</v>
      </c>
      <c r="GZ88" s="110">
        <f t="shared" si="72"/>
        <v>0</v>
      </c>
      <c r="HA88" s="51"/>
      <c r="HB88" s="108">
        <f t="shared" si="149"/>
        <v>960.17</v>
      </c>
      <c r="HC88" s="109">
        <f t="shared" si="150"/>
        <v>960.17</v>
      </c>
      <c r="HD88" s="109">
        <f t="shared" si="73"/>
        <v>0</v>
      </c>
      <c r="HE88" s="110">
        <f t="shared" si="151"/>
        <v>2318.6399999999994</v>
      </c>
      <c r="HF88" s="51"/>
      <c r="HG88" s="108">
        <f t="shared" si="74"/>
        <v>0</v>
      </c>
      <c r="HH88" s="109">
        <f t="shared" si="152"/>
        <v>0</v>
      </c>
      <c r="HI88" s="109">
        <f t="shared" si="75"/>
        <v>0</v>
      </c>
      <c r="HJ88" s="110">
        <f t="shared" si="193"/>
        <v>0</v>
      </c>
      <c r="HK88" s="51"/>
      <c r="HL88" s="108">
        <f t="shared" si="153"/>
        <v>960.17</v>
      </c>
      <c r="HM88" s="109">
        <f t="shared" si="154"/>
        <v>960.17</v>
      </c>
      <c r="HN88" s="109">
        <f t="shared" si="76"/>
        <v>0</v>
      </c>
      <c r="HO88" s="110">
        <f t="shared" si="155"/>
        <v>2318.6399999999994</v>
      </c>
      <c r="HP88" s="51"/>
      <c r="HQ88" s="108">
        <f t="shared" si="77"/>
        <v>0</v>
      </c>
      <c r="HR88" s="109">
        <f t="shared" si="156"/>
        <v>0</v>
      </c>
      <c r="HS88" s="109">
        <f t="shared" si="78"/>
        <v>0</v>
      </c>
      <c r="HT88" s="110">
        <f t="shared" si="194"/>
        <v>0</v>
      </c>
      <c r="HU88" s="51"/>
      <c r="HV88" s="108">
        <f t="shared" si="157"/>
        <v>960.17</v>
      </c>
      <c r="HW88" s="109">
        <f t="shared" si="158"/>
        <v>960.17</v>
      </c>
      <c r="HX88" s="109">
        <f t="shared" si="79"/>
        <v>0</v>
      </c>
      <c r="HY88" s="110">
        <f t="shared" si="159"/>
        <v>2318.6399999999994</v>
      </c>
      <c r="HZ88" s="51"/>
      <c r="IA88" s="108">
        <f t="shared" si="80"/>
        <v>0</v>
      </c>
      <c r="IB88" s="109">
        <f t="shared" si="160"/>
        <v>0</v>
      </c>
      <c r="IC88" s="109">
        <f t="shared" si="81"/>
        <v>0</v>
      </c>
      <c r="ID88" s="110">
        <f t="shared" si="195"/>
        <v>0</v>
      </c>
      <c r="IE88" s="51"/>
      <c r="IF88" s="108">
        <f t="shared" si="161"/>
        <v>960.17</v>
      </c>
      <c r="IG88" s="109">
        <f t="shared" si="162"/>
        <v>960.17</v>
      </c>
      <c r="IH88" s="109">
        <f t="shared" si="82"/>
        <v>0</v>
      </c>
      <c r="II88" s="110">
        <f t="shared" si="163"/>
        <v>2318.6399999999994</v>
      </c>
      <c r="IJ88" s="51"/>
      <c r="IK88" s="108">
        <f t="shared" si="83"/>
        <v>0</v>
      </c>
      <c r="IL88" s="109">
        <f t="shared" si="164"/>
        <v>0</v>
      </c>
      <c r="IM88" s="109">
        <f t="shared" si="84"/>
        <v>0</v>
      </c>
      <c r="IN88" s="110">
        <f t="shared" si="196"/>
        <v>0</v>
      </c>
      <c r="IO88" s="51"/>
      <c r="IP88" s="108">
        <f t="shared" si="165"/>
        <v>960.17</v>
      </c>
      <c r="IQ88" s="109">
        <f t="shared" si="166"/>
        <v>960.17</v>
      </c>
      <c r="IR88" s="109">
        <f t="shared" si="85"/>
        <v>0</v>
      </c>
      <c r="IS88" s="110">
        <f t="shared" si="167"/>
        <v>2318.6399999999994</v>
      </c>
      <c r="IT88" s="51"/>
      <c r="IU88" s="108">
        <f t="shared" si="86"/>
        <v>0</v>
      </c>
      <c r="IV88" s="109">
        <f t="shared" si="168"/>
        <v>0</v>
      </c>
      <c r="IW88" s="109">
        <f t="shared" si="87"/>
        <v>0</v>
      </c>
      <c r="IX88" s="110">
        <f t="shared" si="197"/>
        <v>0</v>
      </c>
      <c r="IY88" s="51"/>
      <c r="IZ88" s="108">
        <f t="shared" si="169"/>
        <v>960.17</v>
      </c>
      <c r="JA88" s="109">
        <f t="shared" si="170"/>
        <v>960.17</v>
      </c>
      <c r="JB88" s="109">
        <f t="shared" si="88"/>
        <v>0</v>
      </c>
      <c r="JC88" s="110">
        <f t="shared" si="171"/>
        <v>2318.6399999999994</v>
      </c>
      <c r="JD88" s="51"/>
      <c r="JE88" s="108">
        <f t="shared" si="89"/>
        <v>0</v>
      </c>
      <c r="JF88" s="109">
        <f t="shared" si="172"/>
        <v>0</v>
      </c>
      <c r="JG88" s="109">
        <f t="shared" si="90"/>
        <v>0</v>
      </c>
      <c r="JH88" s="110">
        <f t="shared" si="198"/>
        <v>0</v>
      </c>
      <c r="JI88" s="51"/>
      <c r="JJ88" s="108">
        <f t="shared" si="173"/>
        <v>960.17</v>
      </c>
      <c r="JK88" s="109">
        <f t="shared" si="174"/>
        <v>960.17</v>
      </c>
      <c r="JL88" s="109">
        <f t="shared" si="91"/>
        <v>0</v>
      </c>
      <c r="JM88" s="110">
        <f t="shared" si="175"/>
        <v>2318.6399999999994</v>
      </c>
      <c r="JN88" s="51"/>
      <c r="JO88" s="108">
        <f t="shared" si="92"/>
        <v>0</v>
      </c>
      <c r="JP88" s="109">
        <f t="shared" si="176"/>
        <v>0</v>
      </c>
      <c r="JQ88" s="109">
        <f t="shared" si="93"/>
        <v>0</v>
      </c>
      <c r="JR88" s="110">
        <f t="shared" si="199"/>
        <v>0</v>
      </c>
      <c r="JS88" s="51"/>
      <c r="JT88" s="108">
        <f t="shared" si="177"/>
        <v>960.17</v>
      </c>
      <c r="JU88" s="109">
        <f t="shared" si="178"/>
        <v>960.17</v>
      </c>
      <c r="JV88" s="109">
        <f t="shared" si="94"/>
        <v>0</v>
      </c>
      <c r="JW88" s="110">
        <f t="shared" si="179"/>
        <v>2318.6399999999994</v>
      </c>
      <c r="JX88" s="51"/>
      <c r="JY88" s="108">
        <f t="shared" si="95"/>
        <v>0</v>
      </c>
      <c r="JZ88" s="109">
        <f t="shared" si="180"/>
        <v>0</v>
      </c>
      <c r="KA88" s="109">
        <f t="shared" si="96"/>
        <v>0</v>
      </c>
      <c r="KB88" s="110">
        <f t="shared" si="200"/>
        <v>0</v>
      </c>
      <c r="KC88" s="51"/>
      <c r="KD88" s="108">
        <f t="shared" si="181"/>
        <v>960.17</v>
      </c>
      <c r="KE88" s="109">
        <f t="shared" si="182"/>
        <v>960.17</v>
      </c>
      <c r="KF88" s="109">
        <f t="shared" si="97"/>
        <v>0</v>
      </c>
      <c r="KG88" s="110">
        <f t="shared" si="98"/>
        <v>2318.6399999999994</v>
      </c>
    </row>
    <row r="89" spans="1:293" ht="12" customHeight="1">
      <c r="A89" s="105">
        <f t="array" ref="A89">MAX(IF($J$80:J88&gt;0,$C$80:C88,0))</f>
        <v>43535</v>
      </c>
      <c r="B89" s="81">
        <f t="shared" si="4"/>
        <v>9</v>
      </c>
      <c r="C89" s="82">
        <f t="shared" si="5"/>
        <v>43815</v>
      </c>
      <c r="D89" s="83">
        <f t="shared" si="6"/>
        <v>108.17000000000002</v>
      </c>
      <c r="E89" s="83">
        <f t="shared" si="99"/>
        <v>0.47</v>
      </c>
      <c r="F89" s="83">
        <f t="shared" si="7"/>
        <v>81.300000000000011</v>
      </c>
      <c r="G89" s="83">
        <f t="shared" si="8"/>
        <v>26.4</v>
      </c>
      <c r="H89" s="83">
        <f t="shared" si="9"/>
        <v>846.74999999999977</v>
      </c>
      <c r="I89" s="105">
        <f t="array" ref="I89">MAX(IF($R$80:R88&gt;0,$L$80:L88,0))</f>
        <v>0</v>
      </c>
      <c r="J89" s="106"/>
      <c r="K89" s="69">
        <f t="shared" si="10"/>
        <v>9</v>
      </c>
      <c r="L89" s="82">
        <f t="shared" si="183"/>
        <v>0</v>
      </c>
      <c r="M89" s="83">
        <f t="shared" si="11"/>
        <v>960.17</v>
      </c>
      <c r="N89" s="83">
        <f t="shared" si="12"/>
        <v>0</v>
      </c>
      <c r="O89" s="83" t="str">
        <f t="shared" si="13"/>
        <v/>
      </c>
      <c r="P89" s="83">
        <f t="shared" si="14"/>
        <v>0</v>
      </c>
      <c r="Q89" s="83">
        <f t="shared" si="15"/>
        <v>1358.4699999999993</v>
      </c>
      <c r="R89" s="106"/>
      <c r="S89" s="66"/>
      <c r="U89" s="85" t="e">
        <f t="shared" si="0"/>
        <v>#NUM!</v>
      </c>
      <c r="V89" s="86" t="e">
        <f t="shared" si="100"/>
        <v>#NUM!</v>
      </c>
      <c r="W89" s="87" t="e">
        <f t="shared" si="16"/>
        <v>#NUM!</v>
      </c>
      <c r="X89" s="87" t="e">
        <f t="shared" si="17"/>
        <v>#NUM!</v>
      </c>
      <c r="Y89" s="87" t="e">
        <f t="shared" si="18"/>
        <v>#NUM!</v>
      </c>
      <c r="Z89" s="88" t="e">
        <f t="shared" si="1"/>
        <v>#NUM!</v>
      </c>
      <c r="AB89" s="89">
        <f t="shared" si="101"/>
        <v>108.17000000000002</v>
      </c>
      <c r="AC89" s="87">
        <f t="shared" si="19"/>
        <v>121.09</v>
      </c>
      <c r="AD89" s="87" t="str">
        <f t="shared" si="20"/>
        <v/>
      </c>
      <c r="AE89" s="87" t="str">
        <f t="shared" si="21"/>
        <v/>
      </c>
      <c r="AF89" s="86">
        <f t="shared" si="102"/>
        <v>43810</v>
      </c>
      <c r="AG89" s="87">
        <f t="shared" si="2"/>
        <v>1.5</v>
      </c>
      <c r="AH89" s="87">
        <f t="shared" si="103"/>
        <v>0.47</v>
      </c>
      <c r="AI89" s="90"/>
      <c r="AJ89" s="87" t="e">
        <f t="shared" si="22"/>
        <v>#NUM!</v>
      </c>
      <c r="AK89" s="87" t="e">
        <f t="shared" si="104"/>
        <v>#NUM!</v>
      </c>
      <c r="AL89" s="87" t="e">
        <f t="shared" si="105"/>
        <v>#NUM!</v>
      </c>
      <c r="AM89" s="87" t="e">
        <f t="shared" si="106"/>
        <v>#NUM!</v>
      </c>
      <c r="AN89" s="86">
        <f t="shared" si="23"/>
        <v>0</v>
      </c>
      <c r="AO89" s="87">
        <f t="shared" si="24"/>
        <v>0</v>
      </c>
      <c r="AP89" s="88">
        <f t="shared" si="25"/>
        <v>0</v>
      </c>
      <c r="AR89" s="91">
        <f t="shared" si="26"/>
        <v>108.17000000000002</v>
      </c>
      <c r="AS89" s="92">
        <f t="shared" si="27"/>
        <v>121.09</v>
      </c>
      <c r="AT89" s="87" t="str">
        <f t="shared" si="28"/>
        <v/>
      </c>
      <c r="AU89" s="87" t="str">
        <f t="shared" si="29"/>
        <v/>
      </c>
      <c r="AV89" s="86">
        <f t="shared" si="107"/>
        <v>43810</v>
      </c>
      <c r="AW89" s="87">
        <f t="shared" si="108"/>
        <v>1.5</v>
      </c>
      <c r="AX89" s="87">
        <f t="shared" si="109"/>
        <v>0.47</v>
      </c>
      <c r="AY89" s="93"/>
      <c r="AZ89" s="87">
        <f t="shared" si="201"/>
        <v>0</v>
      </c>
      <c r="BA89" s="87">
        <f t="shared" si="110"/>
        <v>0</v>
      </c>
      <c r="BB89" s="87">
        <f t="shared" si="111"/>
        <v>0</v>
      </c>
      <c r="BC89" s="87">
        <f t="shared" si="184"/>
        <v>0</v>
      </c>
      <c r="BD89" s="86" t="e">
        <f t="shared" si="30"/>
        <v>#NUM!</v>
      </c>
      <c r="BE89" s="87" t="e">
        <f t="shared" si="3"/>
        <v>#NUM!</v>
      </c>
      <c r="BF89" s="88">
        <f t="shared" si="112"/>
        <v>0</v>
      </c>
      <c r="BH89" s="87" t="e">
        <f t="shared" si="31"/>
        <v>#NUM!</v>
      </c>
      <c r="BI89" s="51"/>
      <c r="BK89" s="95">
        <v>39589</v>
      </c>
      <c r="BL89" s="96">
        <v>10</v>
      </c>
      <c r="BM89" s="96">
        <v>10</v>
      </c>
      <c r="BT89" s="51">
        <v>60000.01</v>
      </c>
      <c r="BU89" s="51">
        <v>1000000</v>
      </c>
      <c r="BV89" s="30" t="str">
        <f t="shared" si="202"/>
        <v>60000.01-1000000</v>
      </c>
      <c r="BW89" s="30" t="s">
        <v>497</v>
      </c>
      <c r="BX89" s="30" t="s">
        <v>497</v>
      </c>
      <c r="BY89" s="30" t="s">
        <v>497</v>
      </c>
      <c r="BZ89" s="30" t="s">
        <v>497</v>
      </c>
      <c r="CA89" s="30" t="s">
        <v>497</v>
      </c>
      <c r="CB89" s="30" t="s">
        <v>497</v>
      </c>
      <c r="CC89" s="30" t="s">
        <v>497</v>
      </c>
      <c r="CD89" s="30" t="s">
        <v>497</v>
      </c>
      <c r="CE89" s="30" t="s">
        <v>497</v>
      </c>
      <c r="CF89" s="30" t="s">
        <v>497</v>
      </c>
      <c r="CG89" s="30" t="s">
        <v>497</v>
      </c>
      <c r="CI89" s="111" t="s">
        <v>275</v>
      </c>
      <c r="CJ89" s="97"/>
      <c r="CK89" s="97"/>
      <c r="CL89" s="112">
        <v>0</v>
      </c>
      <c r="CM89" s="97">
        <v>1</v>
      </c>
      <c r="CY89" s="108">
        <f t="shared" si="32"/>
        <v>107.15</v>
      </c>
      <c r="CZ89" s="109">
        <f t="shared" si="33"/>
        <v>80.610000000000014</v>
      </c>
      <c r="DA89" s="109">
        <f t="shared" si="34"/>
        <v>26.54</v>
      </c>
      <c r="DB89" s="110">
        <f t="shared" si="35"/>
        <v>852.29000000000008</v>
      </c>
      <c r="DD89" s="108">
        <f t="shared" si="36"/>
        <v>0.9</v>
      </c>
      <c r="DE89" s="109">
        <f t="shared" si="114"/>
        <v>0.68</v>
      </c>
      <c r="DF89" s="109">
        <f t="shared" si="37"/>
        <v>0.22</v>
      </c>
      <c r="DG89" s="110">
        <f t="shared" si="38"/>
        <v>7.2200000000000628</v>
      </c>
      <c r="DI89" s="108">
        <f t="shared" si="115"/>
        <v>107.64000000000001</v>
      </c>
      <c r="DJ89" s="109">
        <f t="shared" si="116"/>
        <v>81.220000000000013</v>
      </c>
      <c r="DK89" s="109">
        <f t="shared" si="39"/>
        <v>26.42</v>
      </c>
      <c r="DL89" s="110">
        <f t="shared" si="40"/>
        <v>847.36000000000013</v>
      </c>
      <c r="DN89" s="108">
        <f t="shared" si="41"/>
        <v>0.1</v>
      </c>
      <c r="DO89" s="109">
        <f t="shared" si="42"/>
        <v>0.08</v>
      </c>
      <c r="DP89" s="109">
        <f t="shared" si="43"/>
        <v>0.02</v>
      </c>
      <c r="DQ89" s="110">
        <f t="shared" si="44"/>
        <v>0.78000000000004277</v>
      </c>
      <c r="DS89" s="108">
        <f t="shared" si="117"/>
        <v>107.70000000000002</v>
      </c>
      <c r="DT89" s="109">
        <f t="shared" si="118"/>
        <v>81.300000000000011</v>
      </c>
      <c r="DU89" s="109">
        <f t="shared" si="45"/>
        <v>26.4</v>
      </c>
      <c r="DV89" s="110">
        <f t="shared" si="185"/>
        <v>846.74999999999977</v>
      </c>
      <c r="DX89" s="108">
        <f t="shared" si="46"/>
        <v>0</v>
      </c>
      <c r="DY89" s="109">
        <f t="shared" si="119"/>
        <v>0</v>
      </c>
      <c r="DZ89" s="109">
        <f t="shared" si="47"/>
        <v>0</v>
      </c>
      <c r="EA89" s="110">
        <f t="shared" si="120"/>
        <v>9.9999999996924771E-3</v>
      </c>
      <c r="EC89" s="108">
        <f t="shared" si="121"/>
        <v>107.70000000000002</v>
      </c>
      <c r="ED89" s="109">
        <f t="shared" si="122"/>
        <v>81.300000000000011</v>
      </c>
      <c r="EE89" s="109">
        <f t="shared" si="48"/>
        <v>26.4</v>
      </c>
      <c r="EF89" s="110">
        <f t="shared" si="186"/>
        <v>846.74999999999977</v>
      </c>
      <c r="EH89" s="108">
        <f t="shared" si="49"/>
        <v>0</v>
      </c>
      <c r="EI89" s="109">
        <f t="shared" si="123"/>
        <v>0</v>
      </c>
      <c r="EJ89" s="109">
        <f t="shared" si="50"/>
        <v>0</v>
      </c>
      <c r="EK89" s="110">
        <f t="shared" si="124"/>
        <v>9.9999999996924771E-3</v>
      </c>
      <c r="EM89" s="108">
        <f t="shared" si="125"/>
        <v>107.70000000000002</v>
      </c>
      <c r="EN89" s="109">
        <f t="shared" si="126"/>
        <v>81.300000000000011</v>
      </c>
      <c r="EO89" s="109">
        <f t="shared" si="51"/>
        <v>26.4</v>
      </c>
      <c r="EP89" s="110">
        <f t="shared" si="187"/>
        <v>846.74999999999977</v>
      </c>
      <c r="ER89" s="108">
        <f t="shared" si="52"/>
        <v>0</v>
      </c>
      <c r="ES89" s="109">
        <f t="shared" si="127"/>
        <v>0</v>
      </c>
      <c r="ET89" s="109">
        <f t="shared" si="53"/>
        <v>0</v>
      </c>
      <c r="EU89" s="110">
        <f t="shared" si="128"/>
        <v>9.9999999996924771E-3</v>
      </c>
      <c r="EW89" s="108">
        <f t="shared" si="129"/>
        <v>107.70000000000002</v>
      </c>
      <c r="EX89" s="109">
        <f t="shared" si="130"/>
        <v>81.300000000000011</v>
      </c>
      <c r="EY89" s="109">
        <f t="shared" si="54"/>
        <v>26.4</v>
      </c>
      <c r="EZ89" s="110">
        <f t="shared" si="188"/>
        <v>846.74999999999977</v>
      </c>
      <c r="FB89" s="108">
        <f t="shared" si="55"/>
        <v>0</v>
      </c>
      <c r="FC89" s="109">
        <f t="shared" si="131"/>
        <v>0</v>
      </c>
      <c r="FD89" s="109">
        <f t="shared" si="56"/>
        <v>0</v>
      </c>
      <c r="FE89" s="110">
        <f t="shared" si="132"/>
        <v>9.9999999996924771E-3</v>
      </c>
      <c r="FG89" s="108">
        <f t="shared" si="133"/>
        <v>107.70000000000002</v>
      </c>
      <c r="FH89" s="109">
        <f t="shared" si="134"/>
        <v>81.300000000000011</v>
      </c>
      <c r="FI89" s="109">
        <f t="shared" si="57"/>
        <v>26.4</v>
      </c>
      <c r="FJ89" s="110">
        <f t="shared" si="189"/>
        <v>846.74999999999977</v>
      </c>
      <c r="FL89" s="108">
        <f t="shared" si="58"/>
        <v>0</v>
      </c>
      <c r="FM89" s="109">
        <f t="shared" si="135"/>
        <v>0</v>
      </c>
      <c r="FN89" s="109">
        <f t="shared" si="59"/>
        <v>0</v>
      </c>
      <c r="FO89" s="110">
        <f t="shared" si="136"/>
        <v>9.9999999996924771E-3</v>
      </c>
      <c r="FQ89" s="108">
        <f t="shared" si="137"/>
        <v>107.70000000000002</v>
      </c>
      <c r="FR89" s="109">
        <f t="shared" si="138"/>
        <v>81.300000000000011</v>
      </c>
      <c r="FS89" s="109">
        <f t="shared" si="60"/>
        <v>26.4</v>
      </c>
      <c r="FT89" s="110">
        <f t="shared" si="190"/>
        <v>846.74999999999977</v>
      </c>
      <c r="FV89" s="108">
        <f t="shared" si="61"/>
        <v>0</v>
      </c>
      <c r="FW89" s="109">
        <f t="shared" si="139"/>
        <v>0</v>
      </c>
      <c r="FX89" s="109">
        <f t="shared" si="62"/>
        <v>0</v>
      </c>
      <c r="FY89" s="110">
        <f t="shared" si="140"/>
        <v>9.9999999996924771E-3</v>
      </c>
      <c r="GA89" s="108">
        <f t="shared" si="141"/>
        <v>107.70000000000002</v>
      </c>
      <c r="GB89" s="109">
        <f t="shared" si="142"/>
        <v>81.300000000000011</v>
      </c>
      <c r="GC89" s="109">
        <f t="shared" si="63"/>
        <v>26.4</v>
      </c>
      <c r="GD89" s="110">
        <f t="shared" si="191"/>
        <v>846.74999999999977</v>
      </c>
      <c r="GF89" s="108">
        <f t="shared" si="64"/>
        <v>0</v>
      </c>
      <c r="GG89" s="109">
        <f t="shared" si="143"/>
        <v>0</v>
      </c>
      <c r="GH89" s="109">
        <f t="shared" si="65"/>
        <v>0</v>
      </c>
      <c r="GI89" s="110">
        <f t="shared" si="144"/>
        <v>9.9999999996924771E-3</v>
      </c>
      <c r="GK89" s="108">
        <f t="shared" si="145"/>
        <v>107.70000000000002</v>
      </c>
      <c r="GL89" s="109">
        <f t="shared" si="146"/>
        <v>81.300000000000011</v>
      </c>
      <c r="GM89" s="109">
        <f t="shared" si="147"/>
        <v>26.4</v>
      </c>
      <c r="GN89" s="110">
        <f t="shared" si="192"/>
        <v>846.74999999999977</v>
      </c>
      <c r="GR89" s="108">
        <f t="shared" si="66"/>
        <v>960.17</v>
      </c>
      <c r="GS89" s="109">
        <f t="shared" si="67"/>
        <v>960.17</v>
      </c>
      <c r="GT89" s="109">
        <f t="shared" si="68"/>
        <v>0</v>
      </c>
      <c r="GU89" s="110">
        <f t="shared" si="69"/>
        <v>1358.4699999999993</v>
      </c>
      <c r="GV89" s="51"/>
      <c r="GW89" s="108">
        <f t="shared" si="70"/>
        <v>0</v>
      </c>
      <c r="GX89" s="109">
        <f t="shared" si="148"/>
        <v>0</v>
      </c>
      <c r="GY89" s="109">
        <f t="shared" si="71"/>
        <v>0</v>
      </c>
      <c r="GZ89" s="110">
        <f t="shared" si="72"/>
        <v>0</v>
      </c>
      <c r="HA89" s="51"/>
      <c r="HB89" s="108">
        <f t="shared" si="149"/>
        <v>960.17</v>
      </c>
      <c r="HC89" s="109">
        <f t="shared" si="150"/>
        <v>960.17</v>
      </c>
      <c r="HD89" s="109">
        <f t="shared" si="73"/>
        <v>0</v>
      </c>
      <c r="HE89" s="110">
        <f t="shared" si="151"/>
        <v>1358.4699999999993</v>
      </c>
      <c r="HF89" s="51"/>
      <c r="HG89" s="108">
        <f t="shared" si="74"/>
        <v>0</v>
      </c>
      <c r="HH89" s="109">
        <f t="shared" si="152"/>
        <v>0</v>
      </c>
      <c r="HI89" s="109">
        <f t="shared" si="75"/>
        <v>0</v>
      </c>
      <c r="HJ89" s="110">
        <f t="shared" si="193"/>
        <v>0</v>
      </c>
      <c r="HK89" s="51"/>
      <c r="HL89" s="108">
        <f t="shared" si="153"/>
        <v>960.17</v>
      </c>
      <c r="HM89" s="109">
        <f t="shared" si="154"/>
        <v>960.17</v>
      </c>
      <c r="HN89" s="109">
        <f t="shared" si="76"/>
        <v>0</v>
      </c>
      <c r="HO89" s="110">
        <f t="shared" si="155"/>
        <v>1358.4699999999993</v>
      </c>
      <c r="HP89" s="51"/>
      <c r="HQ89" s="108">
        <f t="shared" si="77"/>
        <v>0</v>
      </c>
      <c r="HR89" s="109">
        <f t="shared" si="156"/>
        <v>0</v>
      </c>
      <c r="HS89" s="109">
        <f t="shared" si="78"/>
        <v>0</v>
      </c>
      <c r="HT89" s="110">
        <f t="shared" si="194"/>
        <v>0</v>
      </c>
      <c r="HU89" s="51"/>
      <c r="HV89" s="108">
        <f t="shared" si="157"/>
        <v>960.17</v>
      </c>
      <c r="HW89" s="109">
        <f t="shared" si="158"/>
        <v>960.17</v>
      </c>
      <c r="HX89" s="109">
        <f t="shared" si="79"/>
        <v>0</v>
      </c>
      <c r="HY89" s="110">
        <f t="shared" si="159"/>
        <v>1358.4699999999993</v>
      </c>
      <c r="HZ89" s="51"/>
      <c r="IA89" s="108">
        <f t="shared" si="80"/>
        <v>0</v>
      </c>
      <c r="IB89" s="109">
        <f t="shared" si="160"/>
        <v>0</v>
      </c>
      <c r="IC89" s="109">
        <f t="shared" si="81"/>
        <v>0</v>
      </c>
      <c r="ID89" s="110">
        <f t="shared" si="195"/>
        <v>0</v>
      </c>
      <c r="IE89" s="51"/>
      <c r="IF89" s="108">
        <f t="shared" si="161"/>
        <v>960.17</v>
      </c>
      <c r="IG89" s="109">
        <f t="shared" si="162"/>
        <v>960.17</v>
      </c>
      <c r="IH89" s="109">
        <f t="shared" si="82"/>
        <v>0</v>
      </c>
      <c r="II89" s="110">
        <f t="shared" si="163"/>
        <v>1358.4699999999993</v>
      </c>
      <c r="IJ89" s="51"/>
      <c r="IK89" s="108">
        <f t="shared" si="83"/>
        <v>0</v>
      </c>
      <c r="IL89" s="109">
        <f t="shared" si="164"/>
        <v>0</v>
      </c>
      <c r="IM89" s="109">
        <f t="shared" si="84"/>
        <v>0</v>
      </c>
      <c r="IN89" s="110">
        <f t="shared" si="196"/>
        <v>0</v>
      </c>
      <c r="IO89" s="51"/>
      <c r="IP89" s="108">
        <f t="shared" si="165"/>
        <v>960.17</v>
      </c>
      <c r="IQ89" s="109">
        <f t="shared" si="166"/>
        <v>960.17</v>
      </c>
      <c r="IR89" s="109">
        <f t="shared" si="85"/>
        <v>0</v>
      </c>
      <c r="IS89" s="110">
        <f t="shared" si="167"/>
        <v>1358.4699999999993</v>
      </c>
      <c r="IT89" s="51"/>
      <c r="IU89" s="108">
        <f t="shared" si="86"/>
        <v>0</v>
      </c>
      <c r="IV89" s="109">
        <f t="shared" si="168"/>
        <v>0</v>
      </c>
      <c r="IW89" s="109">
        <f t="shared" si="87"/>
        <v>0</v>
      </c>
      <c r="IX89" s="110">
        <f t="shared" si="197"/>
        <v>0</v>
      </c>
      <c r="IY89" s="51"/>
      <c r="IZ89" s="108">
        <f t="shared" si="169"/>
        <v>960.17</v>
      </c>
      <c r="JA89" s="109">
        <f t="shared" si="170"/>
        <v>960.17</v>
      </c>
      <c r="JB89" s="109">
        <f t="shared" si="88"/>
        <v>0</v>
      </c>
      <c r="JC89" s="110">
        <f t="shared" si="171"/>
        <v>1358.4699999999993</v>
      </c>
      <c r="JD89" s="51"/>
      <c r="JE89" s="108">
        <f t="shared" si="89"/>
        <v>0</v>
      </c>
      <c r="JF89" s="109">
        <f t="shared" si="172"/>
        <v>0</v>
      </c>
      <c r="JG89" s="109">
        <f t="shared" si="90"/>
        <v>0</v>
      </c>
      <c r="JH89" s="110">
        <f t="shared" si="198"/>
        <v>0</v>
      </c>
      <c r="JI89" s="51"/>
      <c r="JJ89" s="108">
        <f t="shared" si="173"/>
        <v>960.17</v>
      </c>
      <c r="JK89" s="109">
        <f t="shared" si="174"/>
        <v>960.17</v>
      </c>
      <c r="JL89" s="109">
        <f t="shared" si="91"/>
        <v>0</v>
      </c>
      <c r="JM89" s="110">
        <f t="shared" si="175"/>
        <v>1358.4699999999993</v>
      </c>
      <c r="JN89" s="51"/>
      <c r="JO89" s="108">
        <f t="shared" si="92"/>
        <v>0</v>
      </c>
      <c r="JP89" s="109">
        <f t="shared" si="176"/>
        <v>0</v>
      </c>
      <c r="JQ89" s="109">
        <f t="shared" si="93"/>
        <v>0</v>
      </c>
      <c r="JR89" s="110">
        <f t="shared" si="199"/>
        <v>0</v>
      </c>
      <c r="JS89" s="51"/>
      <c r="JT89" s="108">
        <f t="shared" si="177"/>
        <v>960.17</v>
      </c>
      <c r="JU89" s="109">
        <f t="shared" si="178"/>
        <v>960.17</v>
      </c>
      <c r="JV89" s="109">
        <f t="shared" si="94"/>
        <v>0</v>
      </c>
      <c r="JW89" s="110">
        <f t="shared" si="179"/>
        <v>1358.4699999999993</v>
      </c>
      <c r="JX89" s="51"/>
      <c r="JY89" s="108">
        <f t="shared" si="95"/>
        <v>0</v>
      </c>
      <c r="JZ89" s="109">
        <f t="shared" si="180"/>
        <v>0</v>
      </c>
      <c r="KA89" s="109">
        <f t="shared" si="96"/>
        <v>0</v>
      </c>
      <c r="KB89" s="110">
        <f t="shared" si="200"/>
        <v>0</v>
      </c>
      <c r="KC89" s="51"/>
      <c r="KD89" s="108">
        <f t="shared" si="181"/>
        <v>960.17</v>
      </c>
      <c r="KE89" s="109">
        <f t="shared" si="182"/>
        <v>960.17</v>
      </c>
      <c r="KF89" s="109">
        <f t="shared" si="97"/>
        <v>0</v>
      </c>
      <c r="KG89" s="110">
        <f t="shared" si="98"/>
        <v>1358.4699999999993</v>
      </c>
    </row>
    <row r="90" spans="1:293" ht="12" customHeight="1">
      <c r="A90" s="105">
        <f t="array" ref="A90">MAX(IF($J$80:J89&gt;0,$C$80:C89,0))</f>
        <v>43535</v>
      </c>
      <c r="B90" s="81">
        <f t="shared" si="4"/>
        <v>10</v>
      </c>
      <c r="C90" s="82">
        <f t="shared" si="5"/>
        <v>43845</v>
      </c>
      <c r="D90" s="83">
        <f t="shared" si="6"/>
        <v>108.12000000000002</v>
      </c>
      <c r="E90" s="83">
        <f t="shared" si="99"/>
        <v>0.42</v>
      </c>
      <c r="F90" s="83">
        <f t="shared" si="7"/>
        <v>84.390000000000015</v>
      </c>
      <c r="G90" s="83">
        <f t="shared" si="8"/>
        <v>23.31</v>
      </c>
      <c r="H90" s="83">
        <f t="shared" si="9"/>
        <v>762.35999999999979</v>
      </c>
      <c r="I90" s="105">
        <f t="array" ref="I90">MAX(IF($R$80:R89&gt;0,$L$80:L89,0))</f>
        <v>0</v>
      </c>
      <c r="J90" s="106"/>
      <c r="K90" s="69">
        <f t="shared" si="10"/>
        <v>10</v>
      </c>
      <c r="L90" s="82">
        <f t="shared" si="183"/>
        <v>0</v>
      </c>
      <c r="M90" s="83">
        <f t="shared" si="11"/>
        <v>960.17</v>
      </c>
      <c r="N90" s="83">
        <f t="shared" si="12"/>
        <v>0</v>
      </c>
      <c r="O90" s="83" t="str">
        <f t="shared" si="13"/>
        <v/>
      </c>
      <c r="P90" s="83">
        <f t="shared" si="14"/>
        <v>0</v>
      </c>
      <c r="Q90" s="83">
        <f t="shared" si="15"/>
        <v>398.29999999999939</v>
      </c>
      <c r="R90" s="106"/>
      <c r="S90" s="66"/>
      <c r="U90" s="85" t="e">
        <f t="shared" si="0"/>
        <v>#NUM!</v>
      </c>
      <c r="V90" s="86" t="e">
        <f t="shared" si="100"/>
        <v>#NUM!</v>
      </c>
      <c r="W90" s="87" t="e">
        <f t="shared" si="16"/>
        <v>#NUM!</v>
      </c>
      <c r="X90" s="87" t="e">
        <f t="shared" si="17"/>
        <v>#NUM!</v>
      </c>
      <c r="Y90" s="87" t="e">
        <f t="shared" si="18"/>
        <v>#NUM!</v>
      </c>
      <c r="Z90" s="88" t="e">
        <f t="shared" si="1"/>
        <v>#NUM!</v>
      </c>
      <c r="AB90" s="89">
        <f t="shared" si="101"/>
        <v>108.12000000000002</v>
      </c>
      <c r="AC90" s="87">
        <f t="shared" si="19"/>
        <v>122.42</v>
      </c>
      <c r="AD90" s="87" t="str">
        <f t="shared" si="20"/>
        <v/>
      </c>
      <c r="AE90" s="87" t="str">
        <f t="shared" si="21"/>
        <v/>
      </c>
      <c r="AF90" s="86">
        <f t="shared" si="102"/>
        <v>43841</v>
      </c>
      <c r="AG90" s="87">
        <f t="shared" si="2"/>
        <v>1.5</v>
      </c>
      <c r="AH90" s="87">
        <f t="shared" si="103"/>
        <v>0.42</v>
      </c>
      <c r="AI90" s="90"/>
      <c r="AJ90" s="87" t="e">
        <f t="shared" si="22"/>
        <v>#NUM!</v>
      </c>
      <c r="AK90" s="87" t="e">
        <f t="shared" si="104"/>
        <v>#NUM!</v>
      </c>
      <c r="AL90" s="87" t="e">
        <f t="shared" si="105"/>
        <v>#NUM!</v>
      </c>
      <c r="AM90" s="87" t="e">
        <f t="shared" si="106"/>
        <v>#NUM!</v>
      </c>
      <c r="AN90" s="86">
        <f t="shared" si="23"/>
        <v>0</v>
      </c>
      <c r="AO90" s="87">
        <f t="shared" si="24"/>
        <v>0</v>
      </c>
      <c r="AP90" s="88">
        <f t="shared" si="25"/>
        <v>0</v>
      </c>
      <c r="AR90" s="91">
        <f t="shared" si="26"/>
        <v>108.12000000000002</v>
      </c>
      <c r="AS90" s="92">
        <f t="shared" si="27"/>
        <v>122.42</v>
      </c>
      <c r="AT90" s="87" t="str">
        <f t="shared" si="28"/>
        <v/>
      </c>
      <c r="AU90" s="87" t="str">
        <f t="shared" si="29"/>
        <v/>
      </c>
      <c r="AV90" s="86">
        <f t="shared" si="107"/>
        <v>43841</v>
      </c>
      <c r="AW90" s="87">
        <f t="shared" si="108"/>
        <v>1.5</v>
      </c>
      <c r="AX90" s="87">
        <f t="shared" si="109"/>
        <v>0.42</v>
      </c>
      <c r="AY90" s="93"/>
      <c r="AZ90" s="87">
        <f t="shared" si="201"/>
        <v>0</v>
      </c>
      <c r="BA90" s="87">
        <f t="shared" si="110"/>
        <v>0</v>
      </c>
      <c r="BB90" s="87">
        <f t="shared" si="111"/>
        <v>0</v>
      </c>
      <c r="BC90" s="87">
        <f t="shared" si="184"/>
        <v>0</v>
      </c>
      <c r="BD90" s="86" t="e">
        <f t="shared" si="30"/>
        <v>#NUM!</v>
      </c>
      <c r="BE90" s="87" t="e">
        <f t="shared" si="3"/>
        <v>#NUM!</v>
      </c>
      <c r="BF90" s="88">
        <f t="shared" si="112"/>
        <v>0</v>
      </c>
      <c r="BH90" s="87" t="e">
        <f t="shared" si="31"/>
        <v>#NUM!</v>
      </c>
      <c r="BI90" s="51"/>
      <c r="BK90" s="95">
        <v>39594</v>
      </c>
      <c r="BL90" s="96">
        <v>11</v>
      </c>
      <c r="BM90" s="96">
        <v>11</v>
      </c>
      <c r="BY90" s="197"/>
      <c r="BZ90" s="197"/>
      <c r="CA90" s="197"/>
      <c r="CB90" s="197"/>
      <c r="CC90" s="197"/>
      <c r="CD90" s="197"/>
      <c r="CE90" s="197"/>
      <c r="CF90" s="197"/>
      <c r="CG90" s="197"/>
      <c r="CI90" s="111" t="s">
        <v>276</v>
      </c>
      <c r="CJ90" s="97"/>
      <c r="CK90" s="97"/>
      <c r="CL90" s="112">
        <v>0</v>
      </c>
      <c r="CM90" s="97">
        <v>0.5</v>
      </c>
      <c r="CY90" s="108">
        <f t="shared" si="32"/>
        <v>107.15</v>
      </c>
      <c r="CZ90" s="109">
        <f t="shared" si="33"/>
        <v>83.68</v>
      </c>
      <c r="DA90" s="109">
        <f t="shared" si="34"/>
        <v>23.47</v>
      </c>
      <c r="DB90" s="110">
        <f t="shared" si="35"/>
        <v>768.61000000000013</v>
      </c>
      <c r="DD90" s="108">
        <f t="shared" si="36"/>
        <v>0.9</v>
      </c>
      <c r="DE90" s="109">
        <f t="shared" si="114"/>
        <v>0.7</v>
      </c>
      <c r="DF90" s="109">
        <f t="shared" si="37"/>
        <v>0.2</v>
      </c>
      <c r="DG90" s="110">
        <f t="shared" si="38"/>
        <v>6.5200000000000626</v>
      </c>
      <c r="DI90" s="108">
        <f t="shared" si="115"/>
        <v>107.64000000000001</v>
      </c>
      <c r="DJ90" s="109">
        <f t="shared" si="116"/>
        <v>84.310000000000016</v>
      </c>
      <c r="DK90" s="109">
        <f t="shared" si="39"/>
        <v>23.33</v>
      </c>
      <c r="DL90" s="110">
        <f t="shared" si="40"/>
        <v>763.05000000000007</v>
      </c>
      <c r="DN90" s="108">
        <f t="shared" si="41"/>
        <v>0.1</v>
      </c>
      <c r="DO90" s="109">
        <f t="shared" si="42"/>
        <v>0.08</v>
      </c>
      <c r="DP90" s="109">
        <f t="shared" si="43"/>
        <v>0.02</v>
      </c>
      <c r="DQ90" s="110">
        <f t="shared" si="44"/>
        <v>0.70000000000004281</v>
      </c>
      <c r="DS90" s="108">
        <f t="shared" si="117"/>
        <v>107.70000000000002</v>
      </c>
      <c r="DT90" s="109">
        <f t="shared" si="118"/>
        <v>84.390000000000015</v>
      </c>
      <c r="DU90" s="109">
        <f t="shared" si="45"/>
        <v>23.31</v>
      </c>
      <c r="DV90" s="110">
        <f t="shared" si="185"/>
        <v>762.35999999999979</v>
      </c>
      <c r="DX90" s="108">
        <f t="shared" si="46"/>
        <v>0</v>
      </c>
      <c r="DY90" s="109">
        <f t="shared" si="119"/>
        <v>0</v>
      </c>
      <c r="DZ90" s="109">
        <f t="shared" si="47"/>
        <v>0</v>
      </c>
      <c r="EA90" s="110">
        <f t="shared" si="120"/>
        <v>9.9999999996924771E-3</v>
      </c>
      <c r="EC90" s="108">
        <f t="shared" si="121"/>
        <v>107.70000000000002</v>
      </c>
      <c r="ED90" s="109">
        <f t="shared" si="122"/>
        <v>84.390000000000015</v>
      </c>
      <c r="EE90" s="109">
        <f t="shared" si="48"/>
        <v>23.31</v>
      </c>
      <c r="EF90" s="110">
        <f t="shared" si="186"/>
        <v>762.35999999999979</v>
      </c>
      <c r="EH90" s="108">
        <f t="shared" si="49"/>
        <v>0</v>
      </c>
      <c r="EI90" s="109">
        <f t="shared" si="123"/>
        <v>0</v>
      </c>
      <c r="EJ90" s="109">
        <f t="shared" si="50"/>
        <v>0</v>
      </c>
      <c r="EK90" s="110">
        <f t="shared" si="124"/>
        <v>9.9999999996924771E-3</v>
      </c>
      <c r="EM90" s="108">
        <f t="shared" si="125"/>
        <v>107.70000000000002</v>
      </c>
      <c r="EN90" s="109">
        <f t="shared" si="126"/>
        <v>84.390000000000015</v>
      </c>
      <c r="EO90" s="109">
        <f t="shared" si="51"/>
        <v>23.31</v>
      </c>
      <c r="EP90" s="110">
        <f t="shared" si="187"/>
        <v>762.35999999999979</v>
      </c>
      <c r="ER90" s="108">
        <f t="shared" si="52"/>
        <v>0</v>
      </c>
      <c r="ES90" s="109">
        <f t="shared" si="127"/>
        <v>0</v>
      </c>
      <c r="ET90" s="109">
        <f t="shared" si="53"/>
        <v>0</v>
      </c>
      <c r="EU90" s="110">
        <f t="shared" si="128"/>
        <v>9.9999999996924771E-3</v>
      </c>
      <c r="EW90" s="108">
        <f t="shared" si="129"/>
        <v>107.70000000000002</v>
      </c>
      <c r="EX90" s="109">
        <f t="shared" si="130"/>
        <v>84.390000000000015</v>
      </c>
      <c r="EY90" s="109">
        <f t="shared" si="54"/>
        <v>23.31</v>
      </c>
      <c r="EZ90" s="110">
        <f t="shared" si="188"/>
        <v>762.35999999999979</v>
      </c>
      <c r="FB90" s="108">
        <f t="shared" si="55"/>
        <v>0</v>
      </c>
      <c r="FC90" s="109">
        <f t="shared" si="131"/>
        <v>0</v>
      </c>
      <c r="FD90" s="109">
        <f t="shared" si="56"/>
        <v>0</v>
      </c>
      <c r="FE90" s="110">
        <f t="shared" si="132"/>
        <v>9.9999999996924771E-3</v>
      </c>
      <c r="FG90" s="108">
        <f t="shared" si="133"/>
        <v>107.70000000000002</v>
      </c>
      <c r="FH90" s="109">
        <f t="shared" si="134"/>
        <v>84.390000000000015</v>
      </c>
      <c r="FI90" s="109">
        <f t="shared" si="57"/>
        <v>23.31</v>
      </c>
      <c r="FJ90" s="110">
        <f t="shared" si="189"/>
        <v>762.35999999999979</v>
      </c>
      <c r="FL90" s="108">
        <f t="shared" si="58"/>
        <v>0</v>
      </c>
      <c r="FM90" s="109">
        <f t="shared" si="135"/>
        <v>0</v>
      </c>
      <c r="FN90" s="109">
        <f t="shared" si="59"/>
        <v>0</v>
      </c>
      <c r="FO90" s="110">
        <f t="shared" si="136"/>
        <v>9.9999999996924771E-3</v>
      </c>
      <c r="FQ90" s="108">
        <f t="shared" si="137"/>
        <v>107.70000000000002</v>
      </c>
      <c r="FR90" s="109">
        <f t="shared" si="138"/>
        <v>84.390000000000015</v>
      </c>
      <c r="FS90" s="109">
        <f t="shared" si="60"/>
        <v>23.31</v>
      </c>
      <c r="FT90" s="110">
        <f t="shared" si="190"/>
        <v>762.35999999999979</v>
      </c>
      <c r="FV90" s="108">
        <f t="shared" si="61"/>
        <v>0</v>
      </c>
      <c r="FW90" s="109">
        <f t="shared" si="139"/>
        <v>0</v>
      </c>
      <c r="FX90" s="109">
        <f t="shared" si="62"/>
        <v>0</v>
      </c>
      <c r="FY90" s="110">
        <f t="shared" si="140"/>
        <v>9.9999999996924771E-3</v>
      </c>
      <c r="GA90" s="108">
        <f t="shared" si="141"/>
        <v>107.70000000000002</v>
      </c>
      <c r="GB90" s="109">
        <f t="shared" si="142"/>
        <v>84.390000000000015</v>
      </c>
      <c r="GC90" s="109">
        <f t="shared" si="63"/>
        <v>23.31</v>
      </c>
      <c r="GD90" s="110">
        <f t="shared" si="191"/>
        <v>762.35999999999979</v>
      </c>
      <c r="GF90" s="108">
        <f t="shared" si="64"/>
        <v>0</v>
      </c>
      <c r="GG90" s="109">
        <f t="shared" si="143"/>
        <v>0</v>
      </c>
      <c r="GH90" s="109">
        <f t="shared" si="65"/>
        <v>0</v>
      </c>
      <c r="GI90" s="110">
        <f t="shared" si="144"/>
        <v>9.9999999996924771E-3</v>
      </c>
      <c r="GK90" s="108">
        <f t="shared" si="145"/>
        <v>107.70000000000002</v>
      </c>
      <c r="GL90" s="109">
        <f t="shared" si="146"/>
        <v>84.390000000000015</v>
      </c>
      <c r="GM90" s="109">
        <f t="shared" si="147"/>
        <v>23.31</v>
      </c>
      <c r="GN90" s="110">
        <f t="shared" si="192"/>
        <v>762.35999999999979</v>
      </c>
      <c r="GR90" s="108">
        <f t="shared" si="66"/>
        <v>960.17</v>
      </c>
      <c r="GS90" s="109">
        <f t="shared" si="67"/>
        <v>960.17</v>
      </c>
      <c r="GT90" s="109">
        <f t="shared" si="68"/>
        <v>0</v>
      </c>
      <c r="GU90" s="110">
        <f t="shared" si="69"/>
        <v>398.29999999999939</v>
      </c>
      <c r="GV90" s="51"/>
      <c r="GW90" s="108">
        <f t="shared" si="70"/>
        <v>0</v>
      </c>
      <c r="GX90" s="109">
        <f t="shared" si="148"/>
        <v>0</v>
      </c>
      <c r="GY90" s="109">
        <f t="shared" si="71"/>
        <v>0</v>
      </c>
      <c r="GZ90" s="110">
        <f t="shared" si="72"/>
        <v>0</v>
      </c>
      <c r="HA90" s="51"/>
      <c r="HB90" s="108">
        <f t="shared" si="149"/>
        <v>960.17</v>
      </c>
      <c r="HC90" s="109">
        <f t="shared" si="150"/>
        <v>960.17</v>
      </c>
      <c r="HD90" s="109">
        <f t="shared" si="73"/>
        <v>0</v>
      </c>
      <c r="HE90" s="110">
        <f t="shared" si="151"/>
        <v>398.29999999999939</v>
      </c>
      <c r="HF90" s="51"/>
      <c r="HG90" s="108">
        <f t="shared" si="74"/>
        <v>0</v>
      </c>
      <c r="HH90" s="109">
        <f t="shared" si="152"/>
        <v>0</v>
      </c>
      <c r="HI90" s="109">
        <f t="shared" si="75"/>
        <v>0</v>
      </c>
      <c r="HJ90" s="110">
        <f t="shared" si="193"/>
        <v>0</v>
      </c>
      <c r="HK90" s="51"/>
      <c r="HL90" s="108">
        <f t="shared" si="153"/>
        <v>960.17</v>
      </c>
      <c r="HM90" s="109">
        <f t="shared" si="154"/>
        <v>960.17</v>
      </c>
      <c r="HN90" s="109">
        <f t="shared" si="76"/>
        <v>0</v>
      </c>
      <c r="HO90" s="110">
        <f t="shared" si="155"/>
        <v>398.29999999999939</v>
      </c>
      <c r="HP90" s="51"/>
      <c r="HQ90" s="108">
        <f t="shared" si="77"/>
        <v>0</v>
      </c>
      <c r="HR90" s="109">
        <f t="shared" si="156"/>
        <v>0</v>
      </c>
      <c r="HS90" s="109">
        <f t="shared" si="78"/>
        <v>0</v>
      </c>
      <c r="HT90" s="110">
        <f t="shared" si="194"/>
        <v>0</v>
      </c>
      <c r="HU90" s="51"/>
      <c r="HV90" s="108">
        <f t="shared" si="157"/>
        <v>960.17</v>
      </c>
      <c r="HW90" s="109">
        <f t="shared" si="158"/>
        <v>960.17</v>
      </c>
      <c r="HX90" s="109">
        <f t="shared" si="79"/>
        <v>0</v>
      </c>
      <c r="HY90" s="110">
        <f t="shared" si="159"/>
        <v>398.29999999999939</v>
      </c>
      <c r="HZ90" s="51"/>
      <c r="IA90" s="108">
        <f t="shared" si="80"/>
        <v>0</v>
      </c>
      <c r="IB90" s="109">
        <f t="shared" si="160"/>
        <v>0</v>
      </c>
      <c r="IC90" s="109">
        <f t="shared" si="81"/>
        <v>0</v>
      </c>
      <c r="ID90" s="110">
        <f t="shared" si="195"/>
        <v>0</v>
      </c>
      <c r="IE90" s="51"/>
      <c r="IF90" s="108">
        <f t="shared" si="161"/>
        <v>960.17</v>
      </c>
      <c r="IG90" s="109">
        <f t="shared" si="162"/>
        <v>960.17</v>
      </c>
      <c r="IH90" s="109">
        <f t="shared" si="82"/>
        <v>0</v>
      </c>
      <c r="II90" s="110">
        <f t="shared" si="163"/>
        <v>398.29999999999939</v>
      </c>
      <c r="IJ90" s="51"/>
      <c r="IK90" s="108">
        <f t="shared" si="83"/>
        <v>0</v>
      </c>
      <c r="IL90" s="109">
        <f t="shared" si="164"/>
        <v>0</v>
      </c>
      <c r="IM90" s="109">
        <f t="shared" si="84"/>
        <v>0</v>
      </c>
      <c r="IN90" s="110">
        <f t="shared" si="196"/>
        <v>0</v>
      </c>
      <c r="IO90" s="51"/>
      <c r="IP90" s="108">
        <f t="shared" si="165"/>
        <v>960.17</v>
      </c>
      <c r="IQ90" s="109">
        <f t="shared" si="166"/>
        <v>960.17</v>
      </c>
      <c r="IR90" s="109">
        <f t="shared" si="85"/>
        <v>0</v>
      </c>
      <c r="IS90" s="110">
        <f t="shared" si="167"/>
        <v>398.29999999999939</v>
      </c>
      <c r="IT90" s="51"/>
      <c r="IU90" s="108">
        <f t="shared" si="86"/>
        <v>0</v>
      </c>
      <c r="IV90" s="109">
        <f t="shared" si="168"/>
        <v>0</v>
      </c>
      <c r="IW90" s="109">
        <f t="shared" si="87"/>
        <v>0</v>
      </c>
      <c r="IX90" s="110">
        <f t="shared" si="197"/>
        <v>0</v>
      </c>
      <c r="IY90" s="51"/>
      <c r="IZ90" s="108">
        <f t="shared" si="169"/>
        <v>960.17</v>
      </c>
      <c r="JA90" s="109">
        <f t="shared" si="170"/>
        <v>960.17</v>
      </c>
      <c r="JB90" s="109">
        <f t="shared" si="88"/>
        <v>0</v>
      </c>
      <c r="JC90" s="110">
        <f t="shared" si="171"/>
        <v>398.29999999999939</v>
      </c>
      <c r="JD90" s="51"/>
      <c r="JE90" s="108">
        <f t="shared" si="89"/>
        <v>0</v>
      </c>
      <c r="JF90" s="109">
        <f t="shared" si="172"/>
        <v>0</v>
      </c>
      <c r="JG90" s="109">
        <f t="shared" si="90"/>
        <v>0</v>
      </c>
      <c r="JH90" s="110">
        <f t="shared" si="198"/>
        <v>0</v>
      </c>
      <c r="JI90" s="51"/>
      <c r="JJ90" s="108">
        <f t="shared" si="173"/>
        <v>960.17</v>
      </c>
      <c r="JK90" s="109">
        <f t="shared" si="174"/>
        <v>960.17</v>
      </c>
      <c r="JL90" s="109">
        <f t="shared" si="91"/>
        <v>0</v>
      </c>
      <c r="JM90" s="110">
        <f t="shared" si="175"/>
        <v>398.29999999999939</v>
      </c>
      <c r="JN90" s="51"/>
      <c r="JO90" s="108">
        <f t="shared" si="92"/>
        <v>0</v>
      </c>
      <c r="JP90" s="109">
        <f t="shared" si="176"/>
        <v>0</v>
      </c>
      <c r="JQ90" s="109">
        <f t="shared" si="93"/>
        <v>0</v>
      </c>
      <c r="JR90" s="110">
        <f t="shared" si="199"/>
        <v>0</v>
      </c>
      <c r="JS90" s="51"/>
      <c r="JT90" s="108">
        <f t="shared" si="177"/>
        <v>960.17</v>
      </c>
      <c r="JU90" s="109">
        <f t="shared" si="178"/>
        <v>960.17</v>
      </c>
      <c r="JV90" s="109">
        <f t="shared" si="94"/>
        <v>0</v>
      </c>
      <c r="JW90" s="110">
        <f t="shared" si="179"/>
        <v>398.29999999999939</v>
      </c>
      <c r="JX90" s="51"/>
      <c r="JY90" s="108">
        <f t="shared" si="95"/>
        <v>0</v>
      </c>
      <c r="JZ90" s="109">
        <f t="shared" si="180"/>
        <v>0</v>
      </c>
      <c r="KA90" s="109">
        <f t="shared" si="96"/>
        <v>0</v>
      </c>
      <c r="KB90" s="110">
        <f t="shared" si="200"/>
        <v>0</v>
      </c>
      <c r="KC90" s="51"/>
      <c r="KD90" s="108">
        <f t="shared" si="181"/>
        <v>960.17</v>
      </c>
      <c r="KE90" s="109">
        <f t="shared" si="182"/>
        <v>960.17</v>
      </c>
      <c r="KF90" s="109">
        <f t="shared" si="97"/>
        <v>0</v>
      </c>
      <c r="KG90" s="110">
        <f t="shared" si="98"/>
        <v>398.29999999999939</v>
      </c>
    </row>
    <row r="91" spans="1:293" ht="12" customHeight="1">
      <c r="A91" s="105">
        <f t="array" ref="A91">MAX(IF($J$80:J90&gt;0,$C$80:C90,0))</f>
        <v>43535</v>
      </c>
      <c r="B91" s="81">
        <f t="shared" si="4"/>
        <v>11</v>
      </c>
      <c r="C91" s="82">
        <f t="shared" si="5"/>
        <v>43878</v>
      </c>
      <c r="D91" s="83">
        <f t="shared" si="6"/>
        <v>108.11000000000001</v>
      </c>
      <c r="E91" s="83">
        <f t="shared" si="99"/>
        <v>0.41</v>
      </c>
      <c r="F91" s="83">
        <f t="shared" si="7"/>
        <v>84.610000000000014</v>
      </c>
      <c r="G91" s="83">
        <f t="shared" si="8"/>
        <v>23.09</v>
      </c>
      <c r="H91" s="83">
        <f t="shared" si="9"/>
        <v>677.74999999999977</v>
      </c>
      <c r="I91" s="105">
        <f t="array" ref="I91">MAX(IF($R$80:R90&gt;0,$L$80:L90,0))</f>
        <v>0</v>
      </c>
      <c r="J91" s="106"/>
      <c r="K91" s="69">
        <f t="shared" si="10"/>
        <v>11</v>
      </c>
      <c r="L91" s="82">
        <f t="shared" si="183"/>
        <v>0</v>
      </c>
      <c r="M91" s="83">
        <f t="shared" si="11"/>
        <v>960.17</v>
      </c>
      <c r="N91" s="83">
        <f t="shared" si="12"/>
        <v>0</v>
      </c>
      <c r="O91" s="83" t="str">
        <f t="shared" si="13"/>
        <v/>
      </c>
      <c r="P91" s="83">
        <f t="shared" si="14"/>
        <v>0</v>
      </c>
      <c r="Q91" s="83">
        <f t="shared" si="15"/>
        <v>-561.87000000000057</v>
      </c>
      <c r="R91" s="106"/>
      <c r="S91" s="66"/>
      <c r="U91" s="85" t="e">
        <f t="shared" si="0"/>
        <v>#NUM!</v>
      </c>
      <c r="V91" s="86" t="e">
        <f t="shared" si="100"/>
        <v>#NUM!</v>
      </c>
      <c r="W91" s="87" t="e">
        <f t="shared" si="16"/>
        <v>#NUM!</v>
      </c>
      <c r="X91" s="87" t="e">
        <f t="shared" si="17"/>
        <v>#NUM!</v>
      </c>
      <c r="Y91" s="87" t="e">
        <f t="shared" si="18"/>
        <v>#NUM!</v>
      </c>
      <c r="Z91" s="88" t="e">
        <f t="shared" si="1"/>
        <v>#NUM!</v>
      </c>
      <c r="AB91" s="89">
        <f t="shared" si="101"/>
        <v>108.11000000000001</v>
      </c>
      <c r="AC91" s="87">
        <f t="shared" si="19"/>
        <v>123.93</v>
      </c>
      <c r="AD91" s="87" t="str">
        <f t="shared" si="20"/>
        <v/>
      </c>
      <c r="AE91" s="87" t="str">
        <f t="shared" si="21"/>
        <v/>
      </c>
      <c r="AF91" s="86">
        <f t="shared" si="102"/>
        <v>43872</v>
      </c>
      <c r="AG91" s="87">
        <f t="shared" si="2"/>
        <v>1.5</v>
      </c>
      <c r="AH91" s="87">
        <f t="shared" si="103"/>
        <v>0.41</v>
      </c>
      <c r="AI91" s="90"/>
      <c r="AJ91" s="87" t="e">
        <f t="shared" si="22"/>
        <v>#NUM!</v>
      </c>
      <c r="AK91" s="87" t="e">
        <f t="shared" si="104"/>
        <v>#NUM!</v>
      </c>
      <c r="AL91" s="87" t="e">
        <f t="shared" si="105"/>
        <v>#NUM!</v>
      </c>
      <c r="AM91" s="87" t="e">
        <f t="shared" si="106"/>
        <v>#NUM!</v>
      </c>
      <c r="AN91" s="86">
        <f t="shared" si="23"/>
        <v>0</v>
      </c>
      <c r="AO91" s="87">
        <f t="shared" si="24"/>
        <v>0</v>
      </c>
      <c r="AP91" s="88">
        <f t="shared" si="25"/>
        <v>0</v>
      </c>
      <c r="AR91" s="91">
        <f t="shared" si="26"/>
        <v>108.11000000000001</v>
      </c>
      <c r="AS91" s="92">
        <f t="shared" si="27"/>
        <v>123.93</v>
      </c>
      <c r="AT91" s="87" t="str">
        <f t="shared" si="28"/>
        <v/>
      </c>
      <c r="AU91" s="87" t="str">
        <f t="shared" si="29"/>
        <v/>
      </c>
      <c r="AV91" s="86">
        <f t="shared" si="107"/>
        <v>43872</v>
      </c>
      <c r="AW91" s="87">
        <f t="shared" si="108"/>
        <v>1.5</v>
      </c>
      <c r="AX91" s="87">
        <f t="shared" si="109"/>
        <v>0.41</v>
      </c>
      <c r="AY91" s="93"/>
      <c r="AZ91" s="87">
        <f t="shared" si="201"/>
        <v>0</v>
      </c>
      <c r="BA91" s="87">
        <f t="shared" si="110"/>
        <v>0</v>
      </c>
      <c r="BB91" s="87">
        <f t="shared" si="111"/>
        <v>0</v>
      </c>
      <c r="BC91" s="87">
        <f t="shared" si="184"/>
        <v>0</v>
      </c>
      <c r="BD91" s="86" t="e">
        <f t="shared" si="30"/>
        <v>#NUM!</v>
      </c>
      <c r="BE91" s="87" t="e">
        <f t="shared" si="3"/>
        <v>#NUM!</v>
      </c>
      <c r="BF91" s="88">
        <f t="shared" si="112"/>
        <v>0</v>
      </c>
      <c r="BH91" s="87" t="e">
        <f t="shared" si="31"/>
        <v>#NUM!</v>
      </c>
      <c r="BI91" s="51"/>
      <c r="BK91" s="95">
        <v>39688</v>
      </c>
      <c r="BL91" s="96">
        <v>12</v>
      </c>
      <c r="BM91" s="96">
        <v>12</v>
      </c>
      <c r="BT91" t="s">
        <v>183</v>
      </c>
      <c r="BX91" s="197"/>
      <c r="BY91" s="107"/>
      <c r="BZ91" s="107"/>
      <c r="CA91" s="107"/>
      <c r="CB91" s="107"/>
      <c r="CC91" s="107"/>
      <c r="CD91" s="107"/>
      <c r="CE91" s="107"/>
      <c r="CF91" s="107"/>
      <c r="CG91" s="107"/>
      <c r="CI91" s="111" t="s">
        <v>277</v>
      </c>
      <c r="CJ91" s="97"/>
      <c r="CK91" s="97"/>
      <c r="CL91" s="112">
        <v>2E-3</v>
      </c>
      <c r="CM91" s="97">
        <v>0.5</v>
      </c>
      <c r="CY91" s="108">
        <f t="shared" si="32"/>
        <v>107.15</v>
      </c>
      <c r="CZ91" s="109">
        <f t="shared" si="33"/>
        <v>83.87</v>
      </c>
      <c r="DA91" s="109">
        <f t="shared" si="34"/>
        <v>23.28</v>
      </c>
      <c r="DB91" s="110">
        <f t="shared" si="35"/>
        <v>684.74000000000012</v>
      </c>
      <c r="DD91" s="108">
        <f t="shared" si="36"/>
        <v>0.9</v>
      </c>
      <c r="DE91" s="109">
        <f t="shared" si="114"/>
        <v>0.7</v>
      </c>
      <c r="DF91" s="109">
        <f t="shared" si="37"/>
        <v>0.2</v>
      </c>
      <c r="DG91" s="110">
        <f t="shared" si="38"/>
        <v>5.8200000000000625</v>
      </c>
      <c r="DI91" s="108">
        <f t="shared" si="115"/>
        <v>107.64000000000001</v>
      </c>
      <c r="DJ91" s="109">
        <f t="shared" si="116"/>
        <v>84.530000000000015</v>
      </c>
      <c r="DK91" s="109">
        <f t="shared" si="39"/>
        <v>23.11</v>
      </c>
      <c r="DL91" s="110">
        <f t="shared" si="40"/>
        <v>678.5200000000001</v>
      </c>
      <c r="DN91" s="108">
        <f t="shared" si="41"/>
        <v>0.1</v>
      </c>
      <c r="DO91" s="109">
        <f t="shared" si="42"/>
        <v>0.08</v>
      </c>
      <c r="DP91" s="109">
        <f t="shared" si="43"/>
        <v>0.02</v>
      </c>
      <c r="DQ91" s="110">
        <f t="shared" si="44"/>
        <v>0.62000000000004285</v>
      </c>
      <c r="DS91" s="108">
        <f t="shared" si="117"/>
        <v>107.70000000000002</v>
      </c>
      <c r="DT91" s="109">
        <f t="shared" si="118"/>
        <v>84.610000000000014</v>
      </c>
      <c r="DU91" s="109">
        <f t="shared" si="45"/>
        <v>23.09</v>
      </c>
      <c r="DV91" s="110">
        <f t="shared" si="185"/>
        <v>677.74999999999977</v>
      </c>
      <c r="DX91" s="108">
        <f t="shared" si="46"/>
        <v>0</v>
      </c>
      <c r="DY91" s="109">
        <f t="shared" si="119"/>
        <v>0</v>
      </c>
      <c r="DZ91" s="109">
        <f t="shared" si="47"/>
        <v>0</v>
      </c>
      <c r="EA91" s="110">
        <f t="shared" si="120"/>
        <v>9.9999999996924771E-3</v>
      </c>
      <c r="EC91" s="108">
        <f t="shared" si="121"/>
        <v>107.70000000000002</v>
      </c>
      <c r="ED91" s="109">
        <f t="shared" si="122"/>
        <v>84.610000000000014</v>
      </c>
      <c r="EE91" s="109">
        <f t="shared" si="48"/>
        <v>23.09</v>
      </c>
      <c r="EF91" s="110">
        <f t="shared" si="186"/>
        <v>677.74999999999977</v>
      </c>
      <c r="EH91" s="108">
        <f t="shared" si="49"/>
        <v>0</v>
      </c>
      <c r="EI91" s="109">
        <f t="shared" si="123"/>
        <v>0</v>
      </c>
      <c r="EJ91" s="109">
        <f t="shared" si="50"/>
        <v>0</v>
      </c>
      <c r="EK91" s="110">
        <f t="shared" si="124"/>
        <v>9.9999999996924771E-3</v>
      </c>
      <c r="EM91" s="108">
        <f t="shared" si="125"/>
        <v>107.70000000000002</v>
      </c>
      <c r="EN91" s="109">
        <f t="shared" si="126"/>
        <v>84.610000000000014</v>
      </c>
      <c r="EO91" s="109">
        <f t="shared" si="51"/>
        <v>23.09</v>
      </c>
      <c r="EP91" s="110">
        <f t="shared" si="187"/>
        <v>677.74999999999977</v>
      </c>
      <c r="ER91" s="108">
        <f t="shared" si="52"/>
        <v>0</v>
      </c>
      <c r="ES91" s="109">
        <f t="shared" si="127"/>
        <v>0</v>
      </c>
      <c r="ET91" s="109">
        <f t="shared" si="53"/>
        <v>0</v>
      </c>
      <c r="EU91" s="110">
        <f t="shared" si="128"/>
        <v>9.9999999996924771E-3</v>
      </c>
      <c r="EW91" s="108">
        <f t="shared" si="129"/>
        <v>107.70000000000002</v>
      </c>
      <c r="EX91" s="109">
        <f t="shared" si="130"/>
        <v>84.610000000000014</v>
      </c>
      <c r="EY91" s="109">
        <f t="shared" si="54"/>
        <v>23.09</v>
      </c>
      <c r="EZ91" s="110">
        <f t="shared" si="188"/>
        <v>677.74999999999977</v>
      </c>
      <c r="FB91" s="108">
        <f t="shared" si="55"/>
        <v>0</v>
      </c>
      <c r="FC91" s="109">
        <f t="shared" si="131"/>
        <v>0</v>
      </c>
      <c r="FD91" s="109">
        <f t="shared" si="56"/>
        <v>0</v>
      </c>
      <c r="FE91" s="110">
        <f t="shared" si="132"/>
        <v>9.9999999996924771E-3</v>
      </c>
      <c r="FG91" s="108">
        <f t="shared" si="133"/>
        <v>107.70000000000002</v>
      </c>
      <c r="FH91" s="109">
        <f t="shared" si="134"/>
        <v>84.610000000000014</v>
      </c>
      <c r="FI91" s="109">
        <f t="shared" si="57"/>
        <v>23.09</v>
      </c>
      <c r="FJ91" s="110">
        <f t="shared" si="189"/>
        <v>677.74999999999977</v>
      </c>
      <c r="FL91" s="108">
        <f t="shared" si="58"/>
        <v>0</v>
      </c>
      <c r="FM91" s="109">
        <f t="shared" si="135"/>
        <v>0</v>
      </c>
      <c r="FN91" s="109">
        <f t="shared" si="59"/>
        <v>0</v>
      </c>
      <c r="FO91" s="110">
        <f t="shared" si="136"/>
        <v>9.9999999996924771E-3</v>
      </c>
      <c r="FQ91" s="108">
        <f t="shared" si="137"/>
        <v>107.70000000000002</v>
      </c>
      <c r="FR91" s="109">
        <f t="shared" si="138"/>
        <v>84.610000000000014</v>
      </c>
      <c r="FS91" s="109">
        <f t="shared" si="60"/>
        <v>23.09</v>
      </c>
      <c r="FT91" s="110">
        <f t="shared" si="190"/>
        <v>677.74999999999977</v>
      </c>
      <c r="FV91" s="108">
        <f t="shared" si="61"/>
        <v>0</v>
      </c>
      <c r="FW91" s="109">
        <f t="shared" si="139"/>
        <v>0</v>
      </c>
      <c r="FX91" s="109">
        <f t="shared" si="62"/>
        <v>0</v>
      </c>
      <c r="FY91" s="110">
        <f t="shared" si="140"/>
        <v>9.9999999996924771E-3</v>
      </c>
      <c r="GA91" s="108">
        <f t="shared" si="141"/>
        <v>107.70000000000002</v>
      </c>
      <c r="GB91" s="109">
        <f t="shared" si="142"/>
        <v>84.610000000000014</v>
      </c>
      <c r="GC91" s="109">
        <f t="shared" si="63"/>
        <v>23.09</v>
      </c>
      <c r="GD91" s="110">
        <f t="shared" si="191"/>
        <v>677.74999999999977</v>
      </c>
      <c r="GF91" s="108">
        <f t="shared" si="64"/>
        <v>0</v>
      </c>
      <c r="GG91" s="109">
        <f t="shared" si="143"/>
        <v>0</v>
      </c>
      <c r="GH91" s="109">
        <f t="shared" si="65"/>
        <v>0</v>
      </c>
      <c r="GI91" s="110">
        <f t="shared" si="144"/>
        <v>9.9999999996924771E-3</v>
      </c>
      <c r="GK91" s="108">
        <f t="shared" si="145"/>
        <v>107.70000000000002</v>
      </c>
      <c r="GL91" s="109">
        <f t="shared" si="146"/>
        <v>84.610000000000014</v>
      </c>
      <c r="GM91" s="109">
        <f t="shared" si="147"/>
        <v>23.09</v>
      </c>
      <c r="GN91" s="110">
        <f t="shared" si="192"/>
        <v>677.74999999999977</v>
      </c>
      <c r="GR91" s="108">
        <f t="shared" si="66"/>
        <v>960.17</v>
      </c>
      <c r="GS91" s="109">
        <f t="shared" si="67"/>
        <v>960.17</v>
      </c>
      <c r="GT91" s="109">
        <f t="shared" si="68"/>
        <v>0</v>
      </c>
      <c r="GU91" s="110">
        <f t="shared" si="69"/>
        <v>-561.87000000000057</v>
      </c>
      <c r="GV91" s="51"/>
      <c r="GW91" s="108">
        <f t="shared" si="70"/>
        <v>0</v>
      </c>
      <c r="GX91" s="109">
        <f t="shared" si="148"/>
        <v>0</v>
      </c>
      <c r="GY91" s="109">
        <f t="shared" si="71"/>
        <v>0</v>
      </c>
      <c r="GZ91" s="110">
        <f t="shared" si="72"/>
        <v>0</v>
      </c>
      <c r="HA91" s="51"/>
      <c r="HB91" s="108">
        <f t="shared" si="149"/>
        <v>960.17</v>
      </c>
      <c r="HC91" s="109">
        <f t="shared" si="150"/>
        <v>960.17</v>
      </c>
      <c r="HD91" s="109">
        <f t="shared" si="73"/>
        <v>0</v>
      </c>
      <c r="HE91" s="110">
        <f t="shared" si="151"/>
        <v>-561.87000000000057</v>
      </c>
      <c r="HF91" s="51"/>
      <c r="HG91" s="108">
        <f t="shared" si="74"/>
        <v>0</v>
      </c>
      <c r="HH91" s="109">
        <f t="shared" si="152"/>
        <v>0</v>
      </c>
      <c r="HI91" s="109">
        <f t="shared" si="75"/>
        <v>0</v>
      </c>
      <c r="HJ91" s="110">
        <f t="shared" si="193"/>
        <v>0</v>
      </c>
      <c r="HK91" s="51"/>
      <c r="HL91" s="108">
        <f t="shared" si="153"/>
        <v>960.17</v>
      </c>
      <c r="HM91" s="109">
        <f t="shared" si="154"/>
        <v>960.17</v>
      </c>
      <c r="HN91" s="109">
        <f t="shared" si="76"/>
        <v>0</v>
      </c>
      <c r="HO91" s="110">
        <f t="shared" si="155"/>
        <v>-561.87000000000057</v>
      </c>
      <c r="HP91" s="51"/>
      <c r="HQ91" s="108">
        <f t="shared" si="77"/>
        <v>0</v>
      </c>
      <c r="HR91" s="109">
        <f t="shared" si="156"/>
        <v>0</v>
      </c>
      <c r="HS91" s="109">
        <f t="shared" si="78"/>
        <v>0</v>
      </c>
      <c r="HT91" s="110">
        <f t="shared" si="194"/>
        <v>0</v>
      </c>
      <c r="HU91" s="51"/>
      <c r="HV91" s="108">
        <f t="shared" si="157"/>
        <v>960.17</v>
      </c>
      <c r="HW91" s="109">
        <f t="shared" si="158"/>
        <v>960.17</v>
      </c>
      <c r="HX91" s="109">
        <f t="shared" si="79"/>
        <v>0</v>
      </c>
      <c r="HY91" s="110">
        <f t="shared" si="159"/>
        <v>-561.87000000000057</v>
      </c>
      <c r="HZ91" s="51"/>
      <c r="IA91" s="108">
        <f t="shared" si="80"/>
        <v>0</v>
      </c>
      <c r="IB91" s="109">
        <f t="shared" si="160"/>
        <v>0</v>
      </c>
      <c r="IC91" s="109">
        <f t="shared" si="81"/>
        <v>0</v>
      </c>
      <c r="ID91" s="110">
        <f t="shared" si="195"/>
        <v>0</v>
      </c>
      <c r="IE91" s="51"/>
      <c r="IF91" s="108">
        <f t="shared" si="161"/>
        <v>960.17</v>
      </c>
      <c r="IG91" s="109">
        <f t="shared" si="162"/>
        <v>960.17</v>
      </c>
      <c r="IH91" s="109">
        <f t="shared" si="82"/>
        <v>0</v>
      </c>
      <c r="II91" s="110">
        <f t="shared" si="163"/>
        <v>-561.87000000000057</v>
      </c>
      <c r="IJ91" s="51"/>
      <c r="IK91" s="108">
        <f t="shared" si="83"/>
        <v>0</v>
      </c>
      <c r="IL91" s="109">
        <f t="shared" si="164"/>
        <v>0</v>
      </c>
      <c r="IM91" s="109">
        <f t="shared" si="84"/>
        <v>0</v>
      </c>
      <c r="IN91" s="110">
        <f t="shared" si="196"/>
        <v>0</v>
      </c>
      <c r="IO91" s="51"/>
      <c r="IP91" s="108">
        <f t="shared" si="165"/>
        <v>960.17</v>
      </c>
      <c r="IQ91" s="109">
        <f t="shared" si="166"/>
        <v>960.17</v>
      </c>
      <c r="IR91" s="109">
        <f t="shared" si="85"/>
        <v>0</v>
      </c>
      <c r="IS91" s="110">
        <f t="shared" si="167"/>
        <v>-561.87000000000057</v>
      </c>
      <c r="IT91" s="51"/>
      <c r="IU91" s="108">
        <f t="shared" si="86"/>
        <v>0</v>
      </c>
      <c r="IV91" s="109">
        <f t="shared" si="168"/>
        <v>0</v>
      </c>
      <c r="IW91" s="109">
        <f t="shared" si="87"/>
        <v>0</v>
      </c>
      <c r="IX91" s="110">
        <f t="shared" si="197"/>
        <v>0</v>
      </c>
      <c r="IY91" s="51"/>
      <c r="IZ91" s="108">
        <f t="shared" si="169"/>
        <v>960.17</v>
      </c>
      <c r="JA91" s="109">
        <f t="shared" si="170"/>
        <v>960.17</v>
      </c>
      <c r="JB91" s="109">
        <f t="shared" si="88"/>
        <v>0</v>
      </c>
      <c r="JC91" s="110">
        <f t="shared" si="171"/>
        <v>-561.87000000000057</v>
      </c>
      <c r="JD91" s="51"/>
      <c r="JE91" s="108">
        <f t="shared" si="89"/>
        <v>0</v>
      </c>
      <c r="JF91" s="109">
        <f t="shared" si="172"/>
        <v>0</v>
      </c>
      <c r="JG91" s="109">
        <f t="shared" si="90"/>
        <v>0</v>
      </c>
      <c r="JH91" s="110">
        <f t="shared" si="198"/>
        <v>0</v>
      </c>
      <c r="JI91" s="51"/>
      <c r="JJ91" s="108">
        <f t="shared" si="173"/>
        <v>960.17</v>
      </c>
      <c r="JK91" s="109">
        <f t="shared" si="174"/>
        <v>960.17</v>
      </c>
      <c r="JL91" s="109">
        <f t="shared" si="91"/>
        <v>0</v>
      </c>
      <c r="JM91" s="110">
        <f t="shared" si="175"/>
        <v>-561.87000000000057</v>
      </c>
      <c r="JN91" s="51"/>
      <c r="JO91" s="108">
        <f t="shared" si="92"/>
        <v>0</v>
      </c>
      <c r="JP91" s="109">
        <f t="shared" si="176"/>
        <v>0</v>
      </c>
      <c r="JQ91" s="109">
        <f t="shared" si="93"/>
        <v>0</v>
      </c>
      <c r="JR91" s="110">
        <f t="shared" si="199"/>
        <v>0</v>
      </c>
      <c r="JS91" s="51"/>
      <c r="JT91" s="108">
        <f t="shared" si="177"/>
        <v>960.17</v>
      </c>
      <c r="JU91" s="109">
        <f t="shared" si="178"/>
        <v>960.17</v>
      </c>
      <c r="JV91" s="109">
        <f t="shared" si="94"/>
        <v>0</v>
      </c>
      <c r="JW91" s="110">
        <f t="shared" si="179"/>
        <v>-561.87000000000057</v>
      </c>
      <c r="JX91" s="51"/>
      <c r="JY91" s="108">
        <f t="shared" si="95"/>
        <v>0</v>
      </c>
      <c r="JZ91" s="109">
        <f t="shared" si="180"/>
        <v>0</v>
      </c>
      <c r="KA91" s="109">
        <f t="shared" si="96"/>
        <v>0</v>
      </c>
      <c r="KB91" s="110">
        <f t="shared" si="200"/>
        <v>0</v>
      </c>
      <c r="KC91" s="51"/>
      <c r="KD91" s="108">
        <f t="shared" si="181"/>
        <v>960.17</v>
      </c>
      <c r="KE91" s="109">
        <f t="shared" si="182"/>
        <v>960.17</v>
      </c>
      <c r="KF91" s="109">
        <f t="shared" si="97"/>
        <v>0</v>
      </c>
      <c r="KG91" s="110">
        <f t="shared" si="98"/>
        <v>-561.87000000000057</v>
      </c>
    </row>
    <row r="92" spans="1:293" ht="12" customHeight="1">
      <c r="A92" s="105">
        <f t="array" ref="A92">MAX(IF($J$80:J91&gt;0,$C$80:C91,0))</f>
        <v>43535</v>
      </c>
      <c r="B92" s="81">
        <f t="shared" si="4"/>
        <v>12</v>
      </c>
      <c r="C92" s="82">
        <f t="shared" si="5"/>
        <v>43906</v>
      </c>
      <c r="D92" s="83">
        <f t="shared" si="6"/>
        <v>108.01000000000002</v>
      </c>
      <c r="E92" s="83">
        <f t="shared" si="99"/>
        <v>0.31</v>
      </c>
      <c r="F92" s="83">
        <f t="shared" si="7"/>
        <v>90.280000000000015</v>
      </c>
      <c r="G92" s="83">
        <f t="shared" si="8"/>
        <v>17.420000000000002</v>
      </c>
      <c r="H92" s="83">
        <f t="shared" si="9"/>
        <v>587.4699999999998</v>
      </c>
      <c r="I92" s="105">
        <f t="array" ref="I92">MAX(IF($R$80:R91&gt;0,$L$80:L91,0))</f>
        <v>0</v>
      </c>
      <c r="J92" s="106"/>
      <c r="K92" s="69">
        <f t="shared" si="10"/>
        <v>12</v>
      </c>
      <c r="L92" s="82">
        <f t="shared" si="183"/>
        <v>0</v>
      </c>
      <c r="M92" s="83">
        <f t="shared" si="11"/>
        <v>-561.87000000000057</v>
      </c>
      <c r="N92" s="83" t="b">
        <f t="shared" si="12"/>
        <v>0</v>
      </c>
      <c r="O92" s="83" t="str">
        <f t="shared" si="13"/>
        <v/>
      </c>
      <c r="P92" s="83">
        <f t="shared" si="14"/>
        <v>0</v>
      </c>
      <c r="Q92" s="83">
        <f t="shared" si="15"/>
        <v>0</v>
      </c>
      <c r="R92" s="106"/>
      <c r="S92" s="66"/>
      <c r="U92" s="85" t="e">
        <f t="shared" si="0"/>
        <v>#NUM!</v>
      </c>
      <c r="V92" s="86" t="e">
        <f t="shared" si="100"/>
        <v>#NUM!</v>
      </c>
      <c r="W92" s="87" t="e">
        <f t="shared" si="16"/>
        <v>#NUM!</v>
      </c>
      <c r="X92" s="87" t="e">
        <f t="shared" si="17"/>
        <v>#NUM!</v>
      </c>
      <c r="Y92" s="87" t="e">
        <f t="shared" si="18"/>
        <v>#NUM!</v>
      </c>
      <c r="Z92" s="88" t="e">
        <f t="shared" si="1"/>
        <v>#NUM!</v>
      </c>
      <c r="AB92" s="89">
        <f t="shared" si="101"/>
        <v>108.01000000000002</v>
      </c>
      <c r="AC92" s="87">
        <f t="shared" si="19"/>
        <v>125.1</v>
      </c>
      <c r="AD92" s="87" t="str">
        <f t="shared" si="20"/>
        <v/>
      </c>
      <c r="AE92" s="87" t="str">
        <f t="shared" si="21"/>
        <v/>
      </c>
      <c r="AF92" s="86">
        <f t="shared" si="102"/>
        <v>43901</v>
      </c>
      <c r="AG92" s="87">
        <f t="shared" si="2"/>
        <v>1.5</v>
      </c>
      <c r="AH92" s="87">
        <f t="shared" si="103"/>
        <v>0.31</v>
      </c>
      <c r="AI92" s="90"/>
      <c r="AJ92" s="87" t="e">
        <f t="shared" si="22"/>
        <v>#NUM!</v>
      </c>
      <c r="AK92" s="87" t="e">
        <f t="shared" si="104"/>
        <v>#NUM!</v>
      </c>
      <c r="AL92" s="87" t="e">
        <f t="shared" si="105"/>
        <v>#NUM!</v>
      </c>
      <c r="AM92" s="87" t="e">
        <f t="shared" si="106"/>
        <v>#NUM!</v>
      </c>
      <c r="AN92" s="86">
        <f t="shared" si="23"/>
        <v>0</v>
      </c>
      <c r="AO92" s="87">
        <f t="shared" si="24"/>
        <v>0</v>
      </c>
      <c r="AP92" s="88" t="b">
        <f t="shared" si="25"/>
        <v>0</v>
      </c>
      <c r="AR92" s="91">
        <f t="shared" si="26"/>
        <v>108.01000000000002</v>
      </c>
      <c r="AS92" s="92">
        <f t="shared" si="27"/>
        <v>125.1</v>
      </c>
      <c r="AT92" s="87" t="str">
        <f t="shared" si="28"/>
        <v/>
      </c>
      <c r="AU92" s="87" t="str">
        <f t="shared" si="29"/>
        <v/>
      </c>
      <c r="AV92" s="86">
        <f t="shared" si="107"/>
        <v>43901</v>
      </c>
      <c r="AW92" s="87">
        <f t="shared" si="108"/>
        <v>1.5</v>
      </c>
      <c r="AX92" s="87">
        <f t="shared" si="109"/>
        <v>0.31</v>
      </c>
      <c r="AY92" s="93"/>
      <c r="AZ92" s="87">
        <f t="shared" si="201"/>
        <v>0</v>
      </c>
      <c r="BA92" s="87">
        <f t="shared" si="110"/>
        <v>0</v>
      </c>
      <c r="BB92" s="87">
        <f t="shared" si="111"/>
        <v>0</v>
      </c>
      <c r="BC92" s="87">
        <f t="shared" si="184"/>
        <v>0</v>
      </c>
      <c r="BD92" s="86" t="e">
        <f t="shared" si="30"/>
        <v>#NUM!</v>
      </c>
      <c r="BE92" s="87" t="e">
        <f t="shared" si="3"/>
        <v>#NUM!</v>
      </c>
      <c r="BF92" s="88">
        <f t="shared" si="112"/>
        <v>0</v>
      </c>
      <c r="BH92" s="87" t="e">
        <f t="shared" si="31"/>
        <v>#NUM!</v>
      </c>
      <c r="BI92" s="51"/>
      <c r="BK92" s="95">
        <v>39735</v>
      </c>
      <c r="BL92" s="96">
        <v>13</v>
      </c>
      <c r="BT92">
        <v>0</v>
      </c>
      <c r="BU92" s="51">
        <v>500</v>
      </c>
      <c r="BV92" s="30" t="s">
        <v>497</v>
      </c>
      <c r="BY92" s="107"/>
      <c r="BZ92" s="107"/>
      <c r="CA92" s="107"/>
      <c r="CB92" s="107"/>
      <c r="CC92" s="107"/>
      <c r="CD92" s="107"/>
      <c r="CE92" s="107"/>
      <c r="CF92" s="30" t="s">
        <v>497</v>
      </c>
      <c r="CG92" s="30" t="s">
        <v>497</v>
      </c>
      <c r="CI92" s="111" t="s">
        <v>278</v>
      </c>
      <c r="CJ92" s="97"/>
      <c r="CK92" s="97"/>
      <c r="CL92" s="112">
        <v>5.0000000000000001E-3</v>
      </c>
      <c r="CM92" s="97">
        <v>0</v>
      </c>
      <c r="CY92" s="108">
        <f t="shared" si="32"/>
        <v>107.15</v>
      </c>
      <c r="CZ92" s="109">
        <f t="shared" si="33"/>
        <v>89.550000000000011</v>
      </c>
      <c r="DA92" s="109">
        <f t="shared" si="34"/>
        <v>17.600000000000001</v>
      </c>
      <c r="DB92" s="110">
        <f t="shared" si="35"/>
        <v>595.19000000000005</v>
      </c>
      <c r="DD92" s="108">
        <f t="shared" si="36"/>
        <v>0.9</v>
      </c>
      <c r="DE92" s="109">
        <f t="shared" si="114"/>
        <v>0.75</v>
      </c>
      <c r="DF92" s="109">
        <f t="shared" si="37"/>
        <v>0.15</v>
      </c>
      <c r="DG92" s="110">
        <f t="shared" si="38"/>
        <v>5.0700000000000625</v>
      </c>
      <c r="DI92" s="108">
        <f t="shared" si="115"/>
        <v>107.64000000000001</v>
      </c>
      <c r="DJ92" s="109">
        <f t="shared" si="116"/>
        <v>90.200000000000017</v>
      </c>
      <c r="DK92" s="109">
        <f t="shared" si="39"/>
        <v>17.440000000000001</v>
      </c>
      <c r="DL92" s="110">
        <f t="shared" si="40"/>
        <v>588.32000000000005</v>
      </c>
      <c r="DN92" s="108">
        <f t="shared" si="41"/>
        <v>0.1</v>
      </c>
      <c r="DO92" s="109">
        <f t="shared" si="42"/>
        <v>0.08</v>
      </c>
      <c r="DP92" s="109">
        <f t="shared" si="43"/>
        <v>0.02</v>
      </c>
      <c r="DQ92" s="110">
        <f t="shared" si="44"/>
        <v>0.54000000000004289</v>
      </c>
      <c r="DS92" s="108">
        <f t="shared" si="117"/>
        <v>107.70000000000002</v>
      </c>
      <c r="DT92" s="109">
        <f t="shared" si="118"/>
        <v>90.280000000000015</v>
      </c>
      <c r="DU92" s="109">
        <f t="shared" si="45"/>
        <v>17.420000000000002</v>
      </c>
      <c r="DV92" s="110">
        <f t="shared" si="185"/>
        <v>587.4699999999998</v>
      </c>
      <c r="DX92" s="108">
        <f t="shared" si="46"/>
        <v>0</v>
      </c>
      <c r="DY92" s="109">
        <f t="shared" si="119"/>
        <v>0</v>
      </c>
      <c r="DZ92" s="109">
        <f t="shared" si="47"/>
        <v>0</v>
      </c>
      <c r="EA92" s="110">
        <f t="shared" si="120"/>
        <v>9.9999999996924771E-3</v>
      </c>
      <c r="EC92" s="108">
        <f t="shared" si="121"/>
        <v>107.70000000000002</v>
      </c>
      <c r="ED92" s="109">
        <f t="shared" si="122"/>
        <v>90.280000000000015</v>
      </c>
      <c r="EE92" s="109">
        <f t="shared" si="48"/>
        <v>17.420000000000002</v>
      </c>
      <c r="EF92" s="110">
        <f t="shared" si="186"/>
        <v>587.4699999999998</v>
      </c>
      <c r="EH92" s="108">
        <f t="shared" si="49"/>
        <v>0</v>
      </c>
      <c r="EI92" s="109">
        <f t="shared" si="123"/>
        <v>0</v>
      </c>
      <c r="EJ92" s="109">
        <f t="shared" si="50"/>
        <v>0</v>
      </c>
      <c r="EK92" s="110">
        <f t="shared" si="124"/>
        <v>9.9999999996924771E-3</v>
      </c>
      <c r="EM92" s="108">
        <f t="shared" si="125"/>
        <v>107.70000000000002</v>
      </c>
      <c r="EN92" s="109">
        <f t="shared" si="126"/>
        <v>90.280000000000015</v>
      </c>
      <c r="EO92" s="109">
        <f t="shared" si="51"/>
        <v>17.420000000000002</v>
      </c>
      <c r="EP92" s="110">
        <f t="shared" si="187"/>
        <v>587.4699999999998</v>
      </c>
      <c r="ER92" s="108">
        <f t="shared" si="52"/>
        <v>0</v>
      </c>
      <c r="ES92" s="109">
        <f t="shared" si="127"/>
        <v>0</v>
      </c>
      <c r="ET92" s="109">
        <f t="shared" si="53"/>
        <v>0</v>
      </c>
      <c r="EU92" s="110">
        <f t="shared" si="128"/>
        <v>9.9999999996924771E-3</v>
      </c>
      <c r="EW92" s="108">
        <f t="shared" si="129"/>
        <v>107.70000000000002</v>
      </c>
      <c r="EX92" s="109">
        <f t="shared" si="130"/>
        <v>90.280000000000015</v>
      </c>
      <c r="EY92" s="109">
        <f t="shared" si="54"/>
        <v>17.420000000000002</v>
      </c>
      <c r="EZ92" s="110">
        <f t="shared" si="188"/>
        <v>587.4699999999998</v>
      </c>
      <c r="FB92" s="108">
        <f t="shared" si="55"/>
        <v>0</v>
      </c>
      <c r="FC92" s="109">
        <f t="shared" si="131"/>
        <v>0</v>
      </c>
      <c r="FD92" s="109">
        <f t="shared" si="56"/>
        <v>0</v>
      </c>
      <c r="FE92" s="110">
        <f t="shared" si="132"/>
        <v>9.9999999996924771E-3</v>
      </c>
      <c r="FG92" s="108">
        <f t="shared" si="133"/>
        <v>107.70000000000002</v>
      </c>
      <c r="FH92" s="109">
        <f t="shared" si="134"/>
        <v>90.280000000000015</v>
      </c>
      <c r="FI92" s="109">
        <f t="shared" si="57"/>
        <v>17.420000000000002</v>
      </c>
      <c r="FJ92" s="110">
        <f t="shared" si="189"/>
        <v>587.4699999999998</v>
      </c>
      <c r="FL92" s="108">
        <f t="shared" si="58"/>
        <v>0</v>
      </c>
      <c r="FM92" s="109">
        <f t="shared" si="135"/>
        <v>0</v>
      </c>
      <c r="FN92" s="109">
        <f t="shared" si="59"/>
        <v>0</v>
      </c>
      <c r="FO92" s="110">
        <f t="shared" si="136"/>
        <v>9.9999999996924771E-3</v>
      </c>
      <c r="FQ92" s="108">
        <f t="shared" si="137"/>
        <v>107.70000000000002</v>
      </c>
      <c r="FR92" s="109">
        <f t="shared" si="138"/>
        <v>90.280000000000015</v>
      </c>
      <c r="FS92" s="109">
        <f t="shared" si="60"/>
        <v>17.420000000000002</v>
      </c>
      <c r="FT92" s="110">
        <f t="shared" si="190"/>
        <v>587.4699999999998</v>
      </c>
      <c r="FV92" s="108">
        <f t="shared" si="61"/>
        <v>0</v>
      </c>
      <c r="FW92" s="109">
        <f t="shared" si="139"/>
        <v>0</v>
      </c>
      <c r="FX92" s="109">
        <f t="shared" si="62"/>
        <v>0</v>
      </c>
      <c r="FY92" s="110">
        <f t="shared" si="140"/>
        <v>9.9999999996924771E-3</v>
      </c>
      <c r="GA92" s="108">
        <f t="shared" si="141"/>
        <v>107.70000000000002</v>
      </c>
      <c r="GB92" s="109">
        <f t="shared" si="142"/>
        <v>90.280000000000015</v>
      </c>
      <c r="GC92" s="109">
        <f t="shared" si="63"/>
        <v>17.420000000000002</v>
      </c>
      <c r="GD92" s="110">
        <f t="shared" si="191"/>
        <v>587.4699999999998</v>
      </c>
      <c r="GF92" s="108">
        <f t="shared" si="64"/>
        <v>0</v>
      </c>
      <c r="GG92" s="109">
        <f t="shared" si="143"/>
        <v>0</v>
      </c>
      <c r="GH92" s="109">
        <f t="shared" si="65"/>
        <v>0</v>
      </c>
      <c r="GI92" s="110">
        <f t="shared" si="144"/>
        <v>9.9999999996924771E-3</v>
      </c>
      <c r="GK92" s="108">
        <f t="shared" si="145"/>
        <v>107.70000000000002</v>
      </c>
      <c r="GL92" s="109">
        <f t="shared" si="146"/>
        <v>90.280000000000015</v>
      </c>
      <c r="GM92" s="109">
        <f t="shared" si="147"/>
        <v>17.420000000000002</v>
      </c>
      <c r="GN92" s="110">
        <f t="shared" si="192"/>
        <v>587.4699999999998</v>
      </c>
      <c r="GR92" s="108">
        <f t="shared" si="66"/>
        <v>960.17</v>
      </c>
      <c r="GS92" s="109">
        <f t="shared" si="67"/>
        <v>960.17</v>
      </c>
      <c r="GT92" s="109">
        <f t="shared" si="68"/>
        <v>0</v>
      </c>
      <c r="GU92" s="110">
        <f t="shared" si="69"/>
        <v>-1522.0400000000004</v>
      </c>
      <c r="GV92" s="51"/>
      <c r="GW92" s="108">
        <f t="shared" si="70"/>
        <v>0</v>
      </c>
      <c r="GX92" s="109">
        <f t="shared" si="148"/>
        <v>0</v>
      </c>
      <c r="GY92" s="109">
        <f t="shared" si="71"/>
        <v>0</v>
      </c>
      <c r="GZ92" s="110">
        <f t="shared" si="72"/>
        <v>0</v>
      </c>
      <c r="HA92" s="51"/>
      <c r="HB92" s="108">
        <f t="shared" si="149"/>
        <v>960.17</v>
      </c>
      <c r="HC92" s="109">
        <f t="shared" si="150"/>
        <v>960.17</v>
      </c>
      <c r="HD92" s="109">
        <f t="shared" si="73"/>
        <v>0</v>
      </c>
      <c r="HE92" s="110">
        <f t="shared" si="151"/>
        <v>-1522.0400000000004</v>
      </c>
      <c r="HF92" s="51"/>
      <c r="HG92" s="108">
        <f t="shared" si="74"/>
        <v>0</v>
      </c>
      <c r="HH92" s="109">
        <f t="shared" si="152"/>
        <v>0</v>
      </c>
      <c r="HI92" s="109">
        <f t="shared" si="75"/>
        <v>0</v>
      </c>
      <c r="HJ92" s="110">
        <f t="shared" si="193"/>
        <v>0</v>
      </c>
      <c r="HK92" s="51"/>
      <c r="HL92" s="108">
        <f t="shared" si="153"/>
        <v>960.17</v>
      </c>
      <c r="HM92" s="109">
        <f t="shared" si="154"/>
        <v>960.17</v>
      </c>
      <c r="HN92" s="109">
        <f t="shared" si="76"/>
        <v>0</v>
      </c>
      <c r="HO92" s="110">
        <f t="shared" si="155"/>
        <v>-1522.0400000000004</v>
      </c>
      <c r="HP92" s="51"/>
      <c r="HQ92" s="108">
        <f t="shared" si="77"/>
        <v>0</v>
      </c>
      <c r="HR92" s="109">
        <f t="shared" si="156"/>
        <v>0</v>
      </c>
      <c r="HS92" s="109">
        <f t="shared" si="78"/>
        <v>0</v>
      </c>
      <c r="HT92" s="110">
        <f t="shared" si="194"/>
        <v>0</v>
      </c>
      <c r="HU92" s="51"/>
      <c r="HV92" s="108">
        <f t="shared" si="157"/>
        <v>960.17</v>
      </c>
      <c r="HW92" s="109">
        <f t="shared" si="158"/>
        <v>960.17</v>
      </c>
      <c r="HX92" s="109">
        <f t="shared" si="79"/>
        <v>0</v>
      </c>
      <c r="HY92" s="110">
        <f t="shared" si="159"/>
        <v>-1522.0400000000004</v>
      </c>
      <c r="HZ92" s="51"/>
      <c r="IA92" s="108">
        <f t="shared" si="80"/>
        <v>0</v>
      </c>
      <c r="IB92" s="109">
        <f t="shared" si="160"/>
        <v>0</v>
      </c>
      <c r="IC92" s="109">
        <f t="shared" si="81"/>
        <v>0</v>
      </c>
      <c r="ID92" s="110">
        <f t="shared" si="195"/>
        <v>0</v>
      </c>
      <c r="IE92" s="51"/>
      <c r="IF92" s="108">
        <f t="shared" si="161"/>
        <v>960.17</v>
      </c>
      <c r="IG92" s="109">
        <f t="shared" si="162"/>
        <v>960.17</v>
      </c>
      <c r="IH92" s="109">
        <f t="shared" si="82"/>
        <v>0</v>
      </c>
      <c r="II92" s="110">
        <f t="shared" si="163"/>
        <v>-1522.0400000000004</v>
      </c>
      <c r="IJ92" s="51"/>
      <c r="IK92" s="108">
        <f t="shared" si="83"/>
        <v>0</v>
      </c>
      <c r="IL92" s="109">
        <f t="shared" si="164"/>
        <v>0</v>
      </c>
      <c r="IM92" s="109">
        <f t="shared" si="84"/>
        <v>0</v>
      </c>
      <c r="IN92" s="110">
        <f t="shared" si="196"/>
        <v>0</v>
      </c>
      <c r="IO92" s="51"/>
      <c r="IP92" s="108">
        <f t="shared" si="165"/>
        <v>960.17</v>
      </c>
      <c r="IQ92" s="109">
        <f t="shared" si="166"/>
        <v>960.17</v>
      </c>
      <c r="IR92" s="109">
        <f t="shared" si="85"/>
        <v>0</v>
      </c>
      <c r="IS92" s="110">
        <f t="shared" si="167"/>
        <v>-1522.0400000000004</v>
      </c>
      <c r="IT92" s="51"/>
      <c r="IU92" s="108">
        <f t="shared" si="86"/>
        <v>0</v>
      </c>
      <c r="IV92" s="109">
        <f t="shared" si="168"/>
        <v>0</v>
      </c>
      <c r="IW92" s="109">
        <f t="shared" si="87"/>
        <v>0</v>
      </c>
      <c r="IX92" s="110">
        <f t="shared" si="197"/>
        <v>0</v>
      </c>
      <c r="IY92" s="51"/>
      <c r="IZ92" s="108">
        <f t="shared" si="169"/>
        <v>960.17</v>
      </c>
      <c r="JA92" s="109">
        <f t="shared" si="170"/>
        <v>960.17</v>
      </c>
      <c r="JB92" s="109">
        <f t="shared" si="88"/>
        <v>0</v>
      </c>
      <c r="JC92" s="110">
        <f t="shared" si="171"/>
        <v>-1522.0400000000004</v>
      </c>
      <c r="JD92" s="51"/>
      <c r="JE92" s="108">
        <f t="shared" si="89"/>
        <v>0</v>
      </c>
      <c r="JF92" s="109">
        <f t="shared" si="172"/>
        <v>0</v>
      </c>
      <c r="JG92" s="109">
        <f t="shared" si="90"/>
        <v>0</v>
      </c>
      <c r="JH92" s="110">
        <f t="shared" si="198"/>
        <v>0</v>
      </c>
      <c r="JI92" s="51"/>
      <c r="JJ92" s="108">
        <f t="shared" si="173"/>
        <v>960.17</v>
      </c>
      <c r="JK92" s="109">
        <f t="shared" si="174"/>
        <v>960.17</v>
      </c>
      <c r="JL92" s="109">
        <f t="shared" si="91"/>
        <v>0</v>
      </c>
      <c r="JM92" s="110">
        <f t="shared" si="175"/>
        <v>-1522.0400000000004</v>
      </c>
      <c r="JN92" s="51"/>
      <c r="JO92" s="108">
        <f t="shared" si="92"/>
        <v>0</v>
      </c>
      <c r="JP92" s="109">
        <f t="shared" si="176"/>
        <v>0</v>
      </c>
      <c r="JQ92" s="109">
        <f t="shared" si="93"/>
        <v>0</v>
      </c>
      <c r="JR92" s="110">
        <f t="shared" si="199"/>
        <v>0</v>
      </c>
      <c r="JS92" s="51"/>
      <c r="JT92" s="108">
        <f t="shared" si="177"/>
        <v>960.17</v>
      </c>
      <c r="JU92" s="109">
        <f t="shared" si="178"/>
        <v>960.17</v>
      </c>
      <c r="JV92" s="109">
        <f t="shared" si="94"/>
        <v>0</v>
      </c>
      <c r="JW92" s="110">
        <f t="shared" si="179"/>
        <v>-1522.0400000000004</v>
      </c>
      <c r="JX92" s="51"/>
      <c r="JY92" s="108">
        <f t="shared" si="95"/>
        <v>0</v>
      </c>
      <c r="JZ92" s="109">
        <f t="shared" si="180"/>
        <v>0</v>
      </c>
      <c r="KA92" s="109">
        <f t="shared" si="96"/>
        <v>0</v>
      </c>
      <c r="KB92" s="110">
        <f t="shared" si="200"/>
        <v>0</v>
      </c>
      <c r="KC92" s="51"/>
      <c r="KD92" s="108">
        <f t="shared" si="181"/>
        <v>-561.87000000000057</v>
      </c>
      <c r="KE92" s="109">
        <f t="shared" si="182"/>
        <v>-561.87000000000057</v>
      </c>
      <c r="KF92" s="109">
        <f t="shared" si="97"/>
        <v>0</v>
      </c>
      <c r="KG92" s="110">
        <f t="shared" si="98"/>
        <v>0</v>
      </c>
    </row>
    <row r="93" spans="1:293" ht="12" customHeight="1">
      <c r="A93" s="105">
        <f t="array" ref="A93">MAX(IF($J$80:J92&gt;0,$C$80:C92,0))</f>
        <v>43535</v>
      </c>
      <c r="B93" s="81">
        <f t="shared" si="4"/>
        <v>13</v>
      </c>
      <c r="C93" s="82">
        <f t="shared" si="5"/>
        <v>43936</v>
      </c>
      <c r="D93" s="83">
        <f t="shared" si="6"/>
        <v>107.99000000000002</v>
      </c>
      <c r="E93" s="83">
        <f t="shared" si="99"/>
        <v>0.28999999999999998</v>
      </c>
      <c r="F93" s="83">
        <f t="shared" si="7"/>
        <v>91.52000000000001</v>
      </c>
      <c r="G93" s="83">
        <f t="shared" si="8"/>
        <v>16.18</v>
      </c>
      <c r="H93" s="83">
        <f t="shared" si="9"/>
        <v>495.94999999999982</v>
      </c>
      <c r="I93" s="105">
        <f t="array" ref="I93">MAX(IF($R$80:R92&gt;0,$L$80:L92,0))</f>
        <v>0</v>
      </c>
      <c r="J93" s="106"/>
      <c r="K93" s="69" t="str">
        <f t="shared" si="10"/>
        <v/>
      </c>
      <c r="L93" s="82">
        <f t="shared" si="183"/>
        <v>0</v>
      </c>
      <c r="M93" s="83" t="str">
        <f t="shared" si="11"/>
        <v/>
      </c>
      <c r="N93" s="83" t="str">
        <f t="shared" si="12"/>
        <v/>
      </c>
      <c r="O93" s="83" t="str">
        <f t="shared" si="13"/>
        <v/>
      </c>
      <c r="P93" s="83" t="str">
        <f t="shared" si="14"/>
        <v/>
      </c>
      <c r="Q93" s="83" t="str">
        <f t="shared" si="15"/>
        <v/>
      </c>
      <c r="R93" s="106"/>
      <c r="S93" s="66"/>
      <c r="U93" s="85" t="e">
        <f t="shared" si="0"/>
        <v>#NUM!</v>
      </c>
      <c r="V93" s="86" t="e">
        <f t="shared" si="100"/>
        <v>#NUM!</v>
      </c>
      <c r="W93" s="87" t="e">
        <f t="shared" si="16"/>
        <v>#NUM!</v>
      </c>
      <c r="X93" s="87" t="e">
        <f t="shared" si="17"/>
        <v>#NUM!</v>
      </c>
      <c r="Y93" s="87" t="e">
        <f t="shared" si="18"/>
        <v>#NUM!</v>
      </c>
      <c r="Z93" s="88" t="e">
        <f t="shared" si="1"/>
        <v>#NUM!</v>
      </c>
      <c r="AB93" s="89">
        <f t="shared" si="101"/>
        <v>107.99000000000002</v>
      </c>
      <c r="AC93" s="87">
        <f t="shared" si="19"/>
        <v>126.46</v>
      </c>
      <c r="AD93" s="87" t="str">
        <f t="shared" si="20"/>
        <v/>
      </c>
      <c r="AE93" s="87" t="str">
        <f t="shared" si="21"/>
        <v/>
      </c>
      <c r="AF93" s="86">
        <f t="shared" si="102"/>
        <v>43932</v>
      </c>
      <c r="AG93" s="87">
        <f t="shared" si="2"/>
        <v>1.5</v>
      </c>
      <c r="AH93" s="87">
        <f t="shared" si="103"/>
        <v>0.28999999999999998</v>
      </c>
      <c r="AI93" s="90"/>
      <c r="AJ93" s="87" t="e">
        <f t="shared" si="22"/>
        <v>#NUM!</v>
      </c>
      <c r="AK93" s="87" t="e">
        <f t="shared" si="104"/>
        <v>#NUM!</v>
      </c>
      <c r="AL93" s="87" t="e">
        <f t="shared" si="105"/>
        <v>#NUM!</v>
      </c>
      <c r="AM93" s="87" t="e">
        <f t="shared" si="106"/>
        <v>#NUM!</v>
      </c>
      <c r="AN93" s="86">
        <f t="shared" si="23"/>
        <v>0</v>
      </c>
      <c r="AO93" s="87">
        <f t="shared" si="24"/>
        <v>0</v>
      </c>
      <c r="AP93" s="88">
        <f t="shared" si="25"/>
        <v>0</v>
      </c>
      <c r="AR93" s="91">
        <f t="shared" si="26"/>
        <v>107.99000000000002</v>
      </c>
      <c r="AS93" s="92">
        <f t="shared" si="27"/>
        <v>126.46</v>
      </c>
      <c r="AT93" s="87" t="str">
        <f t="shared" si="28"/>
        <v/>
      </c>
      <c r="AU93" s="87" t="str">
        <f t="shared" si="29"/>
        <v/>
      </c>
      <c r="AV93" s="86">
        <f t="shared" si="107"/>
        <v>43932</v>
      </c>
      <c r="AW93" s="87">
        <f t="shared" si="108"/>
        <v>1.5</v>
      </c>
      <c r="AX93" s="87">
        <f t="shared" si="109"/>
        <v>0.28999999999999998</v>
      </c>
      <c r="AY93" s="93"/>
      <c r="AZ93" s="87">
        <f t="shared" si="201"/>
        <v>0</v>
      </c>
      <c r="BA93" s="87">
        <f t="shared" si="110"/>
        <v>0</v>
      </c>
      <c r="BB93" s="87">
        <f t="shared" si="111"/>
        <v>0</v>
      </c>
      <c r="BC93" s="87">
        <f t="shared" si="184"/>
        <v>0</v>
      </c>
      <c r="BD93" s="86" t="e">
        <f t="shared" si="30"/>
        <v>#NUM!</v>
      </c>
      <c r="BE93" s="87" t="e">
        <f t="shared" si="3"/>
        <v>#NUM!</v>
      </c>
      <c r="BF93" s="88">
        <f t="shared" si="112"/>
        <v>0</v>
      </c>
      <c r="BH93" s="87" t="e">
        <f t="shared" si="31"/>
        <v>#NUM!</v>
      </c>
      <c r="BK93" s="95">
        <v>39775</v>
      </c>
      <c r="BL93" s="96">
        <v>14</v>
      </c>
      <c r="BT93" s="51">
        <v>500</v>
      </c>
      <c r="BU93" s="51">
        <v>5000</v>
      </c>
      <c r="BV93" s="30">
        <v>0.22</v>
      </c>
      <c r="BY93" s="107"/>
      <c r="BZ93" s="107"/>
      <c r="CA93" s="107"/>
      <c r="CB93" s="107"/>
      <c r="CC93" s="107"/>
      <c r="CD93" s="107"/>
      <c r="CE93" s="107"/>
      <c r="CF93" s="107">
        <v>0.02</v>
      </c>
      <c r="CG93" s="107">
        <v>6.0000000000000001E-3</v>
      </c>
      <c r="CI93" s="99" t="s">
        <v>279</v>
      </c>
      <c r="CY93" s="108">
        <f t="shared" si="32"/>
        <v>107.15</v>
      </c>
      <c r="CZ93" s="109">
        <f t="shared" si="33"/>
        <v>90.76</v>
      </c>
      <c r="DA93" s="109">
        <f t="shared" si="34"/>
        <v>16.39</v>
      </c>
      <c r="DB93" s="110">
        <f t="shared" si="35"/>
        <v>504.43000000000006</v>
      </c>
      <c r="DD93" s="108">
        <f t="shared" si="36"/>
        <v>0.9</v>
      </c>
      <c r="DE93" s="109">
        <f t="shared" si="114"/>
        <v>0.76</v>
      </c>
      <c r="DF93" s="109">
        <f t="shared" si="37"/>
        <v>0.14000000000000001</v>
      </c>
      <c r="DG93" s="110">
        <f t="shared" si="38"/>
        <v>4.3100000000000627</v>
      </c>
      <c r="DI93" s="108">
        <f t="shared" si="115"/>
        <v>107.64000000000001</v>
      </c>
      <c r="DJ93" s="109">
        <f t="shared" si="116"/>
        <v>91.440000000000012</v>
      </c>
      <c r="DK93" s="109">
        <f t="shared" si="39"/>
        <v>16.2</v>
      </c>
      <c r="DL93" s="110">
        <f t="shared" si="40"/>
        <v>496.88000000000005</v>
      </c>
      <c r="DN93" s="108">
        <f t="shared" si="41"/>
        <v>0.1</v>
      </c>
      <c r="DO93" s="109">
        <f t="shared" si="42"/>
        <v>9.0000000000000011E-2</v>
      </c>
      <c r="DP93" s="109">
        <f t="shared" si="43"/>
        <v>0.01</v>
      </c>
      <c r="DQ93" s="110">
        <f t="shared" si="44"/>
        <v>0.45000000000004287</v>
      </c>
      <c r="DS93" s="108">
        <f t="shared" si="117"/>
        <v>107.70000000000002</v>
      </c>
      <c r="DT93" s="109">
        <f t="shared" si="118"/>
        <v>91.52000000000001</v>
      </c>
      <c r="DU93" s="109">
        <f t="shared" si="45"/>
        <v>16.18</v>
      </c>
      <c r="DV93" s="110">
        <f t="shared" si="185"/>
        <v>495.94999999999982</v>
      </c>
      <c r="DX93" s="108">
        <f t="shared" si="46"/>
        <v>0</v>
      </c>
      <c r="DY93" s="109">
        <f t="shared" si="119"/>
        <v>0</v>
      </c>
      <c r="DZ93" s="109">
        <f t="shared" si="47"/>
        <v>0</v>
      </c>
      <c r="EA93" s="110">
        <f t="shared" si="120"/>
        <v>9.9999999996924771E-3</v>
      </c>
      <c r="EC93" s="108">
        <f t="shared" si="121"/>
        <v>107.70000000000002</v>
      </c>
      <c r="ED93" s="109">
        <f t="shared" si="122"/>
        <v>91.52000000000001</v>
      </c>
      <c r="EE93" s="109">
        <f t="shared" si="48"/>
        <v>16.18</v>
      </c>
      <c r="EF93" s="110">
        <f t="shared" si="186"/>
        <v>495.94999999999982</v>
      </c>
      <c r="EH93" s="108">
        <f t="shared" si="49"/>
        <v>0</v>
      </c>
      <c r="EI93" s="109">
        <f t="shared" si="123"/>
        <v>0</v>
      </c>
      <c r="EJ93" s="109">
        <f t="shared" si="50"/>
        <v>0</v>
      </c>
      <c r="EK93" s="110">
        <f t="shared" si="124"/>
        <v>9.9999999996924771E-3</v>
      </c>
      <c r="EM93" s="108">
        <f t="shared" si="125"/>
        <v>107.70000000000002</v>
      </c>
      <c r="EN93" s="109">
        <f t="shared" si="126"/>
        <v>91.52000000000001</v>
      </c>
      <c r="EO93" s="109">
        <f t="shared" si="51"/>
        <v>16.18</v>
      </c>
      <c r="EP93" s="110">
        <f t="shared" si="187"/>
        <v>495.94999999999982</v>
      </c>
      <c r="ER93" s="108">
        <f t="shared" si="52"/>
        <v>0</v>
      </c>
      <c r="ES93" s="109">
        <f t="shared" si="127"/>
        <v>0</v>
      </c>
      <c r="ET93" s="109">
        <f t="shared" si="53"/>
        <v>0</v>
      </c>
      <c r="EU93" s="110">
        <f t="shared" si="128"/>
        <v>9.9999999996924771E-3</v>
      </c>
      <c r="EW93" s="108">
        <f t="shared" si="129"/>
        <v>107.70000000000002</v>
      </c>
      <c r="EX93" s="109">
        <f t="shared" si="130"/>
        <v>91.52000000000001</v>
      </c>
      <c r="EY93" s="109">
        <f t="shared" si="54"/>
        <v>16.18</v>
      </c>
      <c r="EZ93" s="110">
        <f t="shared" si="188"/>
        <v>495.94999999999982</v>
      </c>
      <c r="FB93" s="108">
        <f t="shared" si="55"/>
        <v>0</v>
      </c>
      <c r="FC93" s="109">
        <f t="shared" si="131"/>
        <v>0</v>
      </c>
      <c r="FD93" s="109">
        <f t="shared" si="56"/>
        <v>0</v>
      </c>
      <c r="FE93" s="110">
        <f t="shared" si="132"/>
        <v>9.9999999996924771E-3</v>
      </c>
      <c r="FG93" s="108">
        <f t="shared" si="133"/>
        <v>107.70000000000002</v>
      </c>
      <c r="FH93" s="109">
        <f t="shared" si="134"/>
        <v>91.52000000000001</v>
      </c>
      <c r="FI93" s="109">
        <f t="shared" si="57"/>
        <v>16.18</v>
      </c>
      <c r="FJ93" s="110">
        <f t="shared" si="189"/>
        <v>495.94999999999982</v>
      </c>
      <c r="FL93" s="108">
        <f t="shared" si="58"/>
        <v>0</v>
      </c>
      <c r="FM93" s="109">
        <f t="shared" si="135"/>
        <v>0</v>
      </c>
      <c r="FN93" s="109">
        <f t="shared" si="59"/>
        <v>0</v>
      </c>
      <c r="FO93" s="110">
        <f t="shared" si="136"/>
        <v>9.9999999996924771E-3</v>
      </c>
      <c r="FQ93" s="108">
        <f t="shared" si="137"/>
        <v>107.70000000000002</v>
      </c>
      <c r="FR93" s="109">
        <f t="shared" si="138"/>
        <v>91.52000000000001</v>
      </c>
      <c r="FS93" s="109">
        <f t="shared" si="60"/>
        <v>16.18</v>
      </c>
      <c r="FT93" s="110">
        <f t="shared" si="190"/>
        <v>495.94999999999982</v>
      </c>
      <c r="FV93" s="108">
        <f t="shared" si="61"/>
        <v>0</v>
      </c>
      <c r="FW93" s="109">
        <f t="shared" si="139"/>
        <v>0</v>
      </c>
      <c r="FX93" s="109">
        <f t="shared" si="62"/>
        <v>0</v>
      </c>
      <c r="FY93" s="110">
        <f t="shared" si="140"/>
        <v>9.9999999996924771E-3</v>
      </c>
      <c r="GA93" s="108">
        <f t="shared" si="141"/>
        <v>107.70000000000002</v>
      </c>
      <c r="GB93" s="109">
        <f t="shared" si="142"/>
        <v>91.52000000000001</v>
      </c>
      <c r="GC93" s="109">
        <f t="shared" si="63"/>
        <v>16.18</v>
      </c>
      <c r="GD93" s="110">
        <f t="shared" si="191"/>
        <v>495.94999999999982</v>
      </c>
      <c r="GF93" s="108">
        <f t="shared" si="64"/>
        <v>0</v>
      </c>
      <c r="GG93" s="109">
        <f t="shared" si="143"/>
        <v>0</v>
      </c>
      <c r="GH93" s="109">
        <f t="shared" si="65"/>
        <v>0</v>
      </c>
      <c r="GI93" s="110">
        <f t="shared" si="144"/>
        <v>9.9999999996924771E-3</v>
      </c>
      <c r="GK93" s="108">
        <f t="shared" si="145"/>
        <v>107.70000000000002</v>
      </c>
      <c r="GL93" s="109">
        <f t="shared" si="146"/>
        <v>91.52000000000001</v>
      </c>
      <c r="GM93" s="109">
        <f t="shared" si="147"/>
        <v>16.18</v>
      </c>
      <c r="GN93" s="110">
        <f t="shared" si="192"/>
        <v>495.94999999999982</v>
      </c>
      <c r="GR93" s="108" t="str">
        <f t="shared" si="66"/>
        <v/>
      </c>
      <c r="GS93" s="109" t="str">
        <f t="shared" si="67"/>
        <v/>
      </c>
      <c r="GT93" s="109" t="str">
        <f t="shared" si="68"/>
        <v/>
      </c>
      <c r="GU93" s="110" t="str">
        <f t="shared" si="69"/>
        <v/>
      </c>
      <c r="GV93" s="51"/>
      <c r="GW93" s="108" t="str">
        <f t="shared" si="70"/>
        <v/>
      </c>
      <c r="GX93" s="109" t="str">
        <f t="shared" si="148"/>
        <v/>
      </c>
      <c r="GY93" s="109" t="str">
        <f t="shared" si="71"/>
        <v/>
      </c>
      <c r="GZ93" s="110" t="str">
        <f t="shared" si="72"/>
        <v/>
      </c>
      <c r="HA93" s="51"/>
      <c r="HB93" s="108" t="str">
        <f t="shared" si="149"/>
        <v/>
      </c>
      <c r="HC93" s="109" t="str">
        <f t="shared" si="150"/>
        <v/>
      </c>
      <c r="HD93" s="109" t="str">
        <f t="shared" si="73"/>
        <v/>
      </c>
      <c r="HE93" s="110" t="str">
        <f t="shared" si="151"/>
        <v/>
      </c>
      <c r="HF93" s="51"/>
      <c r="HG93" s="108" t="str">
        <f t="shared" si="74"/>
        <v/>
      </c>
      <c r="HH93" s="109" t="str">
        <f t="shared" si="152"/>
        <v/>
      </c>
      <c r="HI93" s="109" t="str">
        <f t="shared" si="75"/>
        <v/>
      </c>
      <c r="HJ93" s="110" t="str">
        <f t="shared" si="193"/>
        <v/>
      </c>
      <c r="HK93" s="51"/>
      <c r="HL93" s="108" t="str">
        <f t="shared" si="153"/>
        <v/>
      </c>
      <c r="HM93" s="109" t="str">
        <f t="shared" si="154"/>
        <v/>
      </c>
      <c r="HN93" s="109" t="str">
        <f t="shared" si="76"/>
        <v/>
      </c>
      <c r="HO93" s="110" t="str">
        <f t="shared" si="155"/>
        <v/>
      </c>
      <c r="HP93" s="51"/>
      <c r="HQ93" s="108" t="str">
        <f t="shared" si="77"/>
        <v/>
      </c>
      <c r="HR93" s="109" t="str">
        <f t="shared" si="156"/>
        <v/>
      </c>
      <c r="HS93" s="109" t="str">
        <f t="shared" si="78"/>
        <v/>
      </c>
      <c r="HT93" s="110" t="str">
        <f t="shared" si="194"/>
        <v/>
      </c>
      <c r="HU93" s="51"/>
      <c r="HV93" s="108" t="str">
        <f t="shared" si="157"/>
        <v/>
      </c>
      <c r="HW93" s="109" t="str">
        <f t="shared" si="158"/>
        <v/>
      </c>
      <c r="HX93" s="109" t="str">
        <f t="shared" si="79"/>
        <v/>
      </c>
      <c r="HY93" s="110" t="str">
        <f t="shared" si="159"/>
        <v/>
      </c>
      <c r="HZ93" s="51"/>
      <c r="IA93" s="108" t="str">
        <f t="shared" si="80"/>
        <v/>
      </c>
      <c r="IB93" s="109" t="str">
        <f t="shared" si="160"/>
        <v/>
      </c>
      <c r="IC93" s="109" t="str">
        <f t="shared" si="81"/>
        <v/>
      </c>
      <c r="ID93" s="110" t="str">
        <f t="shared" si="195"/>
        <v/>
      </c>
      <c r="IE93" s="51"/>
      <c r="IF93" s="108" t="str">
        <f t="shared" si="161"/>
        <v/>
      </c>
      <c r="IG93" s="109" t="str">
        <f t="shared" si="162"/>
        <v/>
      </c>
      <c r="IH93" s="109" t="str">
        <f t="shared" si="82"/>
        <v/>
      </c>
      <c r="II93" s="110" t="str">
        <f t="shared" si="163"/>
        <v/>
      </c>
      <c r="IJ93" s="51"/>
      <c r="IK93" s="108" t="str">
        <f t="shared" si="83"/>
        <v/>
      </c>
      <c r="IL93" s="109" t="str">
        <f t="shared" si="164"/>
        <v/>
      </c>
      <c r="IM93" s="109" t="str">
        <f t="shared" si="84"/>
        <v/>
      </c>
      <c r="IN93" s="110" t="str">
        <f t="shared" si="196"/>
        <v/>
      </c>
      <c r="IO93" s="51"/>
      <c r="IP93" s="108" t="str">
        <f t="shared" si="165"/>
        <v/>
      </c>
      <c r="IQ93" s="109" t="str">
        <f t="shared" si="166"/>
        <v/>
      </c>
      <c r="IR93" s="109" t="str">
        <f t="shared" si="85"/>
        <v/>
      </c>
      <c r="IS93" s="110" t="str">
        <f t="shared" si="167"/>
        <v/>
      </c>
      <c r="IT93" s="51"/>
      <c r="IU93" s="108" t="str">
        <f t="shared" si="86"/>
        <v/>
      </c>
      <c r="IV93" s="109" t="str">
        <f t="shared" si="168"/>
        <v/>
      </c>
      <c r="IW93" s="109" t="str">
        <f t="shared" si="87"/>
        <v/>
      </c>
      <c r="IX93" s="110" t="str">
        <f t="shared" si="197"/>
        <v/>
      </c>
      <c r="IY93" s="51"/>
      <c r="IZ93" s="108" t="str">
        <f t="shared" si="169"/>
        <v/>
      </c>
      <c r="JA93" s="109" t="str">
        <f t="shared" si="170"/>
        <v/>
      </c>
      <c r="JB93" s="109" t="str">
        <f t="shared" si="88"/>
        <v/>
      </c>
      <c r="JC93" s="110" t="str">
        <f t="shared" si="171"/>
        <v/>
      </c>
      <c r="JD93" s="51"/>
      <c r="JE93" s="108" t="str">
        <f t="shared" si="89"/>
        <v/>
      </c>
      <c r="JF93" s="109" t="str">
        <f t="shared" si="172"/>
        <v/>
      </c>
      <c r="JG93" s="109" t="str">
        <f t="shared" si="90"/>
        <v/>
      </c>
      <c r="JH93" s="110" t="str">
        <f t="shared" si="198"/>
        <v/>
      </c>
      <c r="JI93" s="51"/>
      <c r="JJ93" s="108" t="str">
        <f t="shared" si="173"/>
        <v/>
      </c>
      <c r="JK93" s="109" t="str">
        <f t="shared" si="174"/>
        <v/>
      </c>
      <c r="JL93" s="109" t="str">
        <f t="shared" si="91"/>
        <v/>
      </c>
      <c r="JM93" s="110" t="str">
        <f t="shared" si="175"/>
        <v/>
      </c>
      <c r="JN93" s="51"/>
      <c r="JO93" s="108" t="str">
        <f t="shared" si="92"/>
        <v/>
      </c>
      <c r="JP93" s="109" t="str">
        <f t="shared" si="176"/>
        <v/>
      </c>
      <c r="JQ93" s="109" t="str">
        <f t="shared" si="93"/>
        <v/>
      </c>
      <c r="JR93" s="110" t="str">
        <f t="shared" si="199"/>
        <v/>
      </c>
      <c r="JS93" s="51"/>
      <c r="JT93" s="108" t="str">
        <f t="shared" si="177"/>
        <v/>
      </c>
      <c r="JU93" s="109" t="str">
        <f t="shared" si="178"/>
        <v/>
      </c>
      <c r="JV93" s="109" t="str">
        <f t="shared" si="94"/>
        <v/>
      </c>
      <c r="JW93" s="110" t="str">
        <f t="shared" si="179"/>
        <v/>
      </c>
      <c r="JX93" s="51"/>
      <c r="JY93" s="108" t="str">
        <f t="shared" si="95"/>
        <v/>
      </c>
      <c r="JZ93" s="109" t="str">
        <f t="shared" si="180"/>
        <v/>
      </c>
      <c r="KA93" s="109" t="str">
        <f t="shared" si="96"/>
        <v/>
      </c>
      <c r="KB93" s="110" t="str">
        <f t="shared" si="200"/>
        <v/>
      </c>
      <c r="KC93" s="51"/>
      <c r="KD93" s="108" t="str">
        <f t="shared" si="181"/>
        <v/>
      </c>
      <c r="KE93" s="109" t="str">
        <f t="shared" si="182"/>
        <v/>
      </c>
      <c r="KF93" s="109" t="str">
        <f t="shared" si="97"/>
        <v/>
      </c>
      <c r="KG93" s="110" t="str">
        <f t="shared" si="98"/>
        <v/>
      </c>
    </row>
    <row r="94" spans="1:293" ht="12" customHeight="1">
      <c r="A94" s="105">
        <f t="array" ref="A94">MAX(IF($J$80:J93&gt;0,$C$80:C93,0))</f>
        <v>43535</v>
      </c>
      <c r="B94" s="81">
        <f t="shared" si="4"/>
        <v>14</v>
      </c>
      <c r="C94" s="82">
        <f t="shared" si="5"/>
        <v>43966</v>
      </c>
      <c r="D94" s="83">
        <f t="shared" si="6"/>
        <v>107.94000000000001</v>
      </c>
      <c r="E94" s="83">
        <f t="shared" si="99"/>
        <v>0.24</v>
      </c>
      <c r="F94" s="83">
        <f t="shared" si="7"/>
        <v>94.04000000000002</v>
      </c>
      <c r="G94" s="83">
        <f t="shared" si="8"/>
        <v>13.66</v>
      </c>
      <c r="H94" s="83">
        <f t="shared" si="9"/>
        <v>401.9099999999998</v>
      </c>
      <c r="I94" s="105">
        <f t="array" ref="I94">MAX(IF($R$80:R93&gt;0,$L$80:L93,0))</f>
        <v>0</v>
      </c>
      <c r="J94" s="106"/>
      <c r="K94" s="69" t="str">
        <f t="shared" si="10"/>
        <v/>
      </c>
      <c r="L94" s="82">
        <f t="shared" si="183"/>
        <v>0</v>
      </c>
      <c r="M94" s="83" t="str">
        <f t="shared" si="11"/>
        <v/>
      </c>
      <c r="N94" s="83" t="str">
        <f t="shared" si="12"/>
        <v/>
      </c>
      <c r="O94" s="83" t="str">
        <f t="shared" si="13"/>
        <v/>
      </c>
      <c r="P94" s="83" t="str">
        <f t="shared" si="14"/>
        <v/>
      </c>
      <c r="Q94" s="83" t="str">
        <f t="shared" si="15"/>
        <v/>
      </c>
      <c r="R94" s="106"/>
      <c r="S94" s="66"/>
      <c r="U94" s="85" t="e">
        <f t="shared" si="0"/>
        <v>#NUM!</v>
      </c>
      <c r="V94" s="86" t="e">
        <f t="shared" si="100"/>
        <v>#NUM!</v>
      </c>
      <c r="W94" s="87" t="e">
        <f t="shared" si="16"/>
        <v>#NUM!</v>
      </c>
      <c r="X94" s="87" t="e">
        <f t="shared" si="17"/>
        <v>#NUM!</v>
      </c>
      <c r="Y94" s="87" t="e">
        <f t="shared" si="18"/>
        <v>#NUM!</v>
      </c>
      <c r="Z94" s="88" t="e">
        <f t="shared" si="1"/>
        <v>#NUM!</v>
      </c>
      <c r="AB94" s="89">
        <f t="shared" si="101"/>
        <v>107.94000000000001</v>
      </c>
      <c r="AC94" s="87">
        <f t="shared" si="19"/>
        <v>127.78</v>
      </c>
      <c r="AD94" s="87" t="str">
        <f t="shared" si="20"/>
        <v/>
      </c>
      <c r="AE94" s="87" t="str">
        <f t="shared" si="21"/>
        <v/>
      </c>
      <c r="AF94" s="86">
        <f t="shared" si="102"/>
        <v>43962</v>
      </c>
      <c r="AG94" s="87">
        <f t="shared" si="2"/>
        <v>1.5</v>
      </c>
      <c r="AH94" s="87">
        <f t="shared" si="103"/>
        <v>0.24</v>
      </c>
      <c r="AI94" s="113"/>
      <c r="AJ94" s="87" t="e">
        <f t="shared" si="22"/>
        <v>#NUM!</v>
      </c>
      <c r="AK94" s="87" t="e">
        <f t="shared" si="104"/>
        <v>#NUM!</v>
      </c>
      <c r="AL94" s="87" t="e">
        <f t="shared" si="105"/>
        <v>#NUM!</v>
      </c>
      <c r="AM94" s="87" t="e">
        <f t="shared" si="106"/>
        <v>#NUM!</v>
      </c>
      <c r="AN94" s="86">
        <f t="shared" si="23"/>
        <v>0</v>
      </c>
      <c r="AO94" s="87">
        <f t="shared" si="24"/>
        <v>0</v>
      </c>
      <c r="AP94" s="88">
        <f t="shared" si="25"/>
        <v>0</v>
      </c>
      <c r="AR94" s="91">
        <f t="shared" si="26"/>
        <v>107.94000000000001</v>
      </c>
      <c r="AS94" s="92">
        <f t="shared" si="27"/>
        <v>127.78</v>
      </c>
      <c r="AT94" s="87" t="str">
        <f t="shared" si="28"/>
        <v/>
      </c>
      <c r="AU94" s="87" t="str">
        <f t="shared" si="29"/>
        <v/>
      </c>
      <c r="AV94" s="86">
        <f t="shared" si="107"/>
        <v>43962</v>
      </c>
      <c r="AW94" s="87">
        <f t="shared" si="108"/>
        <v>1.5</v>
      </c>
      <c r="AX94" s="87">
        <f t="shared" si="109"/>
        <v>0.24</v>
      </c>
      <c r="AY94" s="93"/>
      <c r="AZ94" s="87">
        <f t="shared" si="201"/>
        <v>0</v>
      </c>
      <c r="BA94" s="87">
        <f t="shared" si="110"/>
        <v>0</v>
      </c>
      <c r="BB94" s="87">
        <f t="shared" si="111"/>
        <v>0</v>
      </c>
      <c r="BC94" s="87">
        <f t="shared" si="184"/>
        <v>0</v>
      </c>
      <c r="BD94" s="86" t="e">
        <f t="shared" si="30"/>
        <v>#NUM!</v>
      </c>
      <c r="BE94" s="87" t="e">
        <f t="shared" si="3"/>
        <v>#NUM!</v>
      </c>
      <c r="BF94" s="88">
        <f t="shared" si="112"/>
        <v>0</v>
      </c>
      <c r="BH94" s="87" t="e">
        <f t="shared" si="31"/>
        <v>#NUM!</v>
      </c>
      <c r="BK94" s="95">
        <v>39814</v>
      </c>
      <c r="BL94" s="96">
        <v>15</v>
      </c>
      <c r="BT94" s="51">
        <v>5000.01</v>
      </c>
      <c r="BU94" s="51">
        <v>10000</v>
      </c>
      <c r="BV94" s="30">
        <v>0.19</v>
      </c>
      <c r="BY94" s="107"/>
      <c r="BZ94" s="107"/>
      <c r="CA94" s="107"/>
      <c r="CB94" s="107"/>
      <c r="CC94" s="107"/>
      <c r="CD94" s="107"/>
      <c r="CE94" s="107"/>
      <c r="CF94" s="107">
        <v>1.4999999999999999E-2</v>
      </c>
      <c r="CG94" s="107">
        <v>6.0000000000000001E-3</v>
      </c>
      <c r="CI94" s="100" t="s">
        <v>263</v>
      </c>
      <c r="CJ94">
        <v>100</v>
      </c>
      <c r="CK94">
        <v>3000</v>
      </c>
      <c r="CL94" s="41">
        <v>0.42</v>
      </c>
      <c r="CY94" s="108">
        <f t="shared" si="32"/>
        <v>107.15</v>
      </c>
      <c r="CZ94" s="109">
        <f t="shared" si="33"/>
        <v>93.26</v>
      </c>
      <c r="DA94" s="109">
        <f t="shared" si="34"/>
        <v>13.89</v>
      </c>
      <c r="DB94" s="110">
        <f t="shared" si="35"/>
        <v>411.17000000000007</v>
      </c>
      <c r="DD94" s="108">
        <f t="shared" si="36"/>
        <v>0.9</v>
      </c>
      <c r="DE94" s="109">
        <f t="shared" si="114"/>
        <v>0.78</v>
      </c>
      <c r="DF94" s="109">
        <f t="shared" si="37"/>
        <v>0.12</v>
      </c>
      <c r="DG94" s="110">
        <f t="shared" si="38"/>
        <v>3.5300000000000624</v>
      </c>
      <c r="DI94" s="108">
        <f t="shared" si="115"/>
        <v>107.64000000000001</v>
      </c>
      <c r="DJ94" s="109">
        <f t="shared" si="116"/>
        <v>93.960000000000008</v>
      </c>
      <c r="DK94" s="109">
        <f t="shared" si="39"/>
        <v>13.68</v>
      </c>
      <c r="DL94" s="110">
        <f t="shared" si="40"/>
        <v>402.92000000000007</v>
      </c>
      <c r="DN94" s="108">
        <f t="shared" si="41"/>
        <v>0.1</v>
      </c>
      <c r="DO94" s="109">
        <f t="shared" si="42"/>
        <v>9.0000000000000011E-2</v>
      </c>
      <c r="DP94" s="109">
        <f t="shared" si="43"/>
        <v>0.01</v>
      </c>
      <c r="DQ94" s="110">
        <f t="shared" si="44"/>
        <v>0.36000000000004284</v>
      </c>
      <c r="DS94" s="108">
        <f t="shared" si="117"/>
        <v>107.70000000000002</v>
      </c>
      <c r="DT94" s="109">
        <f t="shared" si="118"/>
        <v>94.04000000000002</v>
      </c>
      <c r="DU94" s="109">
        <f t="shared" si="45"/>
        <v>13.66</v>
      </c>
      <c r="DV94" s="110">
        <f t="shared" si="185"/>
        <v>401.9099999999998</v>
      </c>
      <c r="DX94" s="108">
        <f t="shared" si="46"/>
        <v>0</v>
      </c>
      <c r="DY94" s="109">
        <f t="shared" si="119"/>
        <v>0</v>
      </c>
      <c r="DZ94" s="109">
        <f t="shared" si="47"/>
        <v>0</v>
      </c>
      <c r="EA94" s="110">
        <f t="shared" si="120"/>
        <v>9.9999999996924771E-3</v>
      </c>
      <c r="EC94" s="108">
        <f t="shared" si="121"/>
        <v>107.70000000000002</v>
      </c>
      <c r="ED94" s="109">
        <f t="shared" si="122"/>
        <v>94.04000000000002</v>
      </c>
      <c r="EE94" s="109">
        <f t="shared" si="48"/>
        <v>13.66</v>
      </c>
      <c r="EF94" s="110">
        <f t="shared" si="186"/>
        <v>401.9099999999998</v>
      </c>
      <c r="EH94" s="108">
        <f t="shared" si="49"/>
        <v>0</v>
      </c>
      <c r="EI94" s="109">
        <f t="shared" si="123"/>
        <v>0</v>
      </c>
      <c r="EJ94" s="109">
        <f t="shared" si="50"/>
        <v>0</v>
      </c>
      <c r="EK94" s="110">
        <f t="shared" si="124"/>
        <v>9.9999999996924771E-3</v>
      </c>
      <c r="EM94" s="108">
        <f t="shared" si="125"/>
        <v>107.70000000000002</v>
      </c>
      <c r="EN94" s="109">
        <f t="shared" si="126"/>
        <v>94.04000000000002</v>
      </c>
      <c r="EO94" s="109">
        <f t="shared" si="51"/>
        <v>13.66</v>
      </c>
      <c r="EP94" s="110">
        <f t="shared" si="187"/>
        <v>401.9099999999998</v>
      </c>
      <c r="ER94" s="108">
        <f t="shared" si="52"/>
        <v>0</v>
      </c>
      <c r="ES94" s="109">
        <f t="shared" si="127"/>
        <v>0</v>
      </c>
      <c r="ET94" s="109">
        <f t="shared" si="53"/>
        <v>0</v>
      </c>
      <c r="EU94" s="110">
        <f t="shared" si="128"/>
        <v>9.9999999996924771E-3</v>
      </c>
      <c r="EW94" s="108">
        <f t="shared" si="129"/>
        <v>107.70000000000002</v>
      </c>
      <c r="EX94" s="109">
        <f t="shared" si="130"/>
        <v>94.04000000000002</v>
      </c>
      <c r="EY94" s="109">
        <f t="shared" si="54"/>
        <v>13.66</v>
      </c>
      <c r="EZ94" s="110">
        <f t="shared" si="188"/>
        <v>401.9099999999998</v>
      </c>
      <c r="FB94" s="108">
        <f t="shared" si="55"/>
        <v>0</v>
      </c>
      <c r="FC94" s="109">
        <f t="shared" si="131"/>
        <v>0</v>
      </c>
      <c r="FD94" s="109">
        <f t="shared" si="56"/>
        <v>0</v>
      </c>
      <c r="FE94" s="110">
        <f t="shared" si="132"/>
        <v>9.9999999996924771E-3</v>
      </c>
      <c r="FG94" s="108">
        <f t="shared" si="133"/>
        <v>107.70000000000002</v>
      </c>
      <c r="FH94" s="109">
        <f t="shared" si="134"/>
        <v>94.04000000000002</v>
      </c>
      <c r="FI94" s="109">
        <f t="shared" si="57"/>
        <v>13.66</v>
      </c>
      <c r="FJ94" s="110">
        <f t="shared" si="189"/>
        <v>401.9099999999998</v>
      </c>
      <c r="FL94" s="108">
        <f t="shared" si="58"/>
        <v>0</v>
      </c>
      <c r="FM94" s="109">
        <f t="shared" si="135"/>
        <v>0</v>
      </c>
      <c r="FN94" s="109">
        <f t="shared" si="59"/>
        <v>0</v>
      </c>
      <c r="FO94" s="110">
        <f t="shared" si="136"/>
        <v>9.9999999996924771E-3</v>
      </c>
      <c r="FQ94" s="108">
        <f t="shared" si="137"/>
        <v>107.70000000000002</v>
      </c>
      <c r="FR94" s="109">
        <f t="shared" si="138"/>
        <v>94.04000000000002</v>
      </c>
      <c r="FS94" s="109">
        <f t="shared" si="60"/>
        <v>13.66</v>
      </c>
      <c r="FT94" s="110">
        <f t="shared" si="190"/>
        <v>401.9099999999998</v>
      </c>
      <c r="FV94" s="108">
        <f t="shared" si="61"/>
        <v>0</v>
      </c>
      <c r="FW94" s="109">
        <f t="shared" si="139"/>
        <v>0</v>
      </c>
      <c r="FX94" s="109">
        <f t="shared" si="62"/>
        <v>0</v>
      </c>
      <c r="FY94" s="110">
        <f t="shared" si="140"/>
        <v>9.9999999996924771E-3</v>
      </c>
      <c r="GA94" s="108">
        <f t="shared" si="141"/>
        <v>107.70000000000002</v>
      </c>
      <c r="GB94" s="109">
        <f t="shared" si="142"/>
        <v>94.04000000000002</v>
      </c>
      <c r="GC94" s="109">
        <f t="shared" si="63"/>
        <v>13.66</v>
      </c>
      <c r="GD94" s="110">
        <f t="shared" si="191"/>
        <v>401.9099999999998</v>
      </c>
      <c r="GF94" s="108">
        <f t="shared" si="64"/>
        <v>0</v>
      </c>
      <c r="GG94" s="109">
        <f t="shared" si="143"/>
        <v>0</v>
      </c>
      <c r="GH94" s="109">
        <f t="shared" si="65"/>
        <v>0</v>
      </c>
      <c r="GI94" s="110">
        <f t="shared" si="144"/>
        <v>9.9999999996924771E-3</v>
      </c>
      <c r="GK94" s="108">
        <f t="shared" si="145"/>
        <v>107.70000000000002</v>
      </c>
      <c r="GL94" s="109">
        <f t="shared" si="146"/>
        <v>94.04000000000002</v>
      </c>
      <c r="GM94" s="109">
        <f t="shared" si="147"/>
        <v>13.66</v>
      </c>
      <c r="GN94" s="110">
        <f t="shared" si="192"/>
        <v>401.9099999999998</v>
      </c>
      <c r="GR94" s="108" t="str">
        <f t="shared" si="66"/>
        <v/>
      </c>
      <c r="GS94" s="109" t="str">
        <f t="shared" si="67"/>
        <v/>
      </c>
      <c r="GT94" s="109" t="str">
        <f t="shared" si="68"/>
        <v/>
      </c>
      <c r="GU94" s="110" t="str">
        <f t="shared" si="69"/>
        <v/>
      </c>
      <c r="GV94" s="51"/>
      <c r="GW94" s="108" t="str">
        <f t="shared" si="70"/>
        <v/>
      </c>
      <c r="GX94" s="109" t="str">
        <f t="shared" si="148"/>
        <v/>
      </c>
      <c r="GY94" s="109" t="str">
        <f t="shared" si="71"/>
        <v/>
      </c>
      <c r="GZ94" s="110" t="str">
        <f t="shared" si="72"/>
        <v/>
      </c>
      <c r="HA94" s="51"/>
      <c r="HB94" s="108" t="str">
        <f t="shared" si="149"/>
        <v/>
      </c>
      <c r="HC94" s="109" t="str">
        <f t="shared" si="150"/>
        <v/>
      </c>
      <c r="HD94" s="109" t="str">
        <f t="shared" si="73"/>
        <v/>
      </c>
      <c r="HE94" s="110" t="str">
        <f t="shared" si="151"/>
        <v/>
      </c>
      <c r="HF94" s="51"/>
      <c r="HG94" s="108" t="str">
        <f t="shared" si="74"/>
        <v/>
      </c>
      <c r="HH94" s="109" t="str">
        <f t="shared" si="152"/>
        <v/>
      </c>
      <c r="HI94" s="109" t="str">
        <f t="shared" si="75"/>
        <v/>
      </c>
      <c r="HJ94" s="110" t="str">
        <f t="shared" si="193"/>
        <v/>
      </c>
      <c r="HK94" s="51"/>
      <c r="HL94" s="108" t="str">
        <f t="shared" si="153"/>
        <v/>
      </c>
      <c r="HM94" s="109" t="str">
        <f t="shared" si="154"/>
        <v/>
      </c>
      <c r="HN94" s="109" t="str">
        <f t="shared" si="76"/>
        <v/>
      </c>
      <c r="HO94" s="110" t="str">
        <f t="shared" si="155"/>
        <v/>
      </c>
      <c r="HP94" s="51"/>
      <c r="HQ94" s="108" t="str">
        <f t="shared" si="77"/>
        <v/>
      </c>
      <c r="HR94" s="109" t="str">
        <f t="shared" si="156"/>
        <v/>
      </c>
      <c r="HS94" s="109" t="str">
        <f t="shared" si="78"/>
        <v/>
      </c>
      <c r="HT94" s="110" t="str">
        <f t="shared" si="194"/>
        <v/>
      </c>
      <c r="HU94" s="51"/>
      <c r="HV94" s="108" t="str">
        <f t="shared" si="157"/>
        <v/>
      </c>
      <c r="HW94" s="109" t="str">
        <f t="shared" si="158"/>
        <v/>
      </c>
      <c r="HX94" s="109" t="str">
        <f t="shared" si="79"/>
        <v/>
      </c>
      <c r="HY94" s="110" t="str">
        <f t="shared" si="159"/>
        <v/>
      </c>
      <c r="HZ94" s="51"/>
      <c r="IA94" s="108" t="str">
        <f t="shared" si="80"/>
        <v/>
      </c>
      <c r="IB94" s="109" t="str">
        <f t="shared" si="160"/>
        <v/>
      </c>
      <c r="IC94" s="109" t="str">
        <f t="shared" si="81"/>
        <v/>
      </c>
      <c r="ID94" s="110" t="str">
        <f t="shared" si="195"/>
        <v/>
      </c>
      <c r="IE94" s="51"/>
      <c r="IF94" s="108" t="str">
        <f t="shared" si="161"/>
        <v/>
      </c>
      <c r="IG94" s="109" t="str">
        <f t="shared" si="162"/>
        <v/>
      </c>
      <c r="IH94" s="109" t="str">
        <f t="shared" si="82"/>
        <v/>
      </c>
      <c r="II94" s="110" t="str">
        <f t="shared" si="163"/>
        <v/>
      </c>
      <c r="IJ94" s="51"/>
      <c r="IK94" s="108" t="str">
        <f t="shared" si="83"/>
        <v/>
      </c>
      <c r="IL94" s="109" t="str">
        <f t="shared" si="164"/>
        <v/>
      </c>
      <c r="IM94" s="109" t="str">
        <f t="shared" si="84"/>
        <v/>
      </c>
      <c r="IN94" s="110" t="str">
        <f t="shared" si="196"/>
        <v/>
      </c>
      <c r="IO94" s="51"/>
      <c r="IP94" s="108" t="str">
        <f t="shared" si="165"/>
        <v/>
      </c>
      <c r="IQ94" s="109" t="str">
        <f t="shared" si="166"/>
        <v/>
      </c>
      <c r="IR94" s="109" t="str">
        <f t="shared" si="85"/>
        <v/>
      </c>
      <c r="IS94" s="110" t="str">
        <f t="shared" si="167"/>
        <v/>
      </c>
      <c r="IT94" s="51"/>
      <c r="IU94" s="108" t="str">
        <f t="shared" si="86"/>
        <v/>
      </c>
      <c r="IV94" s="109" t="str">
        <f t="shared" si="168"/>
        <v/>
      </c>
      <c r="IW94" s="109" t="str">
        <f t="shared" si="87"/>
        <v/>
      </c>
      <c r="IX94" s="110" t="str">
        <f t="shared" si="197"/>
        <v/>
      </c>
      <c r="IY94" s="51"/>
      <c r="IZ94" s="108" t="str">
        <f t="shared" si="169"/>
        <v/>
      </c>
      <c r="JA94" s="109" t="str">
        <f t="shared" si="170"/>
        <v/>
      </c>
      <c r="JB94" s="109" t="str">
        <f t="shared" si="88"/>
        <v/>
      </c>
      <c r="JC94" s="110" t="str">
        <f t="shared" si="171"/>
        <v/>
      </c>
      <c r="JD94" s="51"/>
      <c r="JE94" s="108" t="str">
        <f t="shared" si="89"/>
        <v/>
      </c>
      <c r="JF94" s="109" t="str">
        <f t="shared" si="172"/>
        <v/>
      </c>
      <c r="JG94" s="109" t="str">
        <f t="shared" si="90"/>
        <v/>
      </c>
      <c r="JH94" s="110" t="str">
        <f t="shared" si="198"/>
        <v/>
      </c>
      <c r="JI94" s="51"/>
      <c r="JJ94" s="108" t="str">
        <f t="shared" si="173"/>
        <v/>
      </c>
      <c r="JK94" s="109" t="str">
        <f t="shared" si="174"/>
        <v/>
      </c>
      <c r="JL94" s="109" t="str">
        <f t="shared" si="91"/>
        <v/>
      </c>
      <c r="JM94" s="110" t="str">
        <f t="shared" si="175"/>
        <v/>
      </c>
      <c r="JN94" s="51"/>
      <c r="JO94" s="108" t="str">
        <f t="shared" si="92"/>
        <v/>
      </c>
      <c r="JP94" s="109" t="str">
        <f t="shared" si="176"/>
        <v/>
      </c>
      <c r="JQ94" s="109" t="str">
        <f t="shared" si="93"/>
        <v/>
      </c>
      <c r="JR94" s="110" t="str">
        <f t="shared" si="199"/>
        <v/>
      </c>
      <c r="JS94" s="51"/>
      <c r="JT94" s="108" t="str">
        <f t="shared" si="177"/>
        <v/>
      </c>
      <c r="JU94" s="109" t="str">
        <f t="shared" si="178"/>
        <v/>
      </c>
      <c r="JV94" s="109" t="str">
        <f t="shared" si="94"/>
        <v/>
      </c>
      <c r="JW94" s="110" t="str">
        <f t="shared" si="179"/>
        <v/>
      </c>
      <c r="JX94" s="51"/>
      <c r="JY94" s="108" t="str">
        <f t="shared" si="95"/>
        <v/>
      </c>
      <c r="JZ94" s="109" t="str">
        <f t="shared" si="180"/>
        <v/>
      </c>
      <c r="KA94" s="109" t="str">
        <f t="shared" si="96"/>
        <v/>
      </c>
      <c r="KB94" s="110" t="str">
        <f t="shared" si="200"/>
        <v/>
      </c>
      <c r="KC94" s="51"/>
      <c r="KD94" s="108" t="str">
        <f t="shared" si="181"/>
        <v/>
      </c>
      <c r="KE94" s="109" t="str">
        <f t="shared" si="182"/>
        <v/>
      </c>
      <c r="KF94" s="109" t="str">
        <f t="shared" si="97"/>
        <v/>
      </c>
      <c r="KG94" s="110" t="str">
        <f t="shared" si="98"/>
        <v/>
      </c>
    </row>
    <row r="95" spans="1:293" ht="12" customHeight="1">
      <c r="A95" s="105">
        <f t="array" ref="A95">MAX(IF($J$80:J94&gt;0,$C$80:C94,0))</f>
        <v>43535</v>
      </c>
      <c r="B95" s="81">
        <f t="shared" si="4"/>
        <v>15</v>
      </c>
      <c r="C95" s="82">
        <f t="shared" si="5"/>
        <v>43997</v>
      </c>
      <c r="D95" s="83">
        <f t="shared" si="6"/>
        <v>107.90000000000002</v>
      </c>
      <c r="E95" s="83">
        <f t="shared" si="99"/>
        <v>0.2</v>
      </c>
      <c r="F95" s="83">
        <f t="shared" si="7"/>
        <v>96.260000000000019</v>
      </c>
      <c r="G95" s="83">
        <f t="shared" si="8"/>
        <v>11.44</v>
      </c>
      <c r="H95" s="83">
        <f t="shared" si="9"/>
        <v>305.64999999999975</v>
      </c>
      <c r="I95" s="105">
        <f t="array" ref="I95">MAX(IF($R$80:R94&gt;0,$L$80:L94,0))</f>
        <v>0</v>
      </c>
      <c r="J95" s="106"/>
      <c r="K95" s="69" t="str">
        <f t="shared" si="10"/>
        <v/>
      </c>
      <c r="L95" s="82">
        <f t="shared" si="183"/>
        <v>0</v>
      </c>
      <c r="M95" s="83" t="str">
        <f t="shared" si="11"/>
        <v/>
      </c>
      <c r="N95" s="83" t="str">
        <f t="shared" si="12"/>
        <v/>
      </c>
      <c r="O95" s="83" t="str">
        <f t="shared" si="13"/>
        <v/>
      </c>
      <c r="P95" s="83" t="str">
        <f t="shared" si="14"/>
        <v/>
      </c>
      <c r="Q95" s="83" t="str">
        <f t="shared" si="15"/>
        <v/>
      </c>
      <c r="R95" s="106"/>
      <c r="S95" s="66"/>
      <c r="U95" s="85" t="e">
        <f t="shared" si="0"/>
        <v>#NUM!</v>
      </c>
      <c r="V95" s="86" t="e">
        <f t="shared" si="100"/>
        <v>#NUM!</v>
      </c>
      <c r="W95" s="87" t="e">
        <f t="shared" si="16"/>
        <v>#NUM!</v>
      </c>
      <c r="X95" s="87" t="e">
        <f t="shared" si="17"/>
        <v>#NUM!</v>
      </c>
      <c r="Y95" s="87" t="e">
        <f t="shared" si="18"/>
        <v>#NUM!</v>
      </c>
      <c r="Z95" s="88" t="e">
        <f t="shared" si="1"/>
        <v>#NUM!</v>
      </c>
      <c r="AB95" s="89">
        <f t="shared" si="101"/>
        <v>107.90000000000002</v>
      </c>
      <c r="AC95" s="87">
        <f t="shared" si="19"/>
        <v>129.16</v>
      </c>
      <c r="AD95" s="87" t="str">
        <f t="shared" si="20"/>
        <v/>
      </c>
      <c r="AE95" s="87" t="str">
        <f t="shared" si="21"/>
        <v/>
      </c>
      <c r="AF95" s="86">
        <f t="shared" si="102"/>
        <v>43993</v>
      </c>
      <c r="AG95" s="87">
        <f t="shared" si="2"/>
        <v>1.5</v>
      </c>
      <c r="AH95" s="87">
        <f t="shared" si="103"/>
        <v>0.2</v>
      </c>
      <c r="AI95" s="90"/>
      <c r="AJ95" s="87" t="e">
        <f t="shared" si="22"/>
        <v>#NUM!</v>
      </c>
      <c r="AK95" s="87" t="e">
        <f t="shared" si="104"/>
        <v>#NUM!</v>
      </c>
      <c r="AL95" s="87" t="e">
        <f t="shared" si="105"/>
        <v>#NUM!</v>
      </c>
      <c r="AM95" s="87" t="e">
        <f t="shared" si="106"/>
        <v>#NUM!</v>
      </c>
      <c r="AN95" s="86">
        <f t="shared" si="23"/>
        <v>0</v>
      </c>
      <c r="AO95" s="87">
        <f t="shared" si="24"/>
        <v>0</v>
      </c>
      <c r="AP95" s="88">
        <f t="shared" si="25"/>
        <v>0</v>
      </c>
      <c r="AR95" s="91">
        <f t="shared" si="26"/>
        <v>107.90000000000002</v>
      </c>
      <c r="AS95" s="92">
        <f t="shared" si="27"/>
        <v>129.16</v>
      </c>
      <c r="AT95" s="87" t="str">
        <f t="shared" si="28"/>
        <v/>
      </c>
      <c r="AU95" s="87" t="str">
        <f t="shared" si="29"/>
        <v/>
      </c>
      <c r="AV95" s="86">
        <f t="shared" si="107"/>
        <v>43993</v>
      </c>
      <c r="AW95" s="87">
        <f t="shared" si="108"/>
        <v>1.5</v>
      </c>
      <c r="AX95" s="87">
        <f t="shared" si="109"/>
        <v>0.2</v>
      </c>
      <c r="AY95" s="93"/>
      <c r="AZ95" s="87">
        <f t="shared" si="201"/>
        <v>0</v>
      </c>
      <c r="BA95" s="87">
        <f t="shared" si="110"/>
        <v>0</v>
      </c>
      <c r="BB95" s="87">
        <f t="shared" si="111"/>
        <v>0</v>
      </c>
      <c r="BC95" s="87">
        <f t="shared" si="184"/>
        <v>0</v>
      </c>
      <c r="BD95" s="86" t="e">
        <f t="shared" si="30"/>
        <v>#NUM!</v>
      </c>
      <c r="BE95" s="87" t="e">
        <f t="shared" si="3"/>
        <v>#NUM!</v>
      </c>
      <c r="BF95" s="88">
        <f t="shared" si="112"/>
        <v>0</v>
      </c>
      <c r="BH95" s="87" t="e">
        <f t="shared" si="31"/>
        <v>#NUM!</v>
      </c>
      <c r="BK95" s="95">
        <v>39815</v>
      </c>
      <c r="BL95" s="96">
        <v>16</v>
      </c>
      <c r="BT95" s="51">
        <v>10000.01</v>
      </c>
      <c r="BU95" s="51">
        <v>15000</v>
      </c>
      <c r="BV95" s="30">
        <v>0.15</v>
      </c>
      <c r="BY95" s="107"/>
      <c r="BZ95" s="107"/>
      <c r="CA95" s="107"/>
      <c r="CB95" s="107"/>
      <c r="CC95" s="107"/>
      <c r="CD95" s="107"/>
      <c r="CE95" s="107"/>
      <c r="CF95" s="107">
        <v>0.01</v>
      </c>
      <c r="CG95" s="107">
        <v>6.0000000000000001E-3</v>
      </c>
      <c r="CI95" s="100" t="s">
        <v>265</v>
      </c>
      <c r="CJ95">
        <v>100</v>
      </c>
      <c r="CK95">
        <v>1500</v>
      </c>
      <c r="CL95" s="41">
        <v>0.3</v>
      </c>
      <c r="CY95" s="108">
        <f t="shared" si="32"/>
        <v>107.15</v>
      </c>
      <c r="CZ95" s="109">
        <f t="shared" si="33"/>
        <v>95.45</v>
      </c>
      <c r="DA95" s="109">
        <f t="shared" si="34"/>
        <v>11.7</v>
      </c>
      <c r="DB95" s="110">
        <f t="shared" si="35"/>
        <v>315.72000000000008</v>
      </c>
      <c r="DD95" s="108">
        <f t="shared" si="36"/>
        <v>0.9</v>
      </c>
      <c r="DE95" s="109">
        <f t="shared" si="114"/>
        <v>0.8</v>
      </c>
      <c r="DF95" s="109">
        <f t="shared" si="37"/>
        <v>0.1</v>
      </c>
      <c r="DG95" s="110">
        <f t="shared" si="38"/>
        <v>2.7300000000000626</v>
      </c>
      <c r="DI95" s="108">
        <f t="shared" si="115"/>
        <v>107.64000000000001</v>
      </c>
      <c r="DJ95" s="109">
        <f t="shared" si="116"/>
        <v>96.18</v>
      </c>
      <c r="DK95" s="109">
        <f t="shared" si="39"/>
        <v>11.46</v>
      </c>
      <c r="DL95" s="110">
        <f t="shared" si="40"/>
        <v>306.74000000000007</v>
      </c>
      <c r="DN95" s="108">
        <f t="shared" si="41"/>
        <v>0.1</v>
      </c>
      <c r="DO95" s="109">
        <f t="shared" si="42"/>
        <v>9.0000000000000011E-2</v>
      </c>
      <c r="DP95" s="109">
        <f t="shared" si="43"/>
        <v>0.01</v>
      </c>
      <c r="DQ95" s="110">
        <f t="shared" si="44"/>
        <v>0.27000000000004282</v>
      </c>
      <c r="DS95" s="108">
        <f t="shared" si="117"/>
        <v>107.70000000000002</v>
      </c>
      <c r="DT95" s="109">
        <f t="shared" si="118"/>
        <v>96.260000000000019</v>
      </c>
      <c r="DU95" s="109">
        <f t="shared" si="45"/>
        <v>11.44</v>
      </c>
      <c r="DV95" s="110">
        <f t="shared" si="185"/>
        <v>305.64999999999975</v>
      </c>
      <c r="DX95" s="108">
        <f t="shared" si="46"/>
        <v>0</v>
      </c>
      <c r="DY95" s="109">
        <f t="shared" si="119"/>
        <v>0</v>
      </c>
      <c r="DZ95" s="109">
        <f t="shared" si="47"/>
        <v>0</v>
      </c>
      <c r="EA95" s="110">
        <f t="shared" si="120"/>
        <v>9.9999999996924771E-3</v>
      </c>
      <c r="EC95" s="108">
        <f t="shared" si="121"/>
        <v>107.70000000000002</v>
      </c>
      <c r="ED95" s="109">
        <f t="shared" si="122"/>
        <v>96.260000000000019</v>
      </c>
      <c r="EE95" s="109">
        <f t="shared" si="48"/>
        <v>11.44</v>
      </c>
      <c r="EF95" s="110">
        <f t="shared" si="186"/>
        <v>305.64999999999975</v>
      </c>
      <c r="EH95" s="108">
        <f t="shared" si="49"/>
        <v>0</v>
      </c>
      <c r="EI95" s="109">
        <f t="shared" si="123"/>
        <v>0</v>
      </c>
      <c r="EJ95" s="109">
        <f t="shared" si="50"/>
        <v>0</v>
      </c>
      <c r="EK95" s="110">
        <f t="shared" si="124"/>
        <v>9.9999999996924771E-3</v>
      </c>
      <c r="EM95" s="108">
        <f t="shared" si="125"/>
        <v>107.70000000000002</v>
      </c>
      <c r="EN95" s="109">
        <f t="shared" si="126"/>
        <v>96.260000000000019</v>
      </c>
      <c r="EO95" s="109">
        <f t="shared" si="51"/>
        <v>11.44</v>
      </c>
      <c r="EP95" s="110">
        <f t="shared" si="187"/>
        <v>305.64999999999975</v>
      </c>
      <c r="ER95" s="108">
        <f t="shared" si="52"/>
        <v>0</v>
      </c>
      <c r="ES95" s="109">
        <f t="shared" si="127"/>
        <v>0</v>
      </c>
      <c r="ET95" s="109">
        <f t="shared" si="53"/>
        <v>0</v>
      </c>
      <c r="EU95" s="110">
        <f t="shared" si="128"/>
        <v>9.9999999996924771E-3</v>
      </c>
      <c r="EW95" s="108">
        <f t="shared" si="129"/>
        <v>107.70000000000002</v>
      </c>
      <c r="EX95" s="109">
        <f t="shared" si="130"/>
        <v>96.260000000000019</v>
      </c>
      <c r="EY95" s="109">
        <f t="shared" si="54"/>
        <v>11.44</v>
      </c>
      <c r="EZ95" s="110">
        <f t="shared" si="188"/>
        <v>305.64999999999975</v>
      </c>
      <c r="FB95" s="108">
        <f t="shared" si="55"/>
        <v>0</v>
      </c>
      <c r="FC95" s="109">
        <f t="shared" si="131"/>
        <v>0</v>
      </c>
      <c r="FD95" s="109">
        <f t="shared" si="56"/>
        <v>0</v>
      </c>
      <c r="FE95" s="110">
        <f t="shared" si="132"/>
        <v>9.9999999996924771E-3</v>
      </c>
      <c r="FG95" s="108">
        <f t="shared" si="133"/>
        <v>107.70000000000002</v>
      </c>
      <c r="FH95" s="109">
        <f t="shared" si="134"/>
        <v>96.260000000000019</v>
      </c>
      <c r="FI95" s="109">
        <f t="shared" si="57"/>
        <v>11.44</v>
      </c>
      <c r="FJ95" s="110">
        <f t="shared" si="189"/>
        <v>305.64999999999975</v>
      </c>
      <c r="FL95" s="108">
        <f t="shared" si="58"/>
        <v>0</v>
      </c>
      <c r="FM95" s="109">
        <f t="shared" si="135"/>
        <v>0</v>
      </c>
      <c r="FN95" s="109">
        <f t="shared" si="59"/>
        <v>0</v>
      </c>
      <c r="FO95" s="110">
        <f t="shared" si="136"/>
        <v>9.9999999996924771E-3</v>
      </c>
      <c r="FQ95" s="108">
        <f t="shared" si="137"/>
        <v>107.70000000000002</v>
      </c>
      <c r="FR95" s="109">
        <f t="shared" si="138"/>
        <v>96.260000000000019</v>
      </c>
      <c r="FS95" s="109">
        <f t="shared" si="60"/>
        <v>11.44</v>
      </c>
      <c r="FT95" s="110">
        <f t="shared" si="190"/>
        <v>305.64999999999975</v>
      </c>
      <c r="FV95" s="108">
        <f t="shared" si="61"/>
        <v>0</v>
      </c>
      <c r="FW95" s="109">
        <f t="shared" si="139"/>
        <v>0</v>
      </c>
      <c r="FX95" s="109">
        <f t="shared" si="62"/>
        <v>0</v>
      </c>
      <c r="FY95" s="110">
        <f t="shared" si="140"/>
        <v>9.9999999996924771E-3</v>
      </c>
      <c r="GA95" s="108">
        <f t="shared" si="141"/>
        <v>107.70000000000002</v>
      </c>
      <c r="GB95" s="109">
        <f t="shared" si="142"/>
        <v>96.260000000000019</v>
      </c>
      <c r="GC95" s="109">
        <f t="shared" si="63"/>
        <v>11.44</v>
      </c>
      <c r="GD95" s="110">
        <f t="shared" si="191"/>
        <v>305.64999999999975</v>
      </c>
      <c r="GF95" s="108">
        <f t="shared" si="64"/>
        <v>0</v>
      </c>
      <c r="GG95" s="109">
        <f t="shared" si="143"/>
        <v>0</v>
      </c>
      <c r="GH95" s="109">
        <f t="shared" si="65"/>
        <v>0</v>
      </c>
      <c r="GI95" s="110">
        <f t="shared" si="144"/>
        <v>9.9999999996924771E-3</v>
      </c>
      <c r="GK95" s="108">
        <f t="shared" si="145"/>
        <v>107.70000000000002</v>
      </c>
      <c r="GL95" s="109">
        <f t="shared" si="146"/>
        <v>96.260000000000019</v>
      </c>
      <c r="GM95" s="109">
        <f t="shared" si="147"/>
        <v>11.44</v>
      </c>
      <c r="GN95" s="110">
        <f t="shared" si="192"/>
        <v>305.64999999999975</v>
      </c>
      <c r="GR95" s="108" t="str">
        <f t="shared" si="66"/>
        <v/>
      </c>
      <c r="GS95" s="109" t="str">
        <f t="shared" si="67"/>
        <v/>
      </c>
      <c r="GT95" s="109" t="str">
        <f t="shared" si="68"/>
        <v/>
      </c>
      <c r="GU95" s="110" t="str">
        <f t="shared" si="69"/>
        <v/>
      </c>
      <c r="GV95" s="51"/>
      <c r="GW95" s="108" t="str">
        <f t="shared" si="70"/>
        <v/>
      </c>
      <c r="GX95" s="109" t="str">
        <f t="shared" si="148"/>
        <v/>
      </c>
      <c r="GY95" s="109" t="str">
        <f t="shared" si="71"/>
        <v/>
      </c>
      <c r="GZ95" s="110" t="str">
        <f t="shared" si="72"/>
        <v/>
      </c>
      <c r="HA95" s="51"/>
      <c r="HB95" s="108" t="str">
        <f t="shared" si="149"/>
        <v/>
      </c>
      <c r="HC95" s="109" t="str">
        <f t="shared" si="150"/>
        <v/>
      </c>
      <c r="HD95" s="109" t="str">
        <f t="shared" si="73"/>
        <v/>
      </c>
      <c r="HE95" s="110" t="str">
        <f t="shared" si="151"/>
        <v/>
      </c>
      <c r="HF95" s="51"/>
      <c r="HG95" s="108" t="str">
        <f t="shared" si="74"/>
        <v/>
      </c>
      <c r="HH95" s="109" t="str">
        <f t="shared" si="152"/>
        <v/>
      </c>
      <c r="HI95" s="109" t="str">
        <f t="shared" si="75"/>
        <v/>
      </c>
      <c r="HJ95" s="110" t="str">
        <f t="shared" si="193"/>
        <v/>
      </c>
      <c r="HK95" s="51"/>
      <c r="HL95" s="108" t="str">
        <f t="shared" si="153"/>
        <v/>
      </c>
      <c r="HM95" s="109" t="str">
        <f t="shared" si="154"/>
        <v/>
      </c>
      <c r="HN95" s="109" t="str">
        <f t="shared" si="76"/>
        <v/>
      </c>
      <c r="HO95" s="110" t="str">
        <f t="shared" si="155"/>
        <v/>
      </c>
      <c r="HP95" s="51"/>
      <c r="HQ95" s="108" t="str">
        <f t="shared" si="77"/>
        <v/>
      </c>
      <c r="HR95" s="109" t="str">
        <f t="shared" si="156"/>
        <v/>
      </c>
      <c r="HS95" s="109" t="str">
        <f t="shared" si="78"/>
        <v/>
      </c>
      <c r="HT95" s="110" t="str">
        <f t="shared" si="194"/>
        <v/>
      </c>
      <c r="HU95" s="51"/>
      <c r="HV95" s="108" t="str">
        <f t="shared" si="157"/>
        <v/>
      </c>
      <c r="HW95" s="109" t="str">
        <f t="shared" si="158"/>
        <v/>
      </c>
      <c r="HX95" s="109" t="str">
        <f t="shared" si="79"/>
        <v/>
      </c>
      <c r="HY95" s="110" t="str">
        <f t="shared" si="159"/>
        <v/>
      </c>
      <c r="HZ95" s="51"/>
      <c r="IA95" s="108" t="str">
        <f t="shared" si="80"/>
        <v/>
      </c>
      <c r="IB95" s="109" t="str">
        <f t="shared" si="160"/>
        <v/>
      </c>
      <c r="IC95" s="109" t="str">
        <f t="shared" si="81"/>
        <v/>
      </c>
      <c r="ID95" s="110" t="str">
        <f t="shared" si="195"/>
        <v/>
      </c>
      <c r="IE95" s="51"/>
      <c r="IF95" s="108" t="str">
        <f t="shared" si="161"/>
        <v/>
      </c>
      <c r="IG95" s="109" t="str">
        <f t="shared" si="162"/>
        <v/>
      </c>
      <c r="IH95" s="109" t="str">
        <f t="shared" si="82"/>
        <v/>
      </c>
      <c r="II95" s="110" t="str">
        <f t="shared" si="163"/>
        <v/>
      </c>
      <c r="IJ95" s="51"/>
      <c r="IK95" s="108" t="str">
        <f t="shared" si="83"/>
        <v/>
      </c>
      <c r="IL95" s="109" t="str">
        <f t="shared" si="164"/>
        <v/>
      </c>
      <c r="IM95" s="109" t="str">
        <f t="shared" si="84"/>
        <v/>
      </c>
      <c r="IN95" s="110" t="str">
        <f t="shared" si="196"/>
        <v/>
      </c>
      <c r="IO95" s="51"/>
      <c r="IP95" s="108" t="str">
        <f t="shared" si="165"/>
        <v/>
      </c>
      <c r="IQ95" s="109" t="str">
        <f t="shared" si="166"/>
        <v/>
      </c>
      <c r="IR95" s="109" t="str">
        <f t="shared" si="85"/>
        <v/>
      </c>
      <c r="IS95" s="110" t="str">
        <f t="shared" si="167"/>
        <v/>
      </c>
      <c r="IT95" s="51"/>
      <c r="IU95" s="108" t="str">
        <f t="shared" si="86"/>
        <v/>
      </c>
      <c r="IV95" s="109" t="str">
        <f t="shared" si="168"/>
        <v/>
      </c>
      <c r="IW95" s="109" t="str">
        <f t="shared" si="87"/>
        <v/>
      </c>
      <c r="IX95" s="110" t="str">
        <f t="shared" si="197"/>
        <v/>
      </c>
      <c r="IY95" s="51"/>
      <c r="IZ95" s="108" t="str">
        <f t="shared" si="169"/>
        <v/>
      </c>
      <c r="JA95" s="109" t="str">
        <f t="shared" si="170"/>
        <v/>
      </c>
      <c r="JB95" s="109" t="str">
        <f t="shared" si="88"/>
        <v/>
      </c>
      <c r="JC95" s="110" t="str">
        <f t="shared" si="171"/>
        <v/>
      </c>
      <c r="JD95" s="51"/>
      <c r="JE95" s="108" t="str">
        <f t="shared" si="89"/>
        <v/>
      </c>
      <c r="JF95" s="109" t="str">
        <f t="shared" si="172"/>
        <v/>
      </c>
      <c r="JG95" s="109" t="str">
        <f t="shared" si="90"/>
        <v/>
      </c>
      <c r="JH95" s="110" t="str">
        <f t="shared" si="198"/>
        <v/>
      </c>
      <c r="JI95" s="51"/>
      <c r="JJ95" s="108" t="str">
        <f t="shared" si="173"/>
        <v/>
      </c>
      <c r="JK95" s="109" t="str">
        <f t="shared" si="174"/>
        <v/>
      </c>
      <c r="JL95" s="109" t="str">
        <f t="shared" si="91"/>
        <v/>
      </c>
      <c r="JM95" s="110" t="str">
        <f t="shared" si="175"/>
        <v/>
      </c>
      <c r="JN95" s="51"/>
      <c r="JO95" s="108" t="str">
        <f t="shared" si="92"/>
        <v/>
      </c>
      <c r="JP95" s="109" t="str">
        <f t="shared" si="176"/>
        <v/>
      </c>
      <c r="JQ95" s="109" t="str">
        <f t="shared" si="93"/>
        <v/>
      </c>
      <c r="JR95" s="110" t="str">
        <f t="shared" si="199"/>
        <v/>
      </c>
      <c r="JS95" s="51"/>
      <c r="JT95" s="108" t="str">
        <f t="shared" si="177"/>
        <v/>
      </c>
      <c r="JU95" s="109" t="str">
        <f t="shared" si="178"/>
        <v/>
      </c>
      <c r="JV95" s="109" t="str">
        <f t="shared" si="94"/>
        <v/>
      </c>
      <c r="JW95" s="110" t="str">
        <f t="shared" si="179"/>
        <v/>
      </c>
      <c r="JX95" s="51"/>
      <c r="JY95" s="108" t="str">
        <f t="shared" si="95"/>
        <v/>
      </c>
      <c r="JZ95" s="109" t="str">
        <f t="shared" si="180"/>
        <v/>
      </c>
      <c r="KA95" s="109" t="str">
        <f t="shared" si="96"/>
        <v/>
      </c>
      <c r="KB95" s="110" t="str">
        <f t="shared" si="200"/>
        <v/>
      </c>
      <c r="KC95" s="51"/>
      <c r="KD95" s="108" t="str">
        <f t="shared" si="181"/>
        <v/>
      </c>
      <c r="KE95" s="109" t="str">
        <f t="shared" si="182"/>
        <v/>
      </c>
      <c r="KF95" s="109" t="str">
        <f t="shared" si="97"/>
        <v/>
      </c>
      <c r="KG95" s="110" t="str">
        <f t="shared" si="98"/>
        <v/>
      </c>
    </row>
    <row r="96" spans="1:293" ht="12" customHeight="1">
      <c r="A96" s="105">
        <f t="array" ref="A96">MAX(IF($J$80:J95&gt;0,$C$80:C95,0))</f>
        <v>43535</v>
      </c>
      <c r="B96" s="81">
        <f t="shared" si="4"/>
        <v>16</v>
      </c>
      <c r="C96" s="82">
        <f t="shared" si="5"/>
        <v>44027</v>
      </c>
      <c r="D96" s="83">
        <f t="shared" si="6"/>
        <v>107.85000000000002</v>
      </c>
      <c r="E96" s="83">
        <f t="shared" si="99"/>
        <v>0.15</v>
      </c>
      <c r="F96" s="83">
        <f t="shared" si="7"/>
        <v>99.280000000000015</v>
      </c>
      <c r="G96" s="83">
        <f t="shared" si="8"/>
        <v>8.42</v>
      </c>
      <c r="H96" s="83">
        <f t="shared" si="9"/>
        <v>206.36999999999972</v>
      </c>
      <c r="I96" s="105">
        <f t="array" ref="I96">MAX(IF($R$80:R95&gt;0,$L$80:L95,0))</f>
        <v>0</v>
      </c>
      <c r="J96" s="106"/>
      <c r="K96" s="69" t="str">
        <f t="shared" si="10"/>
        <v/>
      </c>
      <c r="L96" s="82">
        <f t="shared" si="183"/>
        <v>0</v>
      </c>
      <c r="M96" s="83" t="str">
        <f t="shared" si="11"/>
        <v/>
      </c>
      <c r="N96" s="83" t="str">
        <f t="shared" si="12"/>
        <v/>
      </c>
      <c r="O96" s="83" t="str">
        <f t="shared" si="13"/>
        <v/>
      </c>
      <c r="P96" s="83" t="str">
        <f t="shared" si="14"/>
        <v/>
      </c>
      <c r="Q96" s="83" t="str">
        <f t="shared" si="15"/>
        <v/>
      </c>
      <c r="R96" s="106"/>
      <c r="S96" s="66"/>
      <c r="U96" s="85" t="e">
        <f t="shared" si="0"/>
        <v>#NUM!</v>
      </c>
      <c r="V96" s="86" t="e">
        <f t="shared" si="100"/>
        <v>#NUM!</v>
      </c>
      <c r="W96" s="87" t="e">
        <f t="shared" si="16"/>
        <v>#NUM!</v>
      </c>
      <c r="X96" s="87" t="e">
        <f t="shared" si="17"/>
        <v>#NUM!</v>
      </c>
      <c r="Y96" s="87" t="e">
        <f t="shared" si="18"/>
        <v>#NUM!</v>
      </c>
      <c r="Z96" s="88" t="e">
        <f t="shared" si="1"/>
        <v>#NUM!</v>
      </c>
      <c r="AB96" s="89">
        <f t="shared" si="101"/>
        <v>107.85000000000002</v>
      </c>
      <c r="AC96" s="87">
        <f t="shared" si="19"/>
        <v>130.47999999999999</v>
      </c>
      <c r="AD96" s="87" t="str">
        <f t="shared" si="20"/>
        <v/>
      </c>
      <c r="AE96" s="87" t="str">
        <f t="shared" si="21"/>
        <v/>
      </c>
      <c r="AF96" s="86">
        <f t="shared" si="102"/>
        <v>44023</v>
      </c>
      <c r="AG96" s="87">
        <f t="shared" si="2"/>
        <v>1.5</v>
      </c>
      <c r="AH96" s="87">
        <f t="shared" si="103"/>
        <v>0.15</v>
      </c>
      <c r="AI96" s="90"/>
      <c r="AJ96" s="87" t="e">
        <f t="shared" si="22"/>
        <v>#NUM!</v>
      </c>
      <c r="AK96" s="87" t="e">
        <f t="shared" si="104"/>
        <v>#NUM!</v>
      </c>
      <c r="AL96" s="87" t="e">
        <f t="shared" si="105"/>
        <v>#NUM!</v>
      </c>
      <c r="AM96" s="87" t="e">
        <f t="shared" si="106"/>
        <v>#NUM!</v>
      </c>
      <c r="AN96" s="86">
        <f t="shared" si="23"/>
        <v>0</v>
      </c>
      <c r="AO96" s="87">
        <f t="shared" si="24"/>
        <v>0</v>
      </c>
      <c r="AP96" s="88">
        <f t="shared" si="25"/>
        <v>0</v>
      </c>
      <c r="AR96" s="91">
        <f t="shared" si="26"/>
        <v>107.85000000000002</v>
      </c>
      <c r="AS96" s="92">
        <f t="shared" si="27"/>
        <v>130.47999999999999</v>
      </c>
      <c r="AT96" s="87" t="str">
        <f t="shared" si="28"/>
        <v/>
      </c>
      <c r="AU96" s="87" t="str">
        <f t="shared" si="29"/>
        <v/>
      </c>
      <c r="AV96" s="86">
        <f t="shared" si="107"/>
        <v>44023</v>
      </c>
      <c r="AW96" s="87">
        <f t="shared" si="108"/>
        <v>1.5</v>
      </c>
      <c r="AX96" s="87">
        <f t="shared" si="109"/>
        <v>0.15</v>
      </c>
      <c r="AY96" s="93"/>
      <c r="AZ96" s="87">
        <f t="shared" si="201"/>
        <v>0</v>
      </c>
      <c r="BA96" s="87">
        <f t="shared" si="110"/>
        <v>0</v>
      </c>
      <c r="BB96" s="87">
        <f t="shared" si="111"/>
        <v>0</v>
      </c>
      <c r="BC96" s="87">
        <f t="shared" si="184"/>
        <v>0</v>
      </c>
      <c r="BD96" s="86" t="e">
        <f t="shared" si="30"/>
        <v>#NUM!</v>
      </c>
      <c r="BE96" s="87" t="e">
        <f t="shared" si="3"/>
        <v>#NUM!</v>
      </c>
      <c r="BF96" s="88">
        <f t="shared" si="112"/>
        <v>0</v>
      </c>
      <c r="BH96" s="87" t="e">
        <f t="shared" si="31"/>
        <v>#NUM!</v>
      </c>
      <c r="BK96" s="95">
        <v>39820</v>
      </c>
      <c r="BL96" s="96">
        <v>17</v>
      </c>
      <c r="BT96" s="51">
        <v>15000.01</v>
      </c>
      <c r="BU96" s="51">
        <v>20000</v>
      </c>
      <c r="BV96" s="30">
        <v>0.13</v>
      </c>
      <c r="BY96" s="107"/>
      <c r="BZ96" s="107"/>
      <c r="CA96" s="107"/>
      <c r="CB96" s="107"/>
      <c r="CC96" s="107"/>
      <c r="CD96" s="107"/>
      <c r="CE96" s="107"/>
      <c r="CF96" s="107">
        <v>0.01</v>
      </c>
      <c r="CG96" s="107">
        <v>6.0000000000000001E-3</v>
      </c>
      <c r="CI96" s="100" t="s">
        <v>268</v>
      </c>
      <c r="CJ96" s="51"/>
      <c r="CK96" s="51"/>
      <c r="CL96" s="41">
        <v>0</v>
      </c>
      <c r="CY96" s="108">
        <f t="shared" si="32"/>
        <v>107.15</v>
      </c>
      <c r="CZ96" s="109">
        <f t="shared" si="33"/>
        <v>98.460000000000008</v>
      </c>
      <c r="DA96" s="109">
        <f t="shared" si="34"/>
        <v>8.69</v>
      </c>
      <c r="DB96" s="110">
        <f t="shared" si="35"/>
        <v>217.26000000000008</v>
      </c>
      <c r="DD96" s="108">
        <f t="shared" si="36"/>
        <v>0.9</v>
      </c>
      <c r="DE96" s="109">
        <f t="shared" si="114"/>
        <v>0.82000000000000006</v>
      </c>
      <c r="DF96" s="109">
        <f t="shared" si="37"/>
        <v>0.08</v>
      </c>
      <c r="DG96" s="110">
        <f t="shared" si="38"/>
        <v>1.9100000000000625</v>
      </c>
      <c r="DI96" s="108">
        <f t="shared" si="115"/>
        <v>107.64000000000001</v>
      </c>
      <c r="DJ96" s="109">
        <f t="shared" si="116"/>
        <v>99.190000000000012</v>
      </c>
      <c r="DK96" s="109">
        <f t="shared" si="39"/>
        <v>8.4499999999999993</v>
      </c>
      <c r="DL96" s="110">
        <f t="shared" si="40"/>
        <v>207.55000000000007</v>
      </c>
      <c r="DN96" s="108">
        <f t="shared" si="41"/>
        <v>0.1</v>
      </c>
      <c r="DO96" s="109">
        <f t="shared" si="42"/>
        <v>9.0000000000000011E-2</v>
      </c>
      <c r="DP96" s="109">
        <f t="shared" si="43"/>
        <v>0.01</v>
      </c>
      <c r="DQ96" s="110">
        <f t="shared" si="44"/>
        <v>0.18000000000004279</v>
      </c>
      <c r="DS96" s="108">
        <f t="shared" si="117"/>
        <v>107.70000000000002</v>
      </c>
      <c r="DT96" s="109">
        <f t="shared" si="118"/>
        <v>99.280000000000015</v>
      </c>
      <c r="DU96" s="109">
        <f t="shared" si="45"/>
        <v>8.42</v>
      </c>
      <c r="DV96" s="110">
        <f t="shared" si="185"/>
        <v>206.36999999999972</v>
      </c>
      <c r="DX96" s="108">
        <f t="shared" si="46"/>
        <v>0</v>
      </c>
      <c r="DY96" s="109">
        <f t="shared" si="119"/>
        <v>0</v>
      </c>
      <c r="DZ96" s="109">
        <f t="shared" si="47"/>
        <v>0</v>
      </c>
      <c r="EA96" s="110">
        <f t="shared" si="120"/>
        <v>9.9999999996924771E-3</v>
      </c>
      <c r="EC96" s="108">
        <f t="shared" si="121"/>
        <v>107.70000000000002</v>
      </c>
      <c r="ED96" s="109">
        <f t="shared" si="122"/>
        <v>99.280000000000015</v>
      </c>
      <c r="EE96" s="109">
        <f t="shared" si="48"/>
        <v>8.42</v>
      </c>
      <c r="EF96" s="110">
        <f t="shared" si="186"/>
        <v>206.36999999999972</v>
      </c>
      <c r="EH96" s="108">
        <f t="shared" si="49"/>
        <v>0</v>
      </c>
      <c r="EI96" s="109">
        <f t="shared" si="123"/>
        <v>0</v>
      </c>
      <c r="EJ96" s="109">
        <f t="shared" si="50"/>
        <v>0</v>
      </c>
      <c r="EK96" s="110">
        <f t="shared" si="124"/>
        <v>9.9999999996924771E-3</v>
      </c>
      <c r="EM96" s="108">
        <f t="shared" si="125"/>
        <v>107.70000000000002</v>
      </c>
      <c r="EN96" s="109">
        <f t="shared" si="126"/>
        <v>99.280000000000015</v>
      </c>
      <c r="EO96" s="109">
        <f t="shared" si="51"/>
        <v>8.42</v>
      </c>
      <c r="EP96" s="110">
        <f t="shared" si="187"/>
        <v>206.36999999999972</v>
      </c>
      <c r="ER96" s="108">
        <f t="shared" si="52"/>
        <v>0</v>
      </c>
      <c r="ES96" s="109">
        <f t="shared" si="127"/>
        <v>0</v>
      </c>
      <c r="ET96" s="109">
        <f t="shared" si="53"/>
        <v>0</v>
      </c>
      <c r="EU96" s="110">
        <f t="shared" si="128"/>
        <v>9.9999999996924771E-3</v>
      </c>
      <c r="EW96" s="108">
        <f t="shared" si="129"/>
        <v>107.70000000000002</v>
      </c>
      <c r="EX96" s="109">
        <f t="shared" si="130"/>
        <v>99.280000000000015</v>
      </c>
      <c r="EY96" s="109">
        <f t="shared" si="54"/>
        <v>8.42</v>
      </c>
      <c r="EZ96" s="110">
        <f t="shared" si="188"/>
        <v>206.36999999999972</v>
      </c>
      <c r="FB96" s="108">
        <f t="shared" si="55"/>
        <v>0</v>
      </c>
      <c r="FC96" s="109">
        <f t="shared" si="131"/>
        <v>0</v>
      </c>
      <c r="FD96" s="109">
        <f t="shared" si="56"/>
        <v>0</v>
      </c>
      <c r="FE96" s="110">
        <f t="shared" si="132"/>
        <v>9.9999999996924771E-3</v>
      </c>
      <c r="FG96" s="108">
        <f t="shared" si="133"/>
        <v>107.70000000000002</v>
      </c>
      <c r="FH96" s="109">
        <f t="shared" si="134"/>
        <v>99.280000000000015</v>
      </c>
      <c r="FI96" s="109">
        <f t="shared" si="57"/>
        <v>8.42</v>
      </c>
      <c r="FJ96" s="110">
        <f t="shared" si="189"/>
        <v>206.36999999999972</v>
      </c>
      <c r="FL96" s="108">
        <f t="shared" si="58"/>
        <v>0</v>
      </c>
      <c r="FM96" s="109">
        <f t="shared" si="135"/>
        <v>0</v>
      </c>
      <c r="FN96" s="109">
        <f t="shared" si="59"/>
        <v>0</v>
      </c>
      <c r="FO96" s="110">
        <f t="shared" si="136"/>
        <v>9.9999999996924771E-3</v>
      </c>
      <c r="FQ96" s="108">
        <f t="shared" si="137"/>
        <v>107.70000000000002</v>
      </c>
      <c r="FR96" s="109">
        <f t="shared" si="138"/>
        <v>99.280000000000015</v>
      </c>
      <c r="FS96" s="109">
        <f t="shared" si="60"/>
        <v>8.42</v>
      </c>
      <c r="FT96" s="110">
        <f t="shared" si="190"/>
        <v>206.36999999999972</v>
      </c>
      <c r="FV96" s="108">
        <f t="shared" si="61"/>
        <v>0</v>
      </c>
      <c r="FW96" s="109">
        <f t="shared" si="139"/>
        <v>0</v>
      </c>
      <c r="FX96" s="109">
        <f t="shared" si="62"/>
        <v>0</v>
      </c>
      <c r="FY96" s="110">
        <f t="shared" si="140"/>
        <v>9.9999999996924771E-3</v>
      </c>
      <c r="GA96" s="108">
        <f t="shared" si="141"/>
        <v>107.70000000000002</v>
      </c>
      <c r="GB96" s="109">
        <f t="shared" si="142"/>
        <v>99.280000000000015</v>
      </c>
      <c r="GC96" s="109">
        <f t="shared" si="63"/>
        <v>8.42</v>
      </c>
      <c r="GD96" s="110">
        <f t="shared" si="191"/>
        <v>206.36999999999972</v>
      </c>
      <c r="GF96" s="108">
        <f t="shared" si="64"/>
        <v>0</v>
      </c>
      <c r="GG96" s="109">
        <f t="shared" si="143"/>
        <v>0</v>
      </c>
      <c r="GH96" s="109">
        <f t="shared" si="65"/>
        <v>0</v>
      </c>
      <c r="GI96" s="110">
        <f t="shared" si="144"/>
        <v>9.9999999996924771E-3</v>
      </c>
      <c r="GK96" s="108">
        <f t="shared" si="145"/>
        <v>107.70000000000002</v>
      </c>
      <c r="GL96" s="109">
        <f t="shared" si="146"/>
        <v>99.280000000000015</v>
      </c>
      <c r="GM96" s="109">
        <f t="shared" si="147"/>
        <v>8.42</v>
      </c>
      <c r="GN96" s="110">
        <f t="shared" si="192"/>
        <v>206.36999999999972</v>
      </c>
      <c r="GR96" s="108" t="str">
        <f t="shared" si="66"/>
        <v/>
      </c>
      <c r="GS96" s="109" t="str">
        <f t="shared" si="67"/>
        <v/>
      </c>
      <c r="GT96" s="109" t="str">
        <f t="shared" si="68"/>
        <v/>
      </c>
      <c r="GU96" s="110" t="str">
        <f t="shared" si="69"/>
        <v/>
      </c>
      <c r="GV96" s="51"/>
      <c r="GW96" s="108" t="str">
        <f t="shared" si="70"/>
        <v/>
      </c>
      <c r="GX96" s="109" t="str">
        <f t="shared" si="148"/>
        <v/>
      </c>
      <c r="GY96" s="109" t="str">
        <f t="shared" si="71"/>
        <v/>
      </c>
      <c r="GZ96" s="110" t="str">
        <f t="shared" si="72"/>
        <v/>
      </c>
      <c r="HA96" s="51"/>
      <c r="HB96" s="108" t="str">
        <f t="shared" si="149"/>
        <v/>
      </c>
      <c r="HC96" s="109" t="str">
        <f t="shared" si="150"/>
        <v/>
      </c>
      <c r="HD96" s="109" t="str">
        <f t="shared" si="73"/>
        <v/>
      </c>
      <c r="HE96" s="110" t="str">
        <f t="shared" si="151"/>
        <v/>
      </c>
      <c r="HF96" s="51"/>
      <c r="HG96" s="108" t="str">
        <f t="shared" si="74"/>
        <v/>
      </c>
      <c r="HH96" s="109" t="str">
        <f t="shared" si="152"/>
        <v/>
      </c>
      <c r="HI96" s="109" t="str">
        <f t="shared" si="75"/>
        <v/>
      </c>
      <c r="HJ96" s="110" t="str">
        <f t="shared" si="193"/>
        <v/>
      </c>
      <c r="HK96" s="51"/>
      <c r="HL96" s="108" t="str">
        <f t="shared" si="153"/>
        <v/>
      </c>
      <c r="HM96" s="109" t="str">
        <f t="shared" si="154"/>
        <v/>
      </c>
      <c r="HN96" s="109" t="str">
        <f t="shared" si="76"/>
        <v/>
      </c>
      <c r="HO96" s="110" t="str">
        <f t="shared" si="155"/>
        <v/>
      </c>
      <c r="HP96" s="51"/>
      <c r="HQ96" s="108" t="str">
        <f t="shared" si="77"/>
        <v/>
      </c>
      <c r="HR96" s="109" t="str">
        <f t="shared" si="156"/>
        <v/>
      </c>
      <c r="HS96" s="109" t="str">
        <f t="shared" si="78"/>
        <v/>
      </c>
      <c r="HT96" s="110" t="str">
        <f t="shared" si="194"/>
        <v/>
      </c>
      <c r="HU96" s="51"/>
      <c r="HV96" s="108" t="str">
        <f t="shared" si="157"/>
        <v/>
      </c>
      <c r="HW96" s="109" t="str">
        <f t="shared" si="158"/>
        <v/>
      </c>
      <c r="HX96" s="109" t="str">
        <f t="shared" si="79"/>
        <v/>
      </c>
      <c r="HY96" s="110" t="str">
        <f t="shared" si="159"/>
        <v/>
      </c>
      <c r="HZ96" s="51"/>
      <c r="IA96" s="108" t="str">
        <f t="shared" si="80"/>
        <v/>
      </c>
      <c r="IB96" s="109" t="str">
        <f t="shared" si="160"/>
        <v/>
      </c>
      <c r="IC96" s="109" t="str">
        <f t="shared" si="81"/>
        <v/>
      </c>
      <c r="ID96" s="110" t="str">
        <f t="shared" si="195"/>
        <v/>
      </c>
      <c r="IE96" s="51"/>
      <c r="IF96" s="108" t="str">
        <f t="shared" si="161"/>
        <v/>
      </c>
      <c r="IG96" s="109" t="str">
        <f t="shared" si="162"/>
        <v/>
      </c>
      <c r="IH96" s="109" t="str">
        <f t="shared" si="82"/>
        <v/>
      </c>
      <c r="II96" s="110" t="str">
        <f t="shared" si="163"/>
        <v/>
      </c>
      <c r="IJ96" s="51"/>
      <c r="IK96" s="108" t="str">
        <f t="shared" si="83"/>
        <v/>
      </c>
      <c r="IL96" s="109" t="str">
        <f t="shared" si="164"/>
        <v/>
      </c>
      <c r="IM96" s="109" t="str">
        <f t="shared" si="84"/>
        <v/>
      </c>
      <c r="IN96" s="110" t="str">
        <f t="shared" si="196"/>
        <v/>
      </c>
      <c r="IO96" s="51"/>
      <c r="IP96" s="108" t="str">
        <f t="shared" si="165"/>
        <v/>
      </c>
      <c r="IQ96" s="109" t="str">
        <f t="shared" si="166"/>
        <v/>
      </c>
      <c r="IR96" s="109" t="str">
        <f t="shared" si="85"/>
        <v/>
      </c>
      <c r="IS96" s="110" t="str">
        <f t="shared" si="167"/>
        <v/>
      </c>
      <c r="IT96" s="51"/>
      <c r="IU96" s="108" t="str">
        <f t="shared" si="86"/>
        <v/>
      </c>
      <c r="IV96" s="109" t="str">
        <f t="shared" si="168"/>
        <v/>
      </c>
      <c r="IW96" s="109" t="str">
        <f t="shared" si="87"/>
        <v/>
      </c>
      <c r="IX96" s="110" t="str">
        <f t="shared" si="197"/>
        <v/>
      </c>
      <c r="IY96" s="51"/>
      <c r="IZ96" s="108" t="str">
        <f t="shared" si="169"/>
        <v/>
      </c>
      <c r="JA96" s="109" t="str">
        <f t="shared" si="170"/>
        <v/>
      </c>
      <c r="JB96" s="109" t="str">
        <f t="shared" si="88"/>
        <v/>
      </c>
      <c r="JC96" s="110" t="str">
        <f t="shared" si="171"/>
        <v/>
      </c>
      <c r="JD96" s="51"/>
      <c r="JE96" s="108" t="str">
        <f t="shared" si="89"/>
        <v/>
      </c>
      <c r="JF96" s="109" t="str">
        <f t="shared" si="172"/>
        <v/>
      </c>
      <c r="JG96" s="109" t="str">
        <f t="shared" si="90"/>
        <v/>
      </c>
      <c r="JH96" s="110" t="str">
        <f t="shared" si="198"/>
        <v/>
      </c>
      <c r="JI96" s="51"/>
      <c r="JJ96" s="108" t="str">
        <f t="shared" si="173"/>
        <v/>
      </c>
      <c r="JK96" s="109" t="str">
        <f t="shared" si="174"/>
        <v/>
      </c>
      <c r="JL96" s="109" t="str">
        <f t="shared" si="91"/>
        <v/>
      </c>
      <c r="JM96" s="110" t="str">
        <f t="shared" si="175"/>
        <v/>
      </c>
      <c r="JN96" s="51"/>
      <c r="JO96" s="108" t="str">
        <f t="shared" si="92"/>
        <v/>
      </c>
      <c r="JP96" s="109" t="str">
        <f t="shared" si="176"/>
        <v/>
      </c>
      <c r="JQ96" s="109" t="str">
        <f t="shared" si="93"/>
        <v/>
      </c>
      <c r="JR96" s="110" t="str">
        <f t="shared" si="199"/>
        <v/>
      </c>
      <c r="JS96" s="51"/>
      <c r="JT96" s="108" t="str">
        <f t="shared" si="177"/>
        <v/>
      </c>
      <c r="JU96" s="109" t="str">
        <f t="shared" si="178"/>
        <v/>
      </c>
      <c r="JV96" s="109" t="str">
        <f t="shared" si="94"/>
        <v/>
      </c>
      <c r="JW96" s="110" t="str">
        <f t="shared" si="179"/>
        <v/>
      </c>
      <c r="JX96" s="51"/>
      <c r="JY96" s="108" t="str">
        <f t="shared" si="95"/>
        <v/>
      </c>
      <c r="JZ96" s="109" t="str">
        <f t="shared" si="180"/>
        <v/>
      </c>
      <c r="KA96" s="109" t="str">
        <f t="shared" si="96"/>
        <v/>
      </c>
      <c r="KB96" s="110" t="str">
        <f t="shared" si="200"/>
        <v/>
      </c>
      <c r="KC96" s="51"/>
      <c r="KD96" s="108" t="str">
        <f t="shared" si="181"/>
        <v/>
      </c>
      <c r="KE96" s="109" t="str">
        <f t="shared" si="182"/>
        <v/>
      </c>
      <c r="KF96" s="109" t="str">
        <f t="shared" si="97"/>
        <v/>
      </c>
      <c r="KG96" s="110" t="str">
        <f t="shared" si="98"/>
        <v/>
      </c>
    </row>
    <row r="97" spans="1:293" ht="12" customHeight="1">
      <c r="A97" s="105">
        <f t="array" ref="A97">MAX(IF($J$80:J96&gt;0,$C$80:C96,0))</f>
        <v>43535</v>
      </c>
      <c r="B97" s="81">
        <f t="shared" si="4"/>
        <v>17</v>
      </c>
      <c r="C97" s="82">
        <f t="shared" si="5"/>
        <v>44060</v>
      </c>
      <c r="D97" s="83">
        <f t="shared" si="6"/>
        <v>107.81000000000002</v>
      </c>
      <c r="E97" s="83">
        <f t="shared" si="99"/>
        <v>0.11</v>
      </c>
      <c r="F97" s="83">
        <f t="shared" si="7"/>
        <v>101.45000000000002</v>
      </c>
      <c r="G97" s="83">
        <f t="shared" si="8"/>
        <v>6.25</v>
      </c>
      <c r="H97" s="83">
        <f t="shared" si="9"/>
        <v>104.9199999999997</v>
      </c>
      <c r="I97" s="105">
        <f t="array" ref="I97">MAX(IF($R$80:R96&gt;0,$L$80:L96,0))</f>
        <v>0</v>
      </c>
      <c r="J97" s="106"/>
      <c r="K97" s="69" t="str">
        <f t="shared" si="10"/>
        <v/>
      </c>
      <c r="L97" s="82">
        <f t="shared" si="183"/>
        <v>0</v>
      </c>
      <c r="M97" s="83" t="str">
        <f t="shared" si="11"/>
        <v/>
      </c>
      <c r="N97" s="83" t="str">
        <f t="shared" si="12"/>
        <v/>
      </c>
      <c r="O97" s="83" t="str">
        <f t="shared" si="13"/>
        <v/>
      </c>
      <c r="P97" s="83" t="str">
        <f t="shared" si="14"/>
        <v/>
      </c>
      <c r="Q97" s="83" t="str">
        <f t="shared" si="15"/>
        <v/>
      </c>
      <c r="R97" s="106"/>
      <c r="S97" s="66"/>
      <c r="U97" s="85" t="e">
        <f t="shared" si="0"/>
        <v>#NUM!</v>
      </c>
      <c r="V97" s="86" t="e">
        <f t="shared" si="100"/>
        <v>#NUM!</v>
      </c>
      <c r="W97" s="87" t="e">
        <f t="shared" si="16"/>
        <v>#NUM!</v>
      </c>
      <c r="X97" s="87" t="e">
        <f t="shared" si="17"/>
        <v>#NUM!</v>
      </c>
      <c r="Y97" s="87" t="e">
        <f t="shared" si="18"/>
        <v>#NUM!</v>
      </c>
      <c r="Z97" s="88" t="e">
        <f t="shared" si="1"/>
        <v>#NUM!</v>
      </c>
      <c r="AB97" s="89">
        <f t="shared" si="101"/>
        <v>107.81000000000002</v>
      </c>
      <c r="AC97" s="87">
        <f t="shared" si="19"/>
        <v>131.94999999999999</v>
      </c>
      <c r="AD97" s="87" t="str">
        <f t="shared" si="20"/>
        <v/>
      </c>
      <c r="AE97" s="87" t="str">
        <f t="shared" si="21"/>
        <v/>
      </c>
      <c r="AF97" s="86">
        <f t="shared" si="102"/>
        <v>44054</v>
      </c>
      <c r="AG97" s="87">
        <f t="shared" si="2"/>
        <v>1.5</v>
      </c>
      <c r="AH97" s="87">
        <f t="shared" si="103"/>
        <v>0.11</v>
      </c>
      <c r="AI97" s="90"/>
      <c r="AJ97" s="87" t="e">
        <f t="shared" si="22"/>
        <v>#NUM!</v>
      </c>
      <c r="AK97" s="87" t="e">
        <f t="shared" si="104"/>
        <v>#NUM!</v>
      </c>
      <c r="AL97" s="87" t="e">
        <f t="shared" si="105"/>
        <v>#NUM!</v>
      </c>
      <c r="AM97" s="87" t="e">
        <f t="shared" si="106"/>
        <v>#NUM!</v>
      </c>
      <c r="AN97" s="86">
        <f t="shared" si="23"/>
        <v>0</v>
      </c>
      <c r="AO97" s="87">
        <f t="shared" si="24"/>
        <v>0</v>
      </c>
      <c r="AP97" s="88">
        <f t="shared" si="25"/>
        <v>0</v>
      </c>
      <c r="AR97" s="91">
        <f t="shared" si="26"/>
        <v>107.81000000000002</v>
      </c>
      <c r="AS97" s="92">
        <f t="shared" si="27"/>
        <v>131.94999999999999</v>
      </c>
      <c r="AT97" s="87" t="str">
        <f t="shared" si="28"/>
        <v/>
      </c>
      <c r="AU97" s="87" t="str">
        <f t="shared" si="29"/>
        <v/>
      </c>
      <c r="AV97" s="86">
        <f t="shared" si="107"/>
        <v>44054</v>
      </c>
      <c r="AW97" s="87">
        <f t="shared" si="108"/>
        <v>1.5</v>
      </c>
      <c r="AX97" s="87">
        <f t="shared" si="109"/>
        <v>0.11</v>
      </c>
      <c r="AY97" s="93"/>
      <c r="AZ97" s="87">
        <f t="shared" si="201"/>
        <v>0</v>
      </c>
      <c r="BA97" s="87">
        <f t="shared" si="110"/>
        <v>0</v>
      </c>
      <c r="BB97" s="87">
        <f t="shared" si="111"/>
        <v>0</v>
      </c>
      <c r="BC97" s="87">
        <f t="shared" si="184"/>
        <v>0</v>
      </c>
      <c r="BD97" s="86" t="e">
        <f t="shared" si="30"/>
        <v>#NUM!</v>
      </c>
      <c r="BE97" s="87" t="e">
        <f t="shared" si="3"/>
        <v>#NUM!</v>
      </c>
      <c r="BF97" s="88">
        <f t="shared" si="112"/>
        <v>0</v>
      </c>
      <c r="BH97" s="87" t="e">
        <f t="shared" si="31"/>
        <v>#NUM!</v>
      </c>
      <c r="BK97" s="95">
        <v>39832</v>
      </c>
      <c r="BL97" s="96">
        <v>18</v>
      </c>
      <c r="BT97" s="51">
        <v>20000.009999999998</v>
      </c>
      <c r="BU97" s="51">
        <v>30000</v>
      </c>
      <c r="BV97" s="30">
        <v>0.11</v>
      </c>
      <c r="BY97" s="30"/>
      <c r="BZ97" s="30"/>
      <c r="CA97" s="30"/>
      <c r="CB97" s="30"/>
      <c r="CC97" s="30"/>
      <c r="CD97" s="30"/>
      <c r="CE97" s="30"/>
      <c r="CF97" s="107">
        <v>5.0000000000000001E-3</v>
      </c>
      <c r="CG97" s="107">
        <v>6.0000000000000001E-3</v>
      </c>
      <c r="CI97" s="100" t="s">
        <v>271</v>
      </c>
      <c r="CJ97" s="51"/>
      <c r="CK97" s="51"/>
      <c r="CL97" s="41">
        <v>0</v>
      </c>
      <c r="CY97" s="108">
        <f t="shared" si="32"/>
        <v>107.15</v>
      </c>
      <c r="CZ97" s="109">
        <f t="shared" si="33"/>
        <v>100.57000000000001</v>
      </c>
      <c r="DA97" s="109">
        <f t="shared" si="34"/>
        <v>6.58</v>
      </c>
      <c r="DB97" s="110">
        <f t="shared" si="35"/>
        <v>116.69000000000007</v>
      </c>
      <c r="DD97" s="108">
        <f t="shared" si="36"/>
        <v>0.9</v>
      </c>
      <c r="DE97" s="109">
        <f t="shared" si="114"/>
        <v>0.84000000000000008</v>
      </c>
      <c r="DF97" s="109">
        <f t="shared" si="37"/>
        <v>0.06</v>
      </c>
      <c r="DG97" s="110">
        <f t="shared" si="38"/>
        <v>1.0700000000000625</v>
      </c>
      <c r="DI97" s="108">
        <f t="shared" si="115"/>
        <v>107.64000000000001</v>
      </c>
      <c r="DJ97" s="109">
        <f t="shared" si="116"/>
        <v>101.35000000000001</v>
      </c>
      <c r="DK97" s="109">
        <f t="shared" si="39"/>
        <v>6.29</v>
      </c>
      <c r="DL97" s="110">
        <f t="shared" si="40"/>
        <v>106.20000000000006</v>
      </c>
      <c r="DN97" s="108">
        <f t="shared" si="41"/>
        <v>0.1</v>
      </c>
      <c r="DO97" s="109">
        <f t="shared" si="42"/>
        <v>9.0000000000000011E-2</v>
      </c>
      <c r="DP97" s="109">
        <f t="shared" si="43"/>
        <v>0.01</v>
      </c>
      <c r="DQ97" s="110">
        <f t="shared" si="44"/>
        <v>9.0000000000042782E-2</v>
      </c>
      <c r="DS97" s="108">
        <f t="shared" si="117"/>
        <v>107.70000000000002</v>
      </c>
      <c r="DT97" s="109">
        <f t="shared" si="118"/>
        <v>101.45000000000002</v>
      </c>
      <c r="DU97" s="109">
        <f t="shared" si="45"/>
        <v>6.25</v>
      </c>
      <c r="DV97" s="110">
        <f t="shared" si="185"/>
        <v>104.9199999999997</v>
      </c>
      <c r="DX97" s="108">
        <f t="shared" si="46"/>
        <v>0</v>
      </c>
      <c r="DY97" s="109">
        <f t="shared" si="119"/>
        <v>0</v>
      </c>
      <c r="DZ97" s="109">
        <f t="shared" si="47"/>
        <v>0</v>
      </c>
      <c r="EA97" s="110">
        <f t="shared" si="120"/>
        <v>9.9999999996924771E-3</v>
      </c>
      <c r="EC97" s="108">
        <f t="shared" si="121"/>
        <v>107.70000000000002</v>
      </c>
      <c r="ED97" s="109">
        <f t="shared" si="122"/>
        <v>101.45000000000002</v>
      </c>
      <c r="EE97" s="109">
        <f t="shared" si="48"/>
        <v>6.25</v>
      </c>
      <c r="EF97" s="110">
        <f t="shared" si="186"/>
        <v>104.9199999999997</v>
      </c>
      <c r="EH97" s="108">
        <f t="shared" si="49"/>
        <v>0</v>
      </c>
      <c r="EI97" s="109">
        <f t="shared" si="123"/>
        <v>0</v>
      </c>
      <c r="EJ97" s="109">
        <f t="shared" si="50"/>
        <v>0</v>
      </c>
      <c r="EK97" s="110">
        <f t="shared" si="124"/>
        <v>9.9999999996924771E-3</v>
      </c>
      <c r="EM97" s="108">
        <f t="shared" si="125"/>
        <v>107.70000000000002</v>
      </c>
      <c r="EN97" s="109">
        <f t="shared" si="126"/>
        <v>101.45000000000002</v>
      </c>
      <c r="EO97" s="109">
        <f t="shared" si="51"/>
        <v>6.25</v>
      </c>
      <c r="EP97" s="110">
        <f t="shared" si="187"/>
        <v>104.9199999999997</v>
      </c>
      <c r="ER97" s="108">
        <f t="shared" si="52"/>
        <v>0</v>
      </c>
      <c r="ES97" s="109">
        <f t="shared" si="127"/>
        <v>0</v>
      </c>
      <c r="ET97" s="109">
        <f t="shared" si="53"/>
        <v>0</v>
      </c>
      <c r="EU97" s="110">
        <f t="shared" si="128"/>
        <v>9.9999999996924771E-3</v>
      </c>
      <c r="EW97" s="108">
        <f t="shared" si="129"/>
        <v>107.70000000000002</v>
      </c>
      <c r="EX97" s="109">
        <f t="shared" si="130"/>
        <v>101.45000000000002</v>
      </c>
      <c r="EY97" s="109">
        <f t="shared" si="54"/>
        <v>6.25</v>
      </c>
      <c r="EZ97" s="110">
        <f t="shared" si="188"/>
        <v>104.9199999999997</v>
      </c>
      <c r="FB97" s="108">
        <f t="shared" si="55"/>
        <v>0</v>
      </c>
      <c r="FC97" s="109">
        <f t="shared" si="131"/>
        <v>0</v>
      </c>
      <c r="FD97" s="109">
        <f t="shared" si="56"/>
        <v>0</v>
      </c>
      <c r="FE97" s="110">
        <f t="shared" si="132"/>
        <v>9.9999999996924771E-3</v>
      </c>
      <c r="FG97" s="108">
        <f t="shared" si="133"/>
        <v>107.70000000000002</v>
      </c>
      <c r="FH97" s="109">
        <f t="shared" si="134"/>
        <v>101.45000000000002</v>
      </c>
      <c r="FI97" s="109">
        <f t="shared" si="57"/>
        <v>6.25</v>
      </c>
      <c r="FJ97" s="110">
        <f t="shared" si="189"/>
        <v>104.9199999999997</v>
      </c>
      <c r="FL97" s="108">
        <f t="shared" si="58"/>
        <v>0</v>
      </c>
      <c r="FM97" s="109">
        <f t="shared" si="135"/>
        <v>0</v>
      </c>
      <c r="FN97" s="109">
        <f t="shared" si="59"/>
        <v>0</v>
      </c>
      <c r="FO97" s="110">
        <f t="shared" si="136"/>
        <v>9.9999999996924771E-3</v>
      </c>
      <c r="FQ97" s="108">
        <f t="shared" si="137"/>
        <v>107.70000000000002</v>
      </c>
      <c r="FR97" s="109">
        <f t="shared" si="138"/>
        <v>101.45000000000002</v>
      </c>
      <c r="FS97" s="109">
        <f t="shared" si="60"/>
        <v>6.25</v>
      </c>
      <c r="FT97" s="110">
        <f t="shared" si="190"/>
        <v>104.9199999999997</v>
      </c>
      <c r="FV97" s="108">
        <f t="shared" si="61"/>
        <v>0</v>
      </c>
      <c r="FW97" s="109">
        <f t="shared" si="139"/>
        <v>0</v>
      </c>
      <c r="FX97" s="109">
        <f t="shared" si="62"/>
        <v>0</v>
      </c>
      <c r="FY97" s="110">
        <f t="shared" si="140"/>
        <v>9.9999999996924771E-3</v>
      </c>
      <c r="GA97" s="108">
        <f t="shared" si="141"/>
        <v>107.70000000000002</v>
      </c>
      <c r="GB97" s="109">
        <f t="shared" si="142"/>
        <v>101.45000000000002</v>
      </c>
      <c r="GC97" s="109">
        <f t="shared" si="63"/>
        <v>6.25</v>
      </c>
      <c r="GD97" s="110">
        <f t="shared" si="191"/>
        <v>104.9199999999997</v>
      </c>
      <c r="GF97" s="108">
        <f t="shared" si="64"/>
        <v>0</v>
      </c>
      <c r="GG97" s="109">
        <f t="shared" si="143"/>
        <v>0</v>
      </c>
      <c r="GH97" s="109">
        <f t="shared" si="65"/>
        <v>0</v>
      </c>
      <c r="GI97" s="110">
        <f t="shared" si="144"/>
        <v>9.9999999996924771E-3</v>
      </c>
      <c r="GK97" s="108">
        <f t="shared" si="145"/>
        <v>107.70000000000002</v>
      </c>
      <c r="GL97" s="109">
        <f t="shared" si="146"/>
        <v>101.45000000000002</v>
      </c>
      <c r="GM97" s="109">
        <f t="shared" si="147"/>
        <v>6.25</v>
      </c>
      <c r="GN97" s="110">
        <f t="shared" si="192"/>
        <v>104.9199999999997</v>
      </c>
      <c r="GR97" s="108" t="str">
        <f t="shared" si="66"/>
        <v/>
      </c>
      <c r="GS97" s="109" t="str">
        <f t="shared" si="67"/>
        <v/>
      </c>
      <c r="GT97" s="109" t="str">
        <f t="shared" si="68"/>
        <v/>
      </c>
      <c r="GU97" s="110" t="str">
        <f t="shared" si="69"/>
        <v/>
      </c>
      <c r="GV97" s="51"/>
      <c r="GW97" s="108" t="str">
        <f t="shared" si="70"/>
        <v/>
      </c>
      <c r="GX97" s="109" t="str">
        <f t="shared" si="148"/>
        <v/>
      </c>
      <c r="GY97" s="109" t="str">
        <f t="shared" si="71"/>
        <v/>
      </c>
      <c r="GZ97" s="110" t="str">
        <f t="shared" si="72"/>
        <v/>
      </c>
      <c r="HA97" s="51"/>
      <c r="HB97" s="108" t="str">
        <f t="shared" si="149"/>
        <v/>
      </c>
      <c r="HC97" s="109" t="str">
        <f t="shared" si="150"/>
        <v/>
      </c>
      <c r="HD97" s="109" t="str">
        <f t="shared" si="73"/>
        <v/>
      </c>
      <c r="HE97" s="110" t="str">
        <f t="shared" si="151"/>
        <v/>
      </c>
      <c r="HF97" s="51"/>
      <c r="HG97" s="108" t="str">
        <f t="shared" si="74"/>
        <v/>
      </c>
      <c r="HH97" s="109" t="str">
        <f t="shared" si="152"/>
        <v/>
      </c>
      <c r="HI97" s="109" t="str">
        <f t="shared" si="75"/>
        <v/>
      </c>
      <c r="HJ97" s="110" t="str">
        <f t="shared" si="193"/>
        <v/>
      </c>
      <c r="HK97" s="51"/>
      <c r="HL97" s="108" t="str">
        <f t="shared" si="153"/>
        <v/>
      </c>
      <c r="HM97" s="109" t="str">
        <f t="shared" si="154"/>
        <v/>
      </c>
      <c r="HN97" s="109" t="str">
        <f t="shared" si="76"/>
        <v/>
      </c>
      <c r="HO97" s="110" t="str">
        <f t="shared" si="155"/>
        <v/>
      </c>
      <c r="HP97" s="51"/>
      <c r="HQ97" s="108" t="str">
        <f t="shared" si="77"/>
        <v/>
      </c>
      <c r="HR97" s="109" t="str">
        <f t="shared" si="156"/>
        <v/>
      </c>
      <c r="HS97" s="109" t="str">
        <f t="shared" si="78"/>
        <v/>
      </c>
      <c r="HT97" s="110" t="str">
        <f t="shared" si="194"/>
        <v/>
      </c>
      <c r="HU97" s="51"/>
      <c r="HV97" s="108" t="str">
        <f t="shared" si="157"/>
        <v/>
      </c>
      <c r="HW97" s="109" t="str">
        <f t="shared" si="158"/>
        <v/>
      </c>
      <c r="HX97" s="109" t="str">
        <f t="shared" si="79"/>
        <v/>
      </c>
      <c r="HY97" s="110" t="str">
        <f t="shared" si="159"/>
        <v/>
      </c>
      <c r="HZ97" s="51"/>
      <c r="IA97" s="108" t="str">
        <f t="shared" si="80"/>
        <v/>
      </c>
      <c r="IB97" s="109" t="str">
        <f t="shared" si="160"/>
        <v/>
      </c>
      <c r="IC97" s="109" t="str">
        <f t="shared" si="81"/>
        <v/>
      </c>
      <c r="ID97" s="110" t="str">
        <f t="shared" si="195"/>
        <v/>
      </c>
      <c r="IE97" s="51"/>
      <c r="IF97" s="108" t="str">
        <f t="shared" si="161"/>
        <v/>
      </c>
      <c r="IG97" s="109" t="str">
        <f t="shared" si="162"/>
        <v/>
      </c>
      <c r="IH97" s="109" t="str">
        <f t="shared" si="82"/>
        <v/>
      </c>
      <c r="II97" s="110" t="str">
        <f t="shared" si="163"/>
        <v/>
      </c>
      <c r="IJ97" s="51"/>
      <c r="IK97" s="108" t="str">
        <f t="shared" si="83"/>
        <v/>
      </c>
      <c r="IL97" s="109" t="str">
        <f t="shared" si="164"/>
        <v/>
      </c>
      <c r="IM97" s="109" t="str">
        <f t="shared" si="84"/>
        <v/>
      </c>
      <c r="IN97" s="110" t="str">
        <f t="shared" si="196"/>
        <v/>
      </c>
      <c r="IO97" s="51"/>
      <c r="IP97" s="108" t="str">
        <f t="shared" si="165"/>
        <v/>
      </c>
      <c r="IQ97" s="109" t="str">
        <f t="shared" si="166"/>
        <v/>
      </c>
      <c r="IR97" s="109" t="str">
        <f t="shared" si="85"/>
        <v/>
      </c>
      <c r="IS97" s="110" t="str">
        <f t="shared" si="167"/>
        <v/>
      </c>
      <c r="IT97" s="51"/>
      <c r="IU97" s="108" t="str">
        <f t="shared" si="86"/>
        <v/>
      </c>
      <c r="IV97" s="109" t="str">
        <f t="shared" si="168"/>
        <v/>
      </c>
      <c r="IW97" s="109" t="str">
        <f t="shared" si="87"/>
        <v/>
      </c>
      <c r="IX97" s="110" t="str">
        <f t="shared" si="197"/>
        <v/>
      </c>
      <c r="IY97" s="51"/>
      <c r="IZ97" s="108" t="str">
        <f t="shared" si="169"/>
        <v/>
      </c>
      <c r="JA97" s="109" t="str">
        <f t="shared" si="170"/>
        <v/>
      </c>
      <c r="JB97" s="109" t="str">
        <f t="shared" si="88"/>
        <v/>
      </c>
      <c r="JC97" s="110" t="str">
        <f t="shared" si="171"/>
        <v/>
      </c>
      <c r="JD97" s="51"/>
      <c r="JE97" s="108" t="str">
        <f t="shared" si="89"/>
        <v/>
      </c>
      <c r="JF97" s="109" t="str">
        <f t="shared" si="172"/>
        <v/>
      </c>
      <c r="JG97" s="109" t="str">
        <f t="shared" si="90"/>
        <v/>
      </c>
      <c r="JH97" s="110" t="str">
        <f t="shared" si="198"/>
        <v/>
      </c>
      <c r="JI97" s="51"/>
      <c r="JJ97" s="108" t="str">
        <f t="shared" si="173"/>
        <v/>
      </c>
      <c r="JK97" s="109" t="str">
        <f t="shared" si="174"/>
        <v/>
      </c>
      <c r="JL97" s="109" t="str">
        <f t="shared" si="91"/>
        <v/>
      </c>
      <c r="JM97" s="110" t="str">
        <f t="shared" si="175"/>
        <v/>
      </c>
      <c r="JN97" s="51"/>
      <c r="JO97" s="108" t="str">
        <f t="shared" si="92"/>
        <v/>
      </c>
      <c r="JP97" s="109" t="str">
        <f t="shared" si="176"/>
        <v/>
      </c>
      <c r="JQ97" s="109" t="str">
        <f t="shared" si="93"/>
        <v/>
      </c>
      <c r="JR97" s="110" t="str">
        <f t="shared" si="199"/>
        <v/>
      </c>
      <c r="JS97" s="51"/>
      <c r="JT97" s="108" t="str">
        <f t="shared" si="177"/>
        <v/>
      </c>
      <c r="JU97" s="109" t="str">
        <f t="shared" si="178"/>
        <v/>
      </c>
      <c r="JV97" s="109" t="str">
        <f t="shared" si="94"/>
        <v/>
      </c>
      <c r="JW97" s="110" t="str">
        <f t="shared" si="179"/>
        <v/>
      </c>
      <c r="JX97" s="51"/>
      <c r="JY97" s="108" t="str">
        <f t="shared" si="95"/>
        <v/>
      </c>
      <c r="JZ97" s="109" t="str">
        <f t="shared" si="180"/>
        <v/>
      </c>
      <c r="KA97" s="109" t="str">
        <f t="shared" si="96"/>
        <v/>
      </c>
      <c r="KB97" s="110" t="str">
        <f t="shared" si="200"/>
        <v/>
      </c>
      <c r="KC97" s="51"/>
      <c r="KD97" s="108" t="str">
        <f t="shared" si="181"/>
        <v/>
      </c>
      <c r="KE97" s="109" t="str">
        <f t="shared" si="182"/>
        <v/>
      </c>
      <c r="KF97" s="109" t="str">
        <f t="shared" si="97"/>
        <v/>
      </c>
      <c r="KG97" s="110" t="str">
        <f t="shared" si="98"/>
        <v/>
      </c>
    </row>
    <row r="98" spans="1:293" ht="12" customHeight="1">
      <c r="A98" s="105">
        <f t="array" ref="A98">MAX(IF($J$80:J97&gt;0,$C$80:C97,0))</f>
        <v>43535</v>
      </c>
      <c r="B98" s="81">
        <f t="shared" si="4"/>
        <v>18</v>
      </c>
      <c r="C98" s="82">
        <f t="shared" si="5"/>
        <v>44089</v>
      </c>
      <c r="D98" s="83">
        <f t="shared" si="6"/>
        <v>107.75999999999971</v>
      </c>
      <c r="E98" s="83">
        <f t="shared" si="99"/>
        <v>0.05</v>
      </c>
      <c r="F98" s="83">
        <f t="shared" si="7"/>
        <v>104.9199999999997</v>
      </c>
      <c r="G98" s="83">
        <f t="shared" si="8"/>
        <v>2.79</v>
      </c>
      <c r="H98" s="83">
        <f t="shared" si="9"/>
        <v>0</v>
      </c>
      <c r="I98" s="105">
        <f t="array" ref="I98">MAX(IF($R$80:R97&gt;0,$L$80:L97,0))</f>
        <v>0</v>
      </c>
      <c r="J98" s="106"/>
      <c r="K98" s="69" t="str">
        <f t="shared" si="10"/>
        <v/>
      </c>
      <c r="L98" s="82">
        <f t="shared" si="183"/>
        <v>0</v>
      </c>
      <c r="M98" s="83" t="str">
        <f t="shared" si="11"/>
        <v/>
      </c>
      <c r="N98" s="83" t="str">
        <f t="shared" si="12"/>
        <v/>
      </c>
      <c r="O98" s="83" t="str">
        <f t="shared" si="13"/>
        <v/>
      </c>
      <c r="P98" s="83" t="str">
        <f t="shared" si="14"/>
        <v/>
      </c>
      <c r="Q98" s="83" t="str">
        <f t="shared" si="15"/>
        <v/>
      </c>
      <c r="R98" s="106"/>
      <c r="S98" s="66"/>
      <c r="U98" s="85" t="e">
        <f t="shared" si="0"/>
        <v>#NUM!</v>
      </c>
      <c r="V98" s="86" t="e">
        <f t="shared" si="100"/>
        <v>#NUM!</v>
      </c>
      <c r="W98" s="87" t="e">
        <f t="shared" si="16"/>
        <v>#NUM!</v>
      </c>
      <c r="X98" s="87" t="e">
        <f t="shared" si="17"/>
        <v>#NUM!</v>
      </c>
      <c r="Y98" s="87" t="e">
        <f t="shared" si="18"/>
        <v>#NUM!</v>
      </c>
      <c r="Z98" s="88" t="e">
        <f t="shared" si="1"/>
        <v>#NUM!</v>
      </c>
      <c r="AB98" s="89">
        <f t="shared" si="101"/>
        <v>107.75999999999971</v>
      </c>
      <c r="AC98" s="87">
        <f t="shared" si="19"/>
        <v>133.22</v>
      </c>
      <c r="AD98" s="87" t="str">
        <f t="shared" si="20"/>
        <v/>
      </c>
      <c r="AE98" s="87" t="str">
        <f t="shared" si="21"/>
        <v/>
      </c>
      <c r="AF98" s="86">
        <f t="shared" si="102"/>
        <v>44085</v>
      </c>
      <c r="AG98" s="87">
        <f t="shared" si="2"/>
        <v>1.5</v>
      </c>
      <c r="AH98" s="87">
        <f t="shared" si="103"/>
        <v>0.05</v>
      </c>
      <c r="AI98" s="90"/>
      <c r="AJ98" s="87" t="e">
        <f t="shared" si="22"/>
        <v>#NUM!</v>
      </c>
      <c r="AK98" s="87" t="e">
        <f t="shared" si="104"/>
        <v>#NUM!</v>
      </c>
      <c r="AL98" s="87" t="e">
        <f t="shared" si="105"/>
        <v>#NUM!</v>
      </c>
      <c r="AM98" s="87" t="e">
        <f t="shared" si="106"/>
        <v>#NUM!</v>
      </c>
      <c r="AN98" s="86">
        <f t="shared" si="23"/>
        <v>0</v>
      </c>
      <c r="AO98" s="87">
        <f t="shared" si="24"/>
        <v>0</v>
      </c>
      <c r="AP98" s="88">
        <f t="shared" si="25"/>
        <v>0</v>
      </c>
      <c r="AR98" s="91">
        <f t="shared" si="26"/>
        <v>107.75999999999971</v>
      </c>
      <c r="AS98" s="92">
        <f t="shared" si="27"/>
        <v>133.22</v>
      </c>
      <c r="AT98" s="87" t="str">
        <f t="shared" si="28"/>
        <v/>
      </c>
      <c r="AU98" s="87" t="str">
        <f t="shared" si="29"/>
        <v/>
      </c>
      <c r="AV98" s="86">
        <f t="shared" si="107"/>
        <v>44085</v>
      </c>
      <c r="AW98" s="87">
        <f t="shared" si="108"/>
        <v>1.5</v>
      </c>
      <c r="AX98" s="87">
        <f t="shared" si="109"/>
        <v>0.05</v>
      </c>
      <c r="AY98" s="93"/>
      <c r="AZ98" s="87">
        <f t="shared" si="201"/>
        <v>0</v>
      </c>
      <c r="BA98" s="87">
        <f t="shared" si="110"/>
        <v>0</v>
      </c>
      <c r="BB98" s="87">
        <f t="shared" si="111"/>
        <v>0</v>
      </c>
      <c r="BC98" s="87">
        <f t="shared" si="184"/>
        <v>0</v>
      </c>
      <c r="BD98" s="86" t="e">
        <f t="shared" si="30"/>
        <v>#NUM!</v>
      </c>
      <c r="BE98" s="87" t="e">
        <f t="shared" si="3"/>
        <v>#NUM!</v>
      </c>
      <c r="BF98" s="88">
        <f t="shared" si="112"/>
        <v>0</v>
      </c>
      <c r="BH98" s="87" t="e">
        <f t="shared" si="31"/>
        <v>#NUM!</v>
      </c>
      <c r="BK98" s="95">
        <v>39875</v>
      </c>
      <c r="BL98" s="96">
        <v>19</v>
      </c>
      <c r="BT98" s="51">
        <v>30000.01</v>
      </c>
      <c r="BU98" s="51">
        <v>1000000</v>
      </c>
      <c r="BV98" s="30" t="s">
        <v>497</v>
      </c>
      <c r="BY98" s="30"/>
      <c r="BZ98" s="30"/>
      <c r="CA98" s="30"/>
      <c r="CB98" s="30"/>
      <c r="CC98" s="30"/>
      <c r="CD98" s="30"/>
      <c r="CE98" s="30"/>
      <c r="CF98" s="30" t="s">
        <v>497</v>
      </c>
      <c r="CG98" s="30" t="s">
        <v>497</v>
      </c>
      <c r="CI98" s="100" t="s">
        <v>272</v>
      </c>
      <c r="CL98" s="41">
        <v>0</v>
      </c>
      <c r="CY98" s="108">
        <f t="shared" si="32"/>
        <v>107.15</v>
      </c>
      <c r="CZ98" s="109">
        <f t="shared" si="33"/>
        <v>104.04</v>
      </c>
      <c r="DA98" s="109">
        <f t="shared" si="34"/>
        <v>3.11</v>
      </c>
      <c r="DB98" s="110">
        <f t="shared" si="35"/>
        <v>12.650000000000063</v>
      </c>
      <c r="DD98" s="108">
        <f t="shared" si="36"/>
        <v>0.9</v>
      </c>
      <c r="DE98" s="109">
        <f t="shared" si="114"/>
        <v>0.87</v>
      </c>
      <c r="DF98" s="109">
        <f t="shared" si="37"/>
        <v>0.03</v>
      </c>
      <c r="DG98" s="110">
        <f t="shared" si="38"/>
        <v>0.20000000000006246</v>
      </c>
      <c r="DI98" s="108">
        <f t="shared" si="115"/>
        <v>107.64000000000001</v>
      </c>
      <c r="DJ98" s="109">
        <f t="shared" si="116"/>
        <v>104.81000000000002</v>
      </c>
      <c r="DK98" s="109">
        <f t="shared" si="39"/>
        <v>2.83</v>
      </c>
      <c r="DL98" s="110">
        <f t="shared" si="40"/>
        <v>1.3900000000000432</v>
      </c>
      <c r="DN98" s="108">
        <f t="shared" si="41"/>
        <v>0.1</v>
      </c>
      <c r="DO98" s="109">
        <f t="shared" si="42"/>
        <v>0.1</v>
      </c>
      <c r="DP98" s="109">
        <f t="shared" si="43"/>
        <v>0</v>
      </c>
      <c r="DQ98" s="110">
        <f t="shared" si="44"/>
        <v>-9.9999999999572237E-3</v>
      </c>
      <c r="DS98" s="108">
        <f t="shared" si="117"/>
        <v>107.70000000000002</v>
      </c>
      <c r="DT98" s="109">
        <f t="shared" si="118"/>
        <v>104.91000000000001</v>
      </c>
      <c r="DU98" s="109">
        <f t="shared" si="45"/>
        <v>2.79</v>
      </c>
      <c r="DV98" s="110">
        <f t="shared" si="185"/>
        <v>9.9999999996924771E-3</v>
      </c>
      <c r="DX98" s="108">
        <f t="shared" si="46"/>
        <v>0</v>
      </c>
      <c r="DY98" s="109">
        <f t="shared" si="119"/>
        <v>0</v>
      </c>
      <c r="DZ98" s="109">
        <f t="shared" si="47"/>
        <v>0</v>
      </c>
      <c r="EA98" s="110">
        <f t="shared" si="120"/>
        <v>9.9999999996924771E-3</v>
      </c>
      <c r="EC98" s="108">
        <f t="shared" si="121"/>
        <v>107.70000000000002</v>
      </c>
      <c r="ED98" s="109">
        <f t="shared" si="122"/>
        <v>104.91000000000001</v>
      </c>
      <c r="EE98" s="109">
        <f t="shared" si="48"/>
        <v>2.79</v>
      </c>
      <c r="EF98" s="110">
        <f t="shared" si="186"/>
        <v>9.9999999996924771E-3</v>
      </c>
      <c r="EH98" s="108">
        <f t="shared" si="49"/>
        <v>0</v>
      </c>
      <c r="EI98" s="109">
        <f t="shared" si="123"/>
        <v>0</v>
      </c>
      <c r="EJ98" s="109">
        <f t="shared" si="50"/>
        <v>0</v>
      </c>
      <c r="EK98" s="110">
        <f t="shared" si="124"/>
        <v>9.9999999996924771E-3</v>
      </c>
      <c r="EM98" s="108">
        <f t="shared" si="125"/>
        <v>107.70000000000002</v>
      </c>
      <c r="EN98" s="109">
        <f t="shared" si="126"/>
        <v>104.91000000000001</v>
      </c>
      <c r="EO98" s="109">
        <f t="shared" si="51"/>
        <v>2.79</v>
      </c>
      <c r="EP98" s="110">
        <f t="shared" si="187"/>
        <v>9.9999999996924771E-3</v>
      </c>
      <c r="ER98" s="108">
        <f t="shared" si="52"/>
        <v>0</v>
      </c>
      <c r="ES98" s="109">
        <f t="shared" si="127"/>
        <v>0</v>
      </c>
      <c r="ET98" s="109">
        <f t="shared" si="53"/>
        <v>0</v>
      </c>
      <c r="EU98" s="110">
        <f t="shared" si="128"/>
        <v>9.9999999996924771E-3</v>
      </c>
      <c r="EW98" s="108">
        <f t="shared" si="129"/>
        <v>107.70000000000002</v>
      </c>
      <c r="EX98" s="109">
        <f t="shared" si="130"/>
        <v>104.91000000000001</v>
      </c>
      <c r="EY98" s="109">
        <f t="shared" si="54"/>
        <v>2.79</v>
      </c>
      <c r="EZ98" s="110">
        <f t="shared" si="188"/>
        <v>9.9999999996924771E-3</v>
      </c>
      <c r="FB98" s="108">
        <f t="shared" si="55"/>
        <v>0</v>
      </c>
      <c r="FC98" s="109">
        <f t="shared" si="131"/>
        <v>0</v>
      </c>
      <c r="FD98" s="109">
        <f t="shared" si="56"/>
        <v>0</v>
      </c>
      <c r="FE98" s="110">
        <f t="shared" si="132"/>
        <v>9.9999999996924771E-3</v>
      </c>
      <c r="FG98" s="108">
        <f t="shared" si="133"/>
        <v>107.70000000000002</v>
      </c>
      <c r="FH98" s="109">
        <f t="shared" si="134"/>
        <v>104.91000000000001</v>
      </c>
      <c r="FI98" s="109">
        <f t="shared" si="57"/>
        <v>2.79</v>
      </c>
      <c r="FJ98" s="110">
        <f t="shared" si="189"/>
        <v>9.9999999996924771E-3</v>
      </c>
      <c r="FL98" s="108">
        <f t="shared" si="58"/>
        <v>0</v>
      </c>
      <c r="FM98" s="109">
        <f t="shared" si="135"/>
        <v>0</v>
      </c>
      <c r="FN98" s="109">
        <f t="shared" si="59"/>
        <v>0</v>
      </c>
      <c r="FO98" s="110">
        <f t="shared" si="136"/>
        <v>9.9999999996924771E-3</v>
      </c>
      <c r="FQ98" s="108">
        <f t="shared" si="137"/>
        <v>107.70000000000002</v>
      </c>
      <c r="FR98" s="109">
        <f t="shared" si="138"/>
        <v>104.91000000000001</v>
      </c>
      <c r="FS98" s="109">
        <f t="shared" si="60"/>
        <v>2.79</v>
      </c>
      <c r="FT98" s="110">
        <f t="shared" si="190"/>
        <v>9.9999999996924771E-3</v>
      </c>
      <c r="FV98" s="108">
        <f t="shared" si="61"/>
        <v>0</v>
      </c>
      <c r="FW98" s="109">
        <f t="shared" si="139"/>
        <v>0</v>
      </c>
      <c r="FX98" s="109">
        <f t="shared" si="62"/>
        <v>0</v>
      </c>
      <c r="FY98" s="110">
        <f t="shared" si="140"/>
        <v>9.9999999996924771E-3</v>
      </c>
      <c r="GA98" s="108">
        <f t="shared" si="141"/>
        <v>107.70000000000002</v>
      </c>
      <c r="GB98" s="109">
        <f t="shared" si="142"/>
        <v>104.91000000000001</v>
      </c>
      <c r="GC98" s="109">
        <f t="shared" si="63"/>
        <v>2.79</v>
      </c>
      <c r="GD98" s="110">
        <f t="shared" si="191"/>
        <v>9.9999999996924771E-3</v>
      </c>
      <c r="GF98" s="108">
        <f t="shared" si="64"/>
        <v>0</v>
      </c>
      <c r="GG98" s="109">
        <f t="shared" si="143"/>
        <v>0</v>
      </c>
      <c r="GH98" s="109">
        <f t="shared" si="65"/>
        <v>0</v>
      </c>
      <c r="GI98" s="110">
        <f t="shared" si="144"/>
        <v>9.9999999996924771E-3</v>
      </c>
      <c r="GK98" s="108">
        <f t="shared" si="145"/>
        <v>107.70999999999971</v>
      </c>
      <c r="GL98" s="109">
        <f t="shared" si="146"/>
        <v>104.9199999999997</v>
      </c>
      <c r="GM98" s="109">
        <f t="shared" si="147"/>
        <v>2.79</v>
      </c>
      <c r="GN98" s="110">
        <f t="shared" si="192"/>
        <v>0</v>
      </c>
      <c r="GR98" s="108" t="str">
        <f t="shared" si="66"/>
        <v/>
      </c>
      <c r="GS98" s="109" t="str">
        <f t="shared" si="67"/>
        <v/>
      </c>
      <c r="GT98" s="109" t="str">
        <f t="shared" si="68"/>
        <v/>
      </c>
      <c r="GU98" s="110" t="str">
        <f t="shared" si="69"/>
        <v/>
      </c>
      <c r="GV98" s="51"/>
      <c r="GW98" s="108" t="str">
        <f t="shared" si="70"/>
        <v/>
      </c>
      <c r="GX98" s="109" t="str">
        <f t="shared" si="148"/>
        <v/>
      </c>
      <c r="GY98" s="109" t="str">
        <f t="shared" si="71"/>
        <v/>
      </c>
      <c r="GZ98" s="110" t="str">
        <f t="shared" si="72"/>
        <v/>
      </c>
      <c r="HA98" s="51"/>
      <c r="HB98" s="108" t="str">
        <f t="shared" si="149"/>
        <v/>
      </c>
      <c r="HC98" s="109" t="str">
        <f t="shared" si="150"/>
        <v/>
      </c>
      <c r="HD98" s="109" t="str">
        <f t="shared" si="73"/>
        <v/>
      </c>
      <c r="HE98" s="110" t="str">
        <f t="shared" si="151"/>
        <v/>
      </c>
      <c r="HF98" s="51"/>
      <c r="HG98" s="108" t="str">
        <f t="shared" si="74"/>
        <v/>
      </c>
      <c r="HH98" s="109" t="str">
        <f t="shared" si="152"/>
        <v/>
      </c>
      <c r="HI98" s="109" t="str">
        <f t="shared" si="75"/>
        <v/>
      </c>
      <c r="HJ98" s="110" t="str">
        <f t="shared" si="193"/>
        <v/>
      </c>
      <c r="HK98" s="51"/>
      <c r="HL98" s="108" t="str">
        <f t="shared" si="153"/>
        <v/>
      </c>
      <c r="HM98" s="109" t="str">
        <f t="shared" si="154"/>
        <v/>
      </c>
      <c r="HN98" s="109" t="str">
        <f t="shared" si="76"/>
        <v/>
      </c>
      <c r="HO98" s="110" t="str">
        <f t="shared" si="155"/>
        <v/>
      </c>
      <c r="HP98" s="51"/>
      <c r="HQ98" s="108" t="str">
        <f t="shared" si="77"/>
        <v/>
      </c>
      <c r="HR98" s="109" t="str">
        <f t="shared" si="156"/>
        <v/>
      </c>
      <c r="HS98" s="109" t="str">
        <f t="shared" si="78"/>
        <v/>
      </c>
      <c r="HT98" s="110" t="str">
        <f t="shared" si="194"/>
        <v/>
      </c>
      <c r="HU98" s="51"/>
      <c r="HV98" s="108" t="str">
        <f t="shared" si="157"/>
        <v/>
      </c>
      <c r="HW98" s="109" t="str">
        <f t="shared" si="158"/>
        <v/>
      </c>
      <c r="HX98" s="109" t="str">
        <f t="shared" si="79"/>
        <v/>
      </c>
      <c r="HY98" s="110" t="str">
        <f t="shared" si="159"/>
        <v/>
      </c>
      <c r="HZ98" s="51"/>
      <c r="IA98" s="108" t="str">
        <f t="shared" si="80"/>
        <v/>
      </c>
      <c r="IB98" s="109" t="str">
        <f t="shared" si="160"/>
        <v/>
      </c>
      <c r="IC98" s="109" t="str">
        <f t="shared" si="81"/>
        <v/>
      </c>
      <c r="ID98" s="110" t="str">
        <f t="shared" si="195"/>
        <v/>
      </c>
      <c r="IE98" s="51"/>
      <c r="IF98" s="108" t="str">
        <f t="shared" si="161"/>
        <v/>
      </c>
      <c r="IG98" s="109" t="str">
        <f t="shared" si="162"/>
        <v/>
      </c>
      <c r="IH98" s="109" t="str">
        <f t="shared" si="82"/>
        <v/>
      </c>
      <c r="II98" s="110" t="str">
        <f t="shared" si="163"/>
        <v/>
      </c>
      <c r="IJ98" s="51"/>
      <c r="IK98" s="108" t="str">
        <f t="shared" si="83"/>
        <v/>
      </c>
      <c r="IL98" s="109" t="str">
        <f t="shared" si="164"/>
        <v/>
      </c>
      <c r="IM98" s="109" t="str">
        <f t="shared" si="84"/>
        <v/>
      </c>
      <c r="IN98" s="110" t="str">
        <f t="shared" si="196"/>
        <v/>
      </c>
      <c r="IO98" s="51"/>
      <c r="IP98" s="108" t="str">
        <f t="shared" si="165"/>
        <v/>
      </c>
      <c r="IQ98" s="109" t="str">
        <f t="shared" si="166"/>
        <v/>
      </c>
      <c r="IR98" s="109" t="str">
        <f t="shared" si="85"/>
        <v/>
      </c>
      <c r="IS98" s="110" t="str">
        <f t="shared" si="167"/>
        <v/>
      </c>
      <c r="IT98" s="51"/>
      <c r="IU98" s="108" t="str">
        <f t="shared" si="86"/>
        <v/>
      </c>
      <c r="IV98" s="109" t="str">
        <f t="shared" si="168"/>
        <v/>
      </c>
      <c r="IW98" s="109" t="str">
        <f t="shared" si="87"/>
        <v/>
      </c>
      <c r="IX98" s="110" t="str">
        <f t="shared" si="197"/>
        <v/>
      </c>
      <c r="IY98" s="51"/>
      <c r="IZ98" s="108" t="str">
        <f t="shared" si="169"/>
        <v/>
      </c>
      <c r="JA98" s="109" t="str">
        <f t="shared" si="170"/>
        <v/>
      </c>
      <c r="JB98" s="109" t="str">
        <f t="shared" si="88"/>
        <v/>
      </c>
      <c r="JC98" s="110" t="str">
        <f t="shared" si="171"/>
        <v/>
      </c>
      <c r="JD98" s="51"/>
      <c r="JE98" s="108" t="str">
        <f t="shared" si="89"/>
        <v/>
      </c>
      <c r="JF98" s="109" t="str">
        <f t="shared" si="172"/>
        <v/>
      </c>
      <c r="JG98" s="109" t="str">
        <f t="shared" si="90"/>
        <v/>
      </c>
      <c r="JH98" s="110" t="str">
        <f t="shared" si="198"/>
        <v/>
      </c>
      <c r="JI98" s="51"/>
      <c r="JJ98" s="108" t="str">
        <f t="shared" si="173"/>
        <v/>
      </c>
      <c r="JK98" s="109" t="str">
        <f t="shared" si="174"/>
        <v/>
      </c>
      <c r="JL98" s="109" t="str">
        <f t="shared" si="91"/>
        <v/>
      </c>
      <c r="JM98" s="110" t="str">
        <f t="shared" si="175"/>
        <v/>
      </c>
      <c r="JN98" s="51"/>
      <c r="JO98" s="108" t="str">
        <f t="shared" si="92"/>
        <v/>
      </c>
      <c r="JP98" s="109" t="str">
        <f t="shared" si="176"/>
        <v/>
      </c>
      <c r="JQ98" s="109" t="str">
        <f t="shared" si="93"/>
        <v/>
      </c>
      <c r="JR98" s="110" t="str">
        <f t="shared" si="199"/>
        <v/>
      </c>
      <c r="JS98" s="51"/>
      <c r="JT98" s="108" t="str">
        <f t="shared" si="177"/>
        <v/>
      </c>
      <c r="JU98" s="109" t="str">
        <f t="shared" si="178"/>
        <v/>
      </c>
      <c r="JV98" s="109" t="str">
        <f t="shared" si="94"/>
        <v/>
      </c>
      <c r="JW98" s="110" t="str">
        <f t="shared" si="179"/>
        <v/>
      </c>
      <c r="JX98" s="51"/>
      <c r="JY98" s="108" t="str">
        <f t="shared" si="95"/>
        <v/>
      </c>
      <c r="JZ98" s="109" t="str">
        <f t="shared" si="180"/>
        <v/>
      </c>
      <c r="KA98" s="109" t="str">
        <f t="shared" si="96"/>
        <v/>
      </c>
      <c r="KB98" s="110" t="str">
        <f t="shared" si="200"/>
        <v/>
      </c>
      <c r="KC98" s="51"/>
      <c r="KD98" s="108" t="str">
        <f t="shared" si="181"/>
        <v/>
      </c>
      <c r="KE98" s="109" t="str">
        <f t="shared" si="182"/>
        <v/>
      </c>
      <c r="KF98" s="109" t="str">
        <f t="shared" si="97"/>
        <v/>
      </c>
      <c r="KG98" s="110" t="str">
        <f t="shared" si="98"/>
        <v/>
      </c>
    </row>
    <row r="99" spans="1:293" ht="12" customHeight="1">
      <c r="A99" s="105">
        <f t="array" ref="A99">MAX(IF($J$80:J98&gt;0,$C$80:C98,0))</f>
        <v>43535</v>
      </c>
      <c r="B99" s="81" t="str">
        <f t="shared" si="4"/>
        <v/>
      </c>
      <c r="C99" s="82">
        <f t="shared" si="5"/>
        <v>0</v>
      </c>
      <c r="D99" s="83" t="str">
        <f t="shared" si="6"/>
        <v/>
      </c>
      <c r="E99" s="83" t="str">
        <f t="shared" si="99"/>
        <v/>
      </c>
      <c r="F99" s="83" t="str">
        <f t="shared" si="7"/>
        <v/>
      </c>
      <c r="G99" s="83" t="str">
        <f t="shared" si="8"/>
        <v/>
      </c>
      <c r="H99" s="83" t="str">
        <f t="shared" si="9"/>
        <v/>
      </c>
      <c r="I99" s="105">
        <f t="array" ref="I99">MAX(IF($R$80:R98&gt;0,$L$80:L98,0))</f>
        <v>0</v>
      </c>
      <c r="J99" s="106"/>
      <c r="K99" s="69" t="str">
        <f t="shared" si="10"/>
        <v/>
      </c>
      <c r="L99" s="82">
        <f t="shared" si="183"/>
        <v>0</v>
      </c>
      <c r="M99" s="83" t="str">
        <f t="shared" si="11"/>
        <v/>
      </c>
      <c r="N99" s="83" t="str">
        <f t="shared" si="12"/>
        <v/>
      </c>
      <c r="O99" s="83" t="str">
        <f t="shared" si="13"/>
        <v/>
      </c>
      <c r="P99" s="83" t="str">
        <f t="shared" si="14"/>
        <v/>
      </c>
      <c r="Q99" s="83" t="str">
        <f t="shared" si="15"/>
        <v/>
      </c>
      <c r="R99" s="106"/>
      <c r="S99" s="66"/>
      <c r="U99" s="85" t="e">
        <f t="shared" si="0"/>
        <v>#NUM!</v>
      </c>
      <c r="V99" s="86" t="e">
        <f t="shared" si="100"/>
        <v>#NUM!</v>
      </c>
      <c r="W99" s="87" t="e">
        <f t="shared" si="16"/>
        <v>#NUM!</v>
      </c>
      <c r="X99" s="87" t="e">
        <f t="shared" si="17"/>
        <v>#NUM!</v>
      </c>
      <c r="Y99" s="87" t="e">
        <f t="shared" si="18"/>
        <v>#NUM!</v>
      </c>
      <c r="Z99" s="88" t="e">
        <f t="shared" si="1"/>
        <v>#NUM!</v>
      </c>
      <c r="AB99" s="89">
        <f t="shared" si="101"/>
        <v>0</v>
      </c>
      <c r="AC99" s="87">
        <f t="shared" si="19"/>
        <v>0</v>
      </c>
      <c r="AD99" s="87" t="str">
        <f t="shared" si="20"/>
        <v/>
      </c>
      <c r="AE99" s="87" t="str">
        <f t="shared" si="21"/>
        <v/>
      </c>
      <c r="AF99" s="86">
        <f t="shared" si="102"/>
        <v>0</v>
      </c>
      <c r="AG99" s="87">
        <f t="shared" si="2"/>
        <v>0</v>
      </c>
      <c r="AH99" s="87">
        <f t="shared" si="103"/>
        <v>0</v>
      </c>
      <c r="AI99" s="90"/>
      <c r="AJ99" s="87" t="e">
        <f t="shared" si="22"/>
        <v>#NUM!</v>
      </c>
      <c r="AK99" s="87" t="e">
        <f t="shared" si="104"/>
        <v>#NUM!</v>
      </c>
      <c r="AL99" s="87" t="e">
        <f t="shared" si="105"/>
        <v>#NUM!</v>
      </c>
      <c r="AM99" s="87" t="e">
        <f t="shared" si="106"/>
        <v>#NUM!</v>
      </c>
      <c r="AN99" s="86">
        <f t="shared" si="23"/>
        <v>0</v>
      </c>
      <c r="AO99" s="87">
        <f t="shared" si="24"/>
        <v>0</v>
      </c>
      <c r="AP99" s="88">
        <f t="shared" si="25"/>
        <v>0</v>
      </c>
      <c r="AR99" s="91">
        <f t="shared" si="26"/>
        <v>0</v>
      </c>
      <c r="AS99" s="92">
        <f t="shared" si="27"/>
        <v>0</v>
      </c>
      <c r="AT99" s="87" t="str">
        <f t="shared" si="28"/>
        <v/>
      </c>
      <c r="AU99" s="87" t="str">
        <f t="shared" si="29"/>
        <v/>
      </c>
      <c r="AV99" s="86">
        <f t="shared" si="107"/>
        <v>0</v>
      </c>
      <c r="AW99" s="87">
        <f t="shared" si="108"/>
        <v>0</v>
      </c>
      <c r="AX99" s="87">
        <f t="shared" si="109"/>
        <v>0</v>
      </c>
      <c r="AY99" s="93"/>
      <c r="AZ99" s="87">
        <f t="shared" si="201"/>
        <v>0</v>
      </c>
      <c r="BA99" s="87">
        <f t="shared" si="110"/>
        <v>0</v>
      </c>
      <c r="BB99" s="87">
        <f t="shared" si="111"/>
        <v>0</v>
      </c>
      <c r="BC99" s="87">
        <f t="shared" si="184"/>
        <v>0</v>
      </c>
      <c r="BD99" s="86" t="e">
        <f t="shared" si="30"/>
        <v>#NUM!</v>
      </c>
      <c r="BE99" s="87" t="e">
        <f t="shared" si="3"/>
        <v>#NUM!</v>
      </c>
      <c r="BF99" s="88">
        <f t="shared" si="112"/>
        <v>0</v>
      </c>
      <c r="BH99" s="87" t="e">
        <f t="shared" si="31"/>
        <v>#NUM!</v>
      </c>
      <c r="BK99" s="95">
        <v>39880</v>
      </c>
      <c r="BL99" s="96">
        <v>20</v>
      </c>
      <c r="BT99" s="51"/>
      <c r="BU99" s="51"/>
      <c r="BV99" s="30"/>
      <c r="BW99" s="30"/>
      <c r="BX99" s="30"/>
      <c r="BY99" s="30"/>
      <c r="BZ99" s="30"/>
      <c r="CA99" s="30"/>
      <c r="CB99" s="30"/>
      <c r="CC99" s="30"/>
      <c r="CD99" s="30"/>
      <c r="CE99" s="30"/>
      <c r="CF99" s="30"/>
      <c r="CG99" s="30"/>
      <c r="CI99" s="100" t="s">
        <v>273</v>
      </c>
      <c r="CL99" s="51">
        <v>40</v>
      </c>
      <c r="CY99" s="108" t="str">
        <f t="shared" si="32"/>
        <v/>
      </c>
      <c r="CZ99" s="109" t="str">
        <f t="shared" si="33"/>
        <v/>
      </c>
      <c r="DA99" s="109" t="str">
        <f t="shared" si="34"/>
        <v/>
      </c>
      <c r="DB99" s="110" t="str">
        <f t="shared" si="35"/>
        <v/>
      </c>
      <c r="DD99" s="108" t="str">
        <f t="shared" si="36"/>
        <v/>
      </c>
      <c r="DE99" s="109" t="str">
        <f t="shared" si="114"/>
        <v/>
      </c>
      <c r="DF99" s="109" t="str">
        <f t="shared" si="37"/>
        <v/>
      </c>
      <c r="DG99" s="110" t="str">
        <f t="shared" si="38"/>
        <v/>
      </c>
      <c r="DI99" s="108" t="str">
        <f t="shared" si="115"/>
        <v/>
      </c>
      <c r="DJ99" s="109" t="str">
        <f t="shared" si="116"/>
        <v/>
      </c>
      <c r="DK99" s="109" t="str">
        <f t="shared" si="39"/>
        <v/>
      </c>
      <c r="DL99" s="110" t="str">
        <f t="shared" si="40"/>
        <v/>
      </c>
      <c r="DN99" s="108" t="str">
        <f t="shared" si="41"/>
        <v/>
      </c>
      <c r="DO99" s="109" t="str">
        <f t="shared" si="42"/>
        <v/>
      </c>
      <c r="DP99" s="109" t="str">
        <f t="shared" si="43"/>
        <v/>
      </c>
      <c r="DQ99" s="110" t="str">
        <f t="shared" si="44"/>
        <v/>
      </c>
      <c r="DS99" s="108" t="str">
        <f t="shared" si="117"/>
        <v/>
      </c>
      <c r="DT99" s="109" t="str">
        <f t="shared" si="118"/>
        <v/>
      </c>
      <c r="DU99" s="109" t="str">
        <f t="shared" si="45"/>
        <v/>
      </c>
      <c r="DV99" s="110" t="str">
        <f t="shared" si="185"/>
        <v/>
      </c>
      <c r="DX99" s="108" t="str">
        <f t="shared" si="46"/>
        <v/>
      </c>
      <c r="DY99" s="109" t="str">
        <f t="shared" si="119"/>
        <v/>
      </c>
      <c r="DZ99" s="109" t="str">
        <f t="shared" si="47"/>
        <v/>
      </c>
      <c r="EA99" s="110" t="str">
        <f t="shared" si="120"/>
        <v/>
      </c>
      <c r="EC99" s="108" t="str">
        <f t="shared" si="121"/>
        <v/>
      </c>
      <c r="ED99" s="109" t="str">
        <f t="shared" si="122"/>
        <v/>
      </c>
      <c r="EE99" s="109" t="str">
        <f t="shared" si="48"/>
        <v/>
      </c>
      <c r="EF99" s="110" t="str">
        <f t="shared" si="186"/>
        <v/>
      </c>
      <c r="EH99" s="108" t="str">
        <f t="shared" si="49"/>
        <v/>
      </c>
      <c r="EI99" s="109" t="str">
        <f t="shared" si="123"/>
        <v/>
      </c>
      <c r="EJ99" s="109" t="str">
        <f t="shared" si="50"/>
        <v/>
      </c>
      <c r="EK99" s="110" t="str">
        <f t="shared" si="124"/>
        <v/>
      </c>
      <c r="EM99" s="108" t="str">
        <f t="shared" si="125"/>
        <v/>
      </c>
      <c r="EN99" s="109" t="str">
        <f t="shared" si="126"/>
        <v/>
      </c>
      <c r="EO99" s="109" t="str">
        <f t="shared" si="51"/>
        <v/>
      </c>
      <c r="EP99" s="110" t="str">
        <f t="shared" si="187"/>
        <v/>
      </c>
      <c r="ER99" s="108" t="str">
        <f t="shared" si="52"/>
        <v/>
      </c>
      <c r="ES99" s="109" t="str">
        <f t="shared" si="127"/>
        <v/>
      </c>
      <c r="ET99" s="109" t="str">
        <f t="shared" si="53"/>
        <v/>
      </c>
      <c r="EU99" s="110" t="str">
        <f t="shared" si="128"/>
        <v/>
      </c>
      <c r="EW99" s="108" t="str">
        <f t="shared" si="129"/>
        <v/>
      </c>
      <c r="EX99" s="109" t="str">
        <f t="shared" si="130"/>
        <v/>
      </c>
      <c r="EY99" s="109" t="str">
        <f t="shared" si="54"/>
        <v/>
      </c>
      <c r="EZ99" s="110" t="str">
        <f t="shared" si="188"/>
        <v/>
      </c>
      <c r="FB99" s="108" t="str">
        <f t="shared" si="55"/>
        <v/>
      </c>
      <c r="FC99" s="109" t="str">
        <f t="shared" si="131"/>
        <v/>
      </c>
      <c r="FD99" s="109" t="str">
        <f t="shared" si="56"/>
        <v/>
      </c>
      <c r="FE99" s="110" t="str">
        <f t="shared" si="132"/>
        <v/>
      </c>
      <c r="FG99" s="108" t="str">
        <f t="shared" si="133"/>
        <v/>
      </c>
      <c r="FH99" s="109" t="str">
        <f t="shared" si="134"/>
        <v/>
      </c>
      <c r="FI99" s="109" t="str">
        <f t="shared" si="57"/>
        <v/>
      </c>
      <c r="FJ99" s="110" t="str">
        <f t="shared" si="189"/>
        <v/>
      </c>
      <c r="FL99" s="108" t="str">
        <f t="shared" si="58"/>
        <v/>
      </c>
      <c r="FM99" s="109" t="str">
        <f t="shared" si="135"/>
        <v/>
      </c>
      <c r="FN99" s="109" t="str">
        <f t="shared" si="59"/>
        <v/>
      </c>
      <c r="FO99" s="110" t="str">
        <f t="shared" si="136"/>
        <v/>
      </c>
      <c r="FQ99" s="108" t="str">
        <f t="shared" si="137"/>
        <v/>
      </c>
      <c r="FR99" s="109" t="str">
        <f t="shared" si="138"/>
        <v/>
      </c>
      <c r="FS99" s="109" t="str">
        <f t="shared" si="60"/>
        <v/>
      </c>
      <c r="FT99" s="110" t="str">
        <f t="shared" si="190"/>
        <v/>
      </c>
      <c r="FV99" s="108" t="str">
        <f t="shared" si="61"/>
        <v/>
      </c>
      <c r="FW99" s="109" t="str">
        <f t="shared" si="139"/>
        <v/>
      </c>
      <c r="FX99" s="109" t="str">
        <f t="shared" si="62"/>
        <v/>
      </c>
      <c r="FY99" s="110" t="str">
        <f t="shared" si="140"/>
        <v/>
      </c>
      <c r="GA99" s="108" t="str">
        <f t="shared" si="141"/>
        <v/>
      </c>
      <c r="GB99" s="109" t="str">
        <f t="shared" si="142"/>
        <v/>
      </c>
      <c r="GC99" s="109" t="str">
        <f t="shared" si="63"/>
        <v/>
      </c>
      <c r="GD99" s="110" t="str">
        <f t="shared" si="191"/>
        <v/>
      </c>
      <c r="GF99" s="108" t="str">
        <f t="shared" si="64"/>
        <v/>
      </c>
      <c r="GG99" s="109" t="str">
        <f t="shared" si="143"/>
        <v/>
      </c>
      <c r="GH99" s="109" t="str">
        <f t="shared" si="65"/>
        <v/>
      </c>
      <c r="GI99" s="110" t="str">
        <f t="shared" si="144"/>
        <v/>
      </c>
      <c r="GK99" s="108" t="str">
        <f t="shared" si="145"/>
        <v/>
      </c>
      <c r="GL99" s="109" t="str">
        <f t="shared" si="146"/>
        <v/>
      </c>
      <c r="GM99" s="109" t="str">
        <f t="shared" si="147"/>
        <v/>
      </c>
      <c r="GN99" s="110" t="str">
        <f t="shared" si="192"/>
        <v/>
      </c>
      <c r="GR99" s="108" t="str">
        <f t="shared" si="66"/>
        <v/>
      </c>
      <c r="GS99" s="109" t="str">
        <f t="shared" si="67"/>
        <v/>
      </c>
      <c r="GT99" s="109" t="str">
        <f t="shared" si="68"/>
        <v/>
      </c>
      <c r="GU99" s="110" t="str">
        <f t="shared" si="69"/>
        <v/>
      </c>
      <c r="GV99" s="51"/>
      <c r="GW99" s="108" t="str">
        <f t="shared" si="70"/>
        <v/>
      </c>
      <c r="GX99" s="109" t="str">
        <f t="shared" si="148"/>
        <v/>
      </c>
      <c r="GY99" s="109" t="str">
        <f t="shared" si="71"/>
        <v/>
      </c>
      <c r="GZ99" s="110" t="str">
        <f t="shared" si="72"/>
        <v/>
      </c>
      <c r="HA99" s="51"/>
      <c r="HB99" s="108" t="str">
        <f t="shared" si="149"/>
        <v/>
      </c>
      <c r="HC99" s="109" t="str">
        <f t="shared" si="150"/>
        <v/>
      </c>
      <c r="HD99" s="109" t="str">
        <f t="shared" si="73"/>
        <v/>
      </c>
      <c r="HE99" s="110" t="str">
        <f t="shared" si="151"/>
        <v/>
      </c>
      <c r="HF99" s="51"/>
      <c r="HG99" s="108" t="str">
        <f t="shared" si="74"/>
        <v/>
      </c>
      <c r="HH99" s="109" t="str">
        <f t="shared" si="152"/>
        <v/>
      </c>
      <c r="HI99" s="109" t="str">
        <f t="shared" si="75"/>
        <v/>
      </c>
      <c r="HJ99" s="110" t="str">
        <f t="shared" si="193"/>
        <v/>
      </c>
      <c r="HK99" s="51"/>
      <c r="HL99" s="108" t="str">
        <f t="shared" si="153"/>
        <v/>
      </c>
      <c r="HM99" s="109" t="str">
        <f t="shared" si="154"/>
        <v/>
      </c>
      <c r="HN99" s="109" t="str">
        <f t="shared" si="76"/>
        <v/>
      </c>
      <c r="HO99" s="110" t="str">
        <f t="shared" si="155"/>
        <v/>
      </c>
      <c r="HP99" s="51"/>
      <c r="HQ99" s="108" t="str">
        <f t="shared" si="77"/>
        <v/>
      </c>
      <c r="HR99" s="109" t="str">
        <f t="shared" si="156"/>
        <v/>
      </c>
      <c r="HS99" s="109" t="str">
        <f t="shared" si="78"/>
        <v/>
      </c>
      <c r="HT99" s="110" t="str">
        <f t="shared" si="194"/>
        <v/>
      </c>
      <c r="HU99" s="51"/>
      <c r="HV99" s="108" t="str">
        <f t="shared" si="157"/>
        <v/>
      </c>
      <c r="HW99" s="109" t="str">
        <f t="shared" si="158"/>
        <v/>
      </c>
      <c r="HX99" s="109" t="str">
        <f t="shared" si="79"/>
        <v/>
      </c>
      <c r="HY99" s="110" t="str">
        <f t="shared" si="159"/>
        <v/>
      </c>
      <c r="HZ99" s="51"/>
      <c r="IA99" s="108" t="str">
        <f t="shared" si="80"/>
        <v/>
      </c>
      <c r="IB99" s="109" t="str">
        <f t="shared" si="160"/>
        <v/>
      </c>
      <c r="IC99" s="109" t="str">
        <f t="shared" si="81"/>
        <v/>
      </c>
      <c r="ID99" s="110" t="str">
        <f t="shared" si="195"/>
        <v/>
      </c>
      <c r="IE99" s="51"/>
      <c r="IF99" s="108" t="str">
        <f t="shared" si="161"/>
        <v/>
      </c>
      <c r="IG99" s="109" t="str">
        <f t="shared" si="162"/>
        <v/>
      </c>
      <c r="IH99" s="109" t="str">
        <f t="shared" si="82"/>
        <v/>
      </c>
      <c r="II99" s="110" t="str">
        <f t="shared" si="163"/>
        <v/>
      </c>
      <c r="IJ99" s="51"/>
      <c r="IK99" s="108" t="str">
        <f t="shared" si="83"/>
        <v/>
      </c>
      <c r="IL99" s="109" t="str">
        <f t="shared" si="164"/>
        <v/>
      </c>
      <c r="IM99" s="109" t="str">
        <f t="shared" si="84"/>
        <v/>
      </c>
      <c r="IN99" s="110" t="str">
        <f t="shared" si="196"/>
        <v/>
      </c>
      <c r="IO99" s="51"/>
      <c r="IP99" s="108" t="str">
        <f t="shared" si="165"/>
        <v/>
      </c>
      <c r="IQ99" s="109" t="str">
        <f t="shared" si="166"/>
        <v/>
      </c>
      <c r="IR99" s="109" t="str">
        <f t="shared" si="85"/>
        <v/>
      </c>
      <c r="IS99" s="110" t="str">
        <f t="shared" si="167"/>
        <v/>
      </c>
      <c r="IT99" s="51"/>
      <c r="IU99" s="108" t="str">
        <f t="shared" si="86"/>
        <v/>
      </c>
      <c r="IV99" s="109" t="str">
        <f t="shared" si="168"/>
        <v/>
      </c>
      <c r="IW99" s="109" t="str">
        <f t="shared" si="87"/>
        <v/>
      </c>
      <c r="IX99" s="110" t="str">
        <f t="shared" si="197"/>
        <v/>
      </c>
      <c r="IY99" s="51"/>
      <c r="IZ99" s="108" t="str">
        <f t="shared" si="169"/>
        <v/>
      </c>
      <c r="JA99" s="109" t="str">
        <f t="shared" si="170"/>
        <v/>
      </c>
      <c r="JB99" s="109" t="str">
        <f t="shared" si="88"/>
        <v/>
      </c>
      <c r="JC99" s="110" t="str">
        <f t="shared" si="171"/>
        <v/>
      </c>
      <c r="JD99" s="51"/>
      <c r="JE99" s="108" t="str">
        <f t="shared" si="89"/>
        <v/>
      </c>
      <c r="JF99" s="109" t="str">
        <f t="shared" si="172"/>
        <v/>
      </c>
      <c r="JG99" s="109" t="str">
        <f t="shared" si="90"/>
        <v/>
      </c>
      <c r="JH99" s="110" t="str">
        <f t="shared" si="198"/>
        <v/>
      </c>
      <c r="JI99" s="51"/>
      <c r="JJ99" s="108" t="str">
        <f t="shared" si="173"/>
        <v/>
      </c>
      <c r="JK99" s="109" t="str">
        <f t="shared" si="174"/>
        <v/>
      </c>
      <c r="JL99" s="109" t="str">
        <f t="shared" si="91"/>
        <v/>
      </c>
      <c r="JM99" s="110" t="str">
        <f t="shared" si="175"/>
        <v/>
      </c>
      <c r="JN99" s="51"/>
      <c r="JO99" s="108" t="str">
        <f t="shared" si="92"/>
        <v/>
      </c>
      <c r="JP99" s="109" t="str">
        <f t="shared" si="176"/>
        <v/>
      </c>
      <c r="JQ99" s="109" t="str">
        <f t="shared" si="93"/>
        <v/>
      </c>
      <c r="JR99" s="110" t="str">
        <f t="shared" si="199"/>
        <v/>
      </c>
      <c r="JS99" s="51"/>
      <c r="JT99" s="108" t="str">
        <f t="shared" si="177"/>
        <v/>
      </c>
      <c r="JU99" s="109" t="str">
        <f t="shared" si="178"/>
        <v/>
      </c>
      <c r="JV99" s="109" t="str">
        <f t="shared" si="94"/>
        <v/>
      </c>
      <c r="JW99" s="110" t="str">
        <f t="shared" si="179"/>
        <v/>
      </c>
      <c r="JX99" s="51"/>
      <c r="JY99" s="108" t="str">
        <f t="shared" si="95"/>
        <v/>
      </c>
      <c r="JZ99" s="109" t="str">
        <f t="shared" si="180"/>
        <v/>
      </c>
      <c r="KA99" s="109" t="str">
        <f t="shared" si="96"/>
        <v/>
      </c>
      <c r="KB99" s="110" t="str">
        <f t="shared" si="200"/>
        <v/>
      </c>
      <c r="KC99" s="51"/>
      <c r="KD99" s="108" t="str">
        <f t="shared" si="181"/>
        <v/>
      </c>
      <c r="KE99" s="109" t="str">
        <f t="shared" si="182"/>
        <v/>
      </c>
      <c r="KF99" s="109" t="str">
        <f t="shared" si="97"/>
        <v/>
      </c>
      <c r="KG99" s="110" t="str">
        <f t="shared" si="98"/>
        <v/>
      </c>
    </row>
    <row r="100" spans="1:293" ht="12" customHeight="1">
      <c r="A100" s="105">
        <f t="array" ref="A100">MAX(IF($J$80:J99&gt;0,$C$80:C99,0))</f>
        <v>43535</v>
      </c>
      <c r="B100" s="81" t="str">
        <f t="shared" si="4"/>
        <v/>
      </c>
      <c r="C100" s="82">
        <f t="shared" si="5"/>
        <v>0</v>
      </c>
      <c r="D100" s="83" t="str">
        <f t="shared" si="6"/>
        <v/>
      </c>
      <c r="E100" s="83" t="str">
        <f t="shared" si="99"/>
        <v/>
      </c>
      <c r="F100" s="83" t="str">
        <f t="shared" si="7"/>
        <v/>
      </c>
      <c r="G100" s="83" t="str">
        <f t="shared" si="8"/>
        <v/>
      </c>
      <c r="H100" s="83" t="str">
        <f t="shared" si="9"/>
        <v/>
      </c>
      <c r="I100" s="105">
        <f t="array" ref="I100">MAX(IF($R$80:R99&gt;0,$L$80:L99,0))</f>
        <v>0</v>
      </c>
      <c r="J100" s="106"/>
      <c r="K100" s="69" t="str">
        <f t="shared" si="10"/>
        <v/>
      </c>
      <c r="L100" s="82">
        <f t="shared" si="183"/>
        <v>0</v>
      </c>
      <c r="M100" s="83" t="str">
        <f t="shared" si="11"/>
        <v/>
      </c>
      <c r="N100" s="83" t="str">
        <f t="shared" si="12"/>
        <v/>
      </c>
      <c r="O100" s="83" t="str">
        <f t="shared" si="13"/>
        <v/>
      </c>
      <c r="P100" s="83" t="str">
        <f t="shared" si="14"/>
        <v/>
      </c>
      <c r="Q100" s="83" t="str">
        <f t="shared" si="15"/>
        <v/>
      </c>
      <c r="R100" s="106"/>
      <c r="S100" s="66"/>
      <c r="U100" s="85" t="e">
        <f t="shared" si="0"/>
        <v>#NUM!</v>
      </c>
      <c r="V100" s="86" t="e">
        <f t="shared" si="100"/>
        <v>#NUM!</v>
      </c>
      <c r="W100" s="87" t="e">
        <f t="shared" si="16"/>
        <v>#NUM!</v>
      </c>
      <c r="X100" s="87" t="e">
        <f t="shared" si="17"/>
        <v>#NUM!</v>
      </c>
      <c r="Y100" s="87" t="e">
        <f t="shared" si="18"/>
        <v>#NUM!</v>
      </c>
      <c r="Z100" s="88" t="e">
        <f t="shared" si="1"/>
        <v>#NUM!</v>
      </c>
      <c r="AB100" s="89">
        <f t="shared" si="101"/>
        <v>0</v>
      </c>
      <c r="AC100" s="87">
        <f t="shared" si="19"/>
        <v>0</v>
      </c>
      <c r="AD100" s="87" t="str">
        <f t="shared" si="20"/>
        <v/>
      </c>
      <c r="AE100" s="87" t="str">
        <f t="shared" si="21"/>
        <v/>
      </c>
      <c r="AF100" s="86">
        <f t="shared" si="102"/>
        <v>0</v>
      </c>
      <c r="AG100" s="87">
        <f t="shared" si="2"/>
        <v>0</v>
      </c>
      <c r="AH100" s="87">
        <f t="shared" si="103"/>
        <v>0</v>
      </c>
      <c r="AI100" s="90"/>
      <c r="AJ100" s="87" t="e">
        <f t="shared" si="22"/>
        <v>#NUM!</v>
      </c>
      <c r="AK100" s="87" t="e">
        <f t="shared" si="104"/>
        <v>#NUM!</v>
      </c>
      <c r="AL100" s="87" t="e">
        <f t="shared" si="105"/>
        <v>#NUM!</v>
      </c>
      <c r="AM100" s="87" t="e">
        <f t="shared" si="106"/>
        <v>#NUM!</v>
      </c>
      <c r="AN100" s="86">
        <f t="shared" si="23"/>
        <v>0</v>
      </c>
      <c r="AO100" s="87">
        <f t="shared" si="24"/>
        <v>0</v>
      </c>
      <c r="AP100" s="88">
        <f t="shared" si="25"/>
        <v>0</v>
      </c>
      <c r="AR100" s="91">
        <f t="shared" si="26"/>
        <v>0</v>
      </c>
      <c r="AS100" s="92">
        <f t="shared" si="27"/>
        <v>0</v>
      </c>
      <c r="AT100" s="87" t="str">
        <f t="shared" si="28"/>
        <v/>
      </c>
      <c r="AU100" s="87" t="str">
        <f t="shared" si="29"/>
        <v/>
      </c>
      <c r="AV100" s="86">
        <f t="shared" si="107"/>
        <v>0</v>
      </c>
      <c r="AW100" s="87">
        <f t="shared" si="108"/>
        <v>0</v>
      </c>
      <c r="AX100" s="87">
        <f t="shared" si="109"/>
        <v>0</v>
      </c>
      <c r="AY100" s="93"/>
      <c r="AZ100" s="87">
        <f t="shared" si="201"/>
        <v>0</v>
      </c>
      <c r="BA100" s="87">
        <f t="shared" si="110"/>
        <v>0</v>
      </c>
      <c r="BB100" s="87">
        <f t="shared" si="111"/>
        <v>0</v>
      </c>
      <c r="BC100" s="87">
        <f t="shared" si="184"/>
        <v>0</v>
      </c>
      <c r="BD100" s="86" t="e">
        <f t="shared" si="30"/>
        <v>#NUM!</v>
      </c>
      <c r="BE100" s="87" t="e">
        <f t="shared" si="3"/>
        <v>#NUM!</v>
      </c>
      <c r="BF100" s="88">
        <f t="shared" si="112"/>
        <v>0</v>
      </c>
      <c r="BH100" s="87" t="e">
        <f t="shared" si="31"/>
        <v>#NUM!</v>
      </c>
      <c r="BK100" s="95">
        <v>39912</v>
      </c>
      <c r="BL100" s="96">
        <v>21</v>
      </c>
      <c r="BT100" t="s">
        <v>144</v>
      </c>
      <c r="BU100" t="s">
        <v>500</v>
      </c>
      <c r="BW100">
        <v>1</v>
      </c>
      <c r="BX100">
        <v>6</v>
      </c>
      <c r="BY100">
        <v>11</v>
      </c>
      <c r="BZ100">
        <v>15</v>
      </c>
      <c r="CA100">
        <v>24</v>
      </c>
      <c r="CB100">
        <v>36</v>
      </c>
      <c r="CC100">
        <v>48</v>
      </c>
      <c r="CD100">
        <v>60</v>
      </c>
      <c r="CE100">
        <v>61</v>
      </c>
      <c r="CI100" s="100" t="s">
        <v>280</v>
      </c>
      <c r="CL100" s="30">
        <v>3.9E-2</v>
      </c>
      <c r="CM100">
        <v>5.5</v>
      </c>
      <c r="CY100" s="108" t="str">
        <f t="shared" si="32"/>
        <v/>
      </c>
      <c r="CZ100" s="109" t="str">
        <f t="shared" si="33"/>
        <v/>
      </c>
      <c r="DA100" s="109" t="str">
        <f t="shared" si="34"/>
        <v/>
      </c>
      <c r="DB100" s="110" t="str">
        <f t="shared" si="35"/>
        <v/>
      </c>
      <c r="DD100" s="108" t="str">
        <f t="shared" si="36"/>
        <v/>
      </c>
      <c r="DE100" s="109" t="str">
        <f t="shared" si="114"/>
        <v/>
      </c>
      <c r="DF100" s="109" t="str">
        <f t="shared" si="37"/>
        <v/>
      </c>
      <c r="DG100" s="110" t="str">
        <f t="shared" si="38"/>
        <v/>
      </c>
      <c r="DI100" s="108" t="str">
        <f t="shared" si="115"/>
        <v/>
      </c>
      <c r="DJ100" s="109" t="str">
        <f t="shared" si="116"/>
        <v/>
      </c>
      <c r="DK100" s="109" t="str">
        <f t="shared" si="39"/>
        <v/>
      </c>
      <c r="DL100" s="110" t="str">
        <f t="shared" si="40"/>
        <v/>
      </c>
      <c r="DN100" s="108" t="str">
        <f t="shared" si="41"/>
        <v/>
      </c>
      <c r="DO100" s="109" t="str">
        <f t="shared" si="42"/>
        <v/>
      </c>
      <c r="DP100" s="109" t="str">
        <f t="shared" si="43"/>
        <v/>
      </c>
      <c r="DQ100" s="110" t="str">
        <f t="shared" si="44"/>
        <v/>
      </c>
      <c r="DS100" s="108" t="str">
        <f t="shared" si="117"/>
        <v/>
      </c>
      <c r="DT100" s="109" t="str">
        <f t="shared" si="118"/>
        <v/>
      </c>
      <c r="DU100" s="109" t="str">
        <f t="shared" si="45"/>
        <v/>
      </c>
      <c r="DV100" s="110" t="str">
        <f t="shared" si="185"/>
        <v/>
      </c>
      <c r="DX100" s="108" t="str">
        <f t="shared" si="46"/>
        <v/>
      </c>
      <c r="DY100" s="109" t="str">
        <f t="shared" si="119"/>
        <v/>
      </c>
      <c r="DZ100" s="109" t="str">
        <f t="shared" si="47"/>
        <v/>
      </c>
      <c r="EA100" s="110" t="str">
        <f t="shared" si="120"/>
        <v/>
      </c>
      <c r="EC100" s="108" t="str">
        <f t="shared" si="121"/>
        <v/>
      </c>
      <c r="ED100" s="109" t="str">
        <f t="shared" si="122"/>
        <v/>
      </c>
      <c r="EE100" s="109" t="str">
        <f t="shared" si="48"/>
        <v/>
      </c>
      <c r="EF100" s="110" t="str">
        <f t="shared" si="186"/>
        <v/>
      </c>
      <c r="EH100" s="108" t="str">
        <f t="shared" si="49"/>
        <v/>
      </c>
      <c r="EI100" s="109" t="str">
        <f t="shared" si="123"/>
        <v/>
      </c>
      <c r="EJ100" s="109" t="str">
        <f t="shared" si="50"/>
        <v/>
      </c>
      <c r="EK100" s="110" t="str">
        <f t="shared" si="124"/>
        <v/>
      </c>
      <c r="EM100" s="108" t="str">
        <f t="shared" si="125"/>
        <v/>
      </c>
      <c r="EN100" s="109" t="str">
        <f t="shared" si="126"/>
        <v/>
      </c>
      <c r="EO100" s="109" t="str">
        <f t="shared" si="51"/>
        <v/>
      </c>
      <c r="EP100" s="110" t="str">
        <f t="shared" si="187"/>
        <v/>
      </c>
      <c r="ER100" s="108" t="str">
        <f t="shared" si="52"/>
        <v/>
      </c>
      <c r="ES100" s="109" t="str">
        <f t="shared" si="127"/>
        <v/>
      </c>
      <c r="ET100" s="109" t="str">
        <f t="shared" si="53"/>
        <v/>
      </c>
      <c r="EU100" s="110" t="str">
        <f t="shared" si="128"/>
        <v/>
      </c>
      <c r="EW100" s="108" t="str">
        <f t="shared" si="129"/>
        <v/>
      </c>
      <c r="EX100" s="109" t="str">
        <f t="shared" si="130"/>
        <v/>
      </c>
      <c r="EY100" s="109" t="str">
        <f t="shared" si="54"/>
        <v/>
      </c>
      <c r="EZ100" s="110" t="str">
        <f t="shared" si="188"/>
        <v/>
      </c>
      <c r="FB100" s="108" t="str">
        <f t="shared" si="55"/>
        <v/>
      </c>
      <c r="FC100" s="109" t="str">
        <f t="shared" si="131"/>
        <v/>
      </c>
      <c r="FD100" s="109" t="str">
        <f t="shared" si="56"/>
        <v/>
      </c>
      <c r="FE100" s="110" t="str">
        <f t="shared" si="132"/>
        <v/>
      </c>
      <c r="FG100" s="108" t="str">
        <f t="shared" si="133"/>
        <v/>
      </c>
      <c r="FH100" s="109" t="str">
        <f t="shared" si="134"/>
        <v/>
      </c>
      <c r="FI100" s="109" t="str">
        <f t="shared" si="57"/>
        <v/>
      </c>
      <c r="FJ100" s="110" t="str">
        <f t="shared" si="189"/>
        <v/>
      </c>
      <c r="FL100" s="108" t="str">
        <f t="shared" si="58"/>
        <v/>
      </c>
      <c r="FM100" s="109" t="str">
        <f t="shared" si="135"/>
        <v/>
      </c>
      <c r="FN100" s="109" t="str">
        <f t="shared" si="59"/>
        <v/>
      </c>
      <c r="FO100" s="110" t="str">
        <f t="shared" si="136"/>
        <v/>
      </c>
      <c r="FQ100" s="108" t="str">
        <f t="shared" si="137"/>
        <v/>
      </c>
      <c r="FR100" s="109" t="str">
        <f t="shared" si="138"/>
        <v/>
      </c>
      <c r="FS100" s="109" t="str">
        <f t="shared" si="60"/>
        <v/>
      </c>
      <c r="FT100" s="110" t="str">
        <f t="shared" si="190"/>
        <v/>
      </c>
      <c r="FV100" s="108" t="str">
        <f t="shared" si="61"/>
        <v/>
      </c>
      <c r="FW100" s="109" t="str">
        <f t="shared" si="139"/>
        <v/>
      </c>
      <c r="FX100" s="109" t="str">
        <f t="shared" si="62"/>
        <v/>
      </c>
      <c r="FY100" s="110" t="str">
        <f t="shared" si="140"/>
        <v/>
      </c>
      <c r="GA100" s="108" t="str">
        <f t="shared" si="141"/>
        <v/>
      </c>
      <c r="GB100" s="109" t="str">
        <f t="shared" si="142"/>
        <v/>
      </c>
      <c r="GC100" s="109" t="str">
        <f t="shared" si="63"/>
        <v/>
      </c>
      <c r="GD100" s="110" t="str">
        <f t="shared" si="191"/>
        <v/>
      </c>
      <c r="GF100" s="108" t="str">
        <f t="shared" si="64"/>
        <v/>
      </c>
      <c r="GG100" s="109" t="str">
        <f t="shared" si="143"/>
        <v/>
      </c>
      <c r="GH100" s="109" t="str">
        <f t="shared" si="65"/>
        <v/>
      </c>
      <c r="GI100" s="110" t="str">
        <f t="shared" si="144"/>
        <v/>
      </c>
      <c r="GK100" s="108" t="str">
        <f t="shared" si="145"/>
        <v/>
      </c>
      <c r="GL100" s="109" t="str">
        <f t="shared" si="146"/>
        <v/>
      </c>
      <c r="GM100" s="109" t="str">
        <f t="shared" si="147"/>
        <v/>
      </c>
      <c r="GN100" s="110" t="str">
        <f t="shared" si="192"/>
        <v/>
      </c>
      <c r="GR100" s="108" t="str">
        <f t="shared" si="66"/>
        <v/>
      </c>
      <c r="GS100" s="109" t="str">
        <f t="shared" si="67"/>
        <v/>
      </c>
      <c r="GT100" s="109" t="str">
        <f t="shared" si="68"/>
        <v/>
      </c>
      <c r="GU100" s="110" t="str">
        <f t="shared" si="69"/>
        <v/>
      </c>
      <c r="GV100" s="51"/>
      <c r="GW100" s="108" t="str">
        <f t="shared" si="70"/>
        <v/>
      </c>
      <c r="GX100" s="109" t="str">
        <f t="shared" si="148"/>
        <v/>
      </c>
      <c r="GY100" s="109" t="str">
        <f t="shared" si="71"/>
        <v/>
      </c>
      <c r="GZ100" s="110" t="str">
        <f t="shared" si="72"/>
        <v/>
      </c>
      <c r="HA100" s="51"/>
      <c r="HB100" s="108" t="str">
        <f t="shared" si="149"/>
        <v/>
      </c>
      <c r="HC100" s="109" t="str">
        <f t="shared" si="150"/>
        <v/>
      </c>
      <c r="HD100" s="109" t="str">
        <f t="shared" si="73"/>
        <v/>
      </c>
      <c r="HE100" s="110" t="str">
        <f t="shared" si="151"/>
        <v/>
      </c>
      <c r="HF100" s="51"/>
      <c r="HG100" s="108" t="str">
        <f t="shared" si="74"/>
        <v/>
      </c>
      <c r="HH100" s="109" t="str">
        <f t="shared" si="152"/>
        <v/>
      </c>
      <c r="HI100" s="109" t="str">
        <f t="shared" si="75"/>
        <v/>
      </c>
      <c r="HJ100" s="110" t="str">
        <f t="shared" si="193"/>
        <v/>
      </c>
      <c r="HK100" s="51"/>
      <c r="HL100" s="108" t="str">
        <f t="shared" si="153"/>
        <v/>
      </c>
      <c r="HM100" s="109" t="str">
        <f t="shared" si="154"/>
        <v/>
      </c>
      <c r="HN100" s="109" t="str">
        <f t="shared" si="76"/>
        <v/>
      </c>
      <c r="HO100" s="110" t="str">
        <f t="shared" si="155"/>
        <v/>
      </c>
      <c r="HP100" s="51"/>
      <c r="HQ100" s="108" t="str">
        <f t="shared" si="77"/>
        <v/>
      </c>
      <c r="HR100" s="109" t="str">
        <f t="shared" si="156"/>
        <v/>
      </c>
      <c r="HS100" s="109" t="str">
        <f t="shared" si="78"/>
        <v/>
      </c>
      <c r="HT100" s="110" t="str">
        <f t="shared" si="194"/>
        <v/>
      </c>
      <c r="HU100" s="51"/>
      <c r="HV100" s="108" t="str">
        <f t="shared" si="157"/>
        <v/>
      </c>
      <c r="HW100" s="109" t="str">
        <f t="shared" si="158"/>
        <v/>
      </c>
      <c r="HX100" s="109" t="str">
        <f t="shared" si="79"/>
        <v/>
      </c>
      <c r="HY100" s="110" t="str">
        <f t="shared" si="159"/>
        <v/>
      </c>
      <c r="HZ100" s="51"/>
      <c r="IA100" s="108" t="str">
        <f t="shared" si="80"/>
        <v/>
      </c>
      <c r="IB100" s="109" t="str">
        <f t="shared" si="160"/>
        <v/>
      </c>
      <c r="IC100" s="109" t="str">
        <f t="shared" si="81"/>
        <v/>
      </c>
      <c r="ID100" s="110" t="str">
        <f t="shared" si="195"/>
        <v/>
      </c>
      <c r="IE100" s="51"/>
      <c r="IF100" s="108" t="str">
        <f t="shared" si="161"/>
        <v/>
      </c>
      <c r="IG100" s="109" t="str">
        <f t="shared" si="162"/>
        <v/>
      </c>
      <c r="IH100" s="109" t="str">
        <f t="shared" si="82"/>
        <v/>
      </c>
      <c r="II100" s="110" t="str">
        <f t="shared" si="163"/>
        <v/>
      </c>
      <c r="IJ100" s="51"/>
      <c r="IK100" s="108" t="str">
        <f t="shared" si="83"/>
        <v/>
      </c>
      <c r="IL100" s="109" t="str">
        <f t="shared" si="164"/>
        <v/>
      </c>
      <c r="IM100" s="109" t="str">
        <f t="shared" si="84"/>
        <v/>
      </c>
      <c r="IN100" s="110" t="str">
        <f t="shared" si="196"/>
        <v/>
      </c>
      <c r="IO100" s="51"/>
      <c r="IP100" s="108" t="str">
        <f t="shared" si="165"/>
        <v/>
      </c>
      <c r="IQ100" s="109" t="str">
        <f t="shared" si="166"/>
        <v/>
      </c>
      <c r="IR100" s="109" t="str">
        <f t="shared" si="85"/>
        <v/>
      </c>
      <c r="IS100" s="110" t="str">
        <f t="shared" si="167"/>
        <v/>
      </c>
      <c r="IT100" s="51"/>
      <c r="IU100" s="108" t="str">
        <f t="shared" si="86"/>
        <v/>
      </c>
      <c r="IV100" s="109" t="str">
        <f t="shared" si="168"/>
        <v/>
      </c>
      <c r="IW100" s="109" t="str">
        <f t="shared" si="87"/>
        <v/>
      </c>
      <c r="IX100" s="110" t="str">
        <f t="shared" si="197"/>
        <v/>
      </c>
      <c r="IY100" s="51"/>
      <c r="IZ100" s="108" t="str">
        <f t="shared" si="169"/>
        <v/>
      </c>
      <c r="JA100" s="109" t="str">
        <f t="shared" si="170"/>
        <v/>
      </c>
      <c r="JB100" s="109" t="str">
        <f t="shared" si="88"/>
        <v/>
      </c>
      <c r="JC100" s="110" t="str">
        <f t="shared" si="171"/>
        <v/>
      </c>
      <c r="JD100" s="51"/>
      <c r="JE100" s="108" t="str">
        <f t="shared" si="89"/>
        <v/>
      </c>
      <c r="JF100" s="109" t="str">
        <f t="shared" si="172"/>
        <v/>
      </c>
      <c r="JG100" s="109" t="str">
        <f t="shared" si="90"/>
        <v/>
      </c>
      <c r="JH100" s="110" t="str">
        <f t="shared" si="198"/>
        <v/>
      </c>
      <c r="JI100" s="51"/>
      <c r="JJ100" s="108" t="str">
        <f t="shared" si="173"/>
        <v/>
      </c>
      <c r="JK100" s="109" t="str">
        <f t="shared" si="174"/>
        <v/>
      </c>
      <c r="JL100" s="109" t="str">
        <f t="shared" si="91"/>
        <v/>
      </c>
      <c r="JM100" s="110" t="str">
        <f t="shared" si="175"/>
        <v/>
      </c>
      <c r="JN100" s="51"/>
      <c r="JO100" s="108" t="str">
        <f t="shared" si="92"/>
        <v/>
      </c>
      <c r="JP100" s="109" t="str">
        <f t="shared" si="176"/>
        <v/>
      </c>
      <c r="JQ100" s="109" t="str">
        <f t="shared" si="93"/>
        <v/>
      </c>
      <c r="JR100" s="110" t="str">
        <f t="shared" si="199"/>
        <v/>
      </c>
      <c r="JS100" s="51"/>
      <c r="JT100" s="108" t="str">
        <f t="shared" si="177"/>
        <v/>
      </c>
      <c r="JU100" s="109" t="str">
        <f t="shared" si="178"/>
        <v/>
      </c>
      <c r="JV100" s="109" t="str">
        <f t="shared" si="94"/>
        <v/>
      </c>
      <c r="JW100" s="110" t="str">
        <f t="shared" si="179"/>
        <v/>
      </c>
      <c r="JX100" s="51"/>
      <c r="JY100" s="108" t="str">
        <f t="shared" si="95"/>
        <v/>
      </c>
      <c r="JZ100" s="109" t="str">
        <f t="shared" si="180"/>
        <v/>
      </c>
      <c r="KA100" s="109" t="str">
        <f t="shared" si="96"/>
        <v/>
      </c>
      <c r="KB100" s="110" t="str">
        <f t="shared" si="200"/>
        <v/>
      </c>
      <c r="KC100" s="51"/>
      <c r="KD100" s="108" t="str">
        <f t="shared" si="181"/>
        <v/>
      </c>
      <c r="KE100" s="109" t="str">
        <f t="shared" si="182"/>
        <v/>
      </c>
      <c r="KF100" s="109" t="str">
        <f t="shared" si="97"/>
        <v/>
      </c>
      <c r="KG100" s="110" t="str">
        <f t="shared" si="98"/>
        <v/>
      </c>
    </row>
    <row r="101" spans="1:293" ht="12" customHeight="1">
      <c r="A101" s="105">
        <f t="array" ref="A101">MAX(IF($J$80:J100&gt;0,$C$80:C100,0))</f>
        <v>43535</v>
      </c>
      <c r="B101" s="81" t="str">
        <f t="shared" si="4"/>
        <v/>
      </c>
      <c r="C101" s="82">
        <f t="shared" si="5"/>
        <v>0</v>
      </c>
      <c r="D101" s="83" t="str">
        <f t="shared" si="6"/>
        <v/>
      </c>
      <c r="E101" s="83" t="str">
        <f t="shared" si="99"/>
        <v/>
      </c>
      <c r="F101" s="83" t="str">
        <f t="shared" si="7"/>
        <v/>
      </c>
      <c r="G101" s="83" t="str">
        <f t="shared" si="8"/>
        <v/>
      </c>
      <c r="H101" s="83" t="str">
        <f t="shared" si="9"/>
        <v/>
      </c>
      <c r="I101" s="105">
        <f t="array" ref="I101">MAX(IF($R$80:R100&gt;0,$L$80:L100,0))</f>
        <v>0</v>
      </c>
      <c r="J101" s="106"/>
      <c r="K101" s="69" t="str">
        <f t="shared" si="10"/>
        <v/>
      </c>
      <c r="L101" s="82">
        <f t="shared" si="183"/>
        <v>0</v>
      </c>
      <c r="M101" s="83" t="str">
        <f t="shared" si="11"/>
        <v/>
      </c>
      <c r="N101" s="83" t="str">
        <f t="shared" si="12"/>
        <v/>
      </c>
      <c r="O101" s="83" t="str">
        <f t="shared" si="13"/>
        <v/>
      </c>
      <c r="P101" s="83" t="str">
        <f t="shared" si="14"/>
        <v/>
      </c>
      <c r="Q101" s="83" t="str">
        <f t="shared" si="15"/>
        <v/>
      </c>
      <c r="R101" s="106"/>
      <c r="S101" s="66"/>
      <c r="U101" s="85" t="e">
        <f t="shared" si="0"/>
        <v>#NUM!</v>
      </c>
      <c r="V101" s="86" t="e">
        <f t="shared" si="100"/>
        <v>#NUM!</v>
      </c>
      <c r="W101" s="87" t="e">
        <f t="shared" si="16"/>
        <v>#NUM!</v>
      </c>
      <c r="X101" s="87" t="e">
        <f t="shared" si="17"/>
        <v>#NUM!</v>
      </c>
      <c r="Y101" s="87" t="e">
        <f t="shared" si="18"/>
        <v>#NUM!</v>
      </c>
      <c r="Z101" s="88" t="e">
        <f t="shared" si="1"/>
        <v>#NUM!</v>
      </c>
      <c r="AB101" s="89">
        <f t="shared" si="101"/>
        <v>0</v>
      </c>
      <c r="AC101" s="87">
        <f t="shared" si="19"/>
        <v>0</v>
      </c>
      <c r="AD101" s="87" t="str">
        <f t="shared" si="20"/>
        <v/>
      </c>
      <c r="AE101" s="87" t="str">
        <f t="shared" si="21"/>
        <v/>
      </c>
      <c r="AF101" s="86">
        <f t="shared" si="102"/>
        <v>0</v>
      </c>
      <c r="AG101" s="87">
        <f t="shared" si="2"/>
        <v>0</v>
      </c>
      <c r="AH101" s="87">
        <f t="shared" si="103"/>
        <v>0</v>
      </c>
      <c r="AI101" s="90"/>
      <c r="AJ101" s="87" t="e">
        <f t="shared" si="22"/>
        <v>#NUM!</v>
      </c>
      <c r="AK101" s="87" t="e">
        <f t="shared" si="104"/>
        <v>#NUM!</v>
      </c>
      <c r="AL101" s="87" t="e">
        <f t="shared" si="105"/>
        <v>#NUM!</v>
      </c>
      <c r="AM101" s="87" t="e">
        <f t="shared" si="106"/>
        <v>#NUM!</v>
      </c>
      <c r="AN101" s="86">
        <f t="shared" si="23"/>
        <v>0</v>
      </c>
      <c r="AO101" s="87">
        <f t="shared" si="24"/>
        <v>0</v>
      </c>
      <c r="AP101" s="88">
        <f t="shared" si="25"/>
        <v>0</v>
      </c>
      <c r="AR101" s="91">
        <f t="shared" si="26"/>
        <v>0</v>
      </c>
      <c r="AS101" s="92">
        <f t="shared" si="27"/>
        <v>0</v>
      </c>
      <c r="AT101" s="87" t="str">
        <f t="shared" si="28"/>
        <v/>
      </c>
      <c r="AU101" s="87" t="str">
        <f t="shared" si="29"/>
        <v/>
      </c>
      <c r="AV101" s="86">
        <f t="shared" si="107"/>
        <v>0</v>
      </c>
      <c r="AW101" s="87">
        <f t="shared" si="108"/>
        <v>0</v>
      </c>
      <c r="AX101" s="87">
        <f t="shared" si="109"/>
        <v>0</v>
      </c>
      <c r="AY101" s="93"/>
      <c r="AZ101" s="87">
        <f t="shared" si="201"/>
        <v>0</v>
      </c>
      <c r="BA101" s="87">
        <f t="shared" si="110"/>
        <v>0</v>
      </c>
      <c r="BB101" s="87">
        <f t="shared" si="111"/>
        <v>0</v>
      </c>
      <c r="BC101" s="87">
        <f t="shared" si="184"/>
        <v>0</v>
      </c>
      <c r="BD101" s="86" t="e">
        <f t="shared" si="30"/>
        <v>#NUM!</v>
      </c>
      <c r="BE101" s="87" t="e">
        <f t="shared" si="3"/>
        <v>#NUM!</v>
      </c>
      <c r="BF101" s="88">
        <f t="shared" si="112"/>
        <v>0</v>
      </c>
      <c r="BH101" s="87" t="e">
        <f t="shared" si="31"/>
        <v>#NUM!</v>
      </c>
      <c r="BK101" s="95">
        <v>39920</v>
      </c>
      <c r="BL101" s="96">
        <v>22</v>
      </c>
      <c r="BT101" s="51"/>
      <c r="BU101" s="51"/>
      <c r="BV101" s="30"/>
      <c r="BW101">
        <v>5</v>
      </c>
      <c r="BX101">
        <v>10</v>
      </c>
      <c r="BY101">
        <v>14</v>
      </c>
      <c r="BZ101">
        <v>23</v>
      </c>
      <c r="CA101">
        <v>35</v>
      </c>
      <c r="CB101">
        <v>47</v>
      </c>
      <c r="CC101">
        <v>59</v>
      </c>
      <c r="CD101">
        <v>60</v>
      </c>
      <c r="CF101" s="107"/>
      <c r="CG101" s="107"/>
      <c r="CI101" s="100" t="s">
        <v>281</v>
      </c>
      <c r="CL101" s="30">
        <v>3.9E-2</v>
      </c>
      <c r="CM101">
        <v>3.5</v>
      </c>
      <c r="CY101" s="108" t="str">
        <f t="shared" si="32"/>
        <v/>
      </c>
      <c r="CZ101" s="109" t="str">
        <f t="shared" si="33"/>
        <v/>
      </c>
      <c r="DA101" s="109" t="str">
        <f t="shared" si="34"/>
        <v/>
      </c>
      <c r="DB101" s="110" t="str">
        <f t="shared" si="35"/>
        <v/>
      </c>
      <c r="DD101" s="108" t="str">
        <f t="shared" si="36"/>
        <v/>
      </c>
      <c r="DE101" s="109" t="str">
        <f t="shared" si="114"/>
        <v/>
      </c>
      <c r="DF101" s="109" t="str">
        <f t="shared" si="37"/>
        <v/>
      </c>
      <c r="DG101" s="110" t="str">
        <f t="shared" si="38"/>
        <v/>
      </c>
      <c r="DI101" s="108" t="str">
        <f t="shared" si="115"/>
        <v/>
      </c>
      <c r="DJ101" s="109" t="str">
        <f t="shared" si="116"/>
        <v/>
      </c>
      <c r="DK101" s="109" t="str">
        <f t="shared" si="39"/>
        <v/>
      </c>
      <c r="DL101" s="110" t="str">
        <f t="shared" si="40"/>
        <v/>
      </c>
      <c r="DN101" s="108" t="str">
        <f t="shared" si="41"/>
        <v/>
      </c>
      <c r="DO101" s="109" t="str">
        <f t="shared" si="42"/>
        <v/>
      </c>
      <c r="DP101" s="109" t="str">
        <f t="shared" si="43"/>
        <v/>
      </c>
      <c r="DQ101" s="110" t="str">
        <f t="shared" si="44"/>
        <v/>
      </c>
      <c r="DS101" s="108" t="str">
        <f t="shared" si="117"/>
        <v/>
      </c>
      <c r="DT101" s="109" t="str">
        <f t="shared" si="118"/>
        <v/>
      </c>
      <c r="DU101" s="109" t="str">
        <f t="shared" si="45"/>
        <v/>
      </c>
      <c r="DV101" s="110" t="str">
        <f t="shared" si="185"/>
        <v/>
      </c>
      <c r="DX101" s="108" t="str">
        <f t="shared" si="46"/>
        <v/>
      </c>
      <c r="DY101" s="109" t="str">
        <f t="shared" si="119"/>
        <v/>
      </c>
      <c r="DZ101" s="109" t="str">
        <f t="shared" si="47"/>
        <v/>
      </c>
      <c r="EA101" s="110" t="str">
        <f t="shared" si="120"/>
        <v/>
      </c>
      <c r="EC101" s="108" t="str">
        <f t="shared" si="121"/>
        <v/>
      </c>
      <c r="ED101" s="109" t="str">
        <f t="shared" si="122"/>
        <v/>
      </c>
      <c r="EE101" s="109" t="str">
        <f t="shared" si="48"/>
        <v/>
      </c>
      <c r="EF101" s="110" t="str">
        <f t="shared" si="186"/>
        <v/>
      </c>
      <c r="EH101" s="108" t="str">
        <f t="shared" si="49"/>
        <v/>
      </c>
      <c r="EI101" s="109" t="str">
        <f t="shared" si="123"/>
        <v/>
      </c>
      <c r="EJ101" s="109" t="str">
        <f t="shared" si="50"/>
        <v/>
      </c>
      <c r="EK101" s="110" t="str">
        <f t="shared" si="124"/>
        <v/>
      </c>
      <c r="EM101" s="108" t="str">
        <f t="shared" si="125"/>
        <v/>
      </c>
      <c r="EN101" s="109" t="str">
        <f t="shared" si="126"/>
        <v/>
      </c>
      <c r="EO101" s="109" t="str">
        <f t="shared" si="51"/>
        <v/>
      </c>
      <c r="EP101" s="110" t="str">
        <f t="shared" si="187"/>
        <v/>
      </c>
      <c r="ER101" s="108" t="str">
        <f t="shared" si="52"/>
        <v/>
      </c>
      <c r="ES101" s="109" t="str">
        <f t="shared" si="127"/>
        <v/>
      </c>
      <c r="ET101" s="109" t="str">
        <f t="shared" si="53"/>
        <v/>
      </c>
      <c r="EU101" s="110" t="str">
        <f t="shared" si="128"/>
        <v/>
      </c>
      <c r="EW101" s="108" t="str">
        <f t="shared" si="129"/>
        <v/>
      </c>
      <c r="EX101" s="109" t="str">
        <f t="shared" si="130"/>
        <v/>
      </c>
      <c r="EY101" s="109" t="str">
        <f t="shared" si="54"/>
        <v/>
      </c>
      <c r="EZ101" s="110" t="str">
        <f t="shared" si="188"/>
        <v/>
      </c>
      <c r="FB101" s="108" t="str">
        <f t="shared" si="55"/>
        <v/>
      </c>
      <c r="FC101" s="109" t="str">
        <f t="shared" si="131"/>
        <v/>
      </c>
      <c r="FD101" s="109" t="str">
        <f t="shared" si="56"/>
        <v/>
      </c>
      <c r="FE101" s="110" t="str">
        <f t="shared" si="132"/>
        <v/>
      </c>
      <c r="FG101" s="108" t="str">
        <f t="shared" si="133"/>
        <v/>
      </c>
      <c r="FH101" s="109" t="str">
        <f t="shared" si="134"/>
        <v/>
      </c>
      <c r="FI101" s="109" t="str">
        <f t="shared" si="57"/>
        <v/>
      </c>
      <c r="FJ101" s="110" t="str">
        <f t="shared" si="189"/>
        <v/>
      </c>
      <c r="FL101" s="108" t="str">
        <f t="shared" si="58"/>
        <v/>
      </c>
      <c r="FM101" s="109" t="str">
        <f t="shared" si="135"/>
        <v/>
      </c>
      <c r="FN101" s="109" t="str">
        <f t="shared" si="59"/>
        <v/>
      </c>
      <c r="FO101" s="110" t="str">
        <f t="shared" si="136"/>
        <v/>
      </c>
      <c r="FQ101" s="108" t="str">
        <f t="shared" si="137"/>
        <v/>
      </c>
      <c r="FR101" s="109" t="str">
        <f t="shared" si="138"/>
        <v/>
      </c>
      <c r="FS101" s="109" t="str">
        <f t="shared" si="60"/>
        <v/>
      </c>
      <c r="FT101" s="110" t="str">
        <f t="shared" si="190"/>
        <v/>
      </c>
      <c r="FV101" s="108" t="str">
        <f t="shared" si="61"/>
        <v/>
      </c>
      <c r="FW101" s="109" t="str">
        <f t="shared" si="139"/>
        <v/>
      </c>
      <c r="FX101" s="109" t="str">
        <f t="shared" si="62"/>
        <v/>
      </c>
      <c r="FY101" s="110" t="str">
        <f t="shared" si="140"/>
        <v/>
      </c>
      <c r="GA101" s="108" t="str">
        <f t="shared" si="141"/>
        <v/>
      </c>
      <c r="GB101" s="109" t="str">
        <f t="shared" si="142"/>
        <v/>
      </c>
      <c r="GC101" s="109" t="str">
        <f t="shared" si="63"/>
        <v/>
      </c>
      <c r="GD101" s="110" t="str">
        <f t="shared" si="191"/>
        <v/>
      </c>
      <c r="GF101" s="108" t="str">
        <f t="shared" si="64"/>
        <v/>
      </c>
      <c r="GG101" s="109" t="str">
        <f t="shared" si="143"/>
        <v/>
      </c>
      <c r="GH101" s="109" t="str">
        <f t="shared" si="65"/>
        <v/>
      </c>
      <c r="GI101" s="110" t="str">
        <f t="shared" si="144"/>
        <v/>
      </c>
      <c r="GK101" s="108" t="str">
        <f t="shared" si="145"/>
        <v/>
      </c>
      <c r="GL101" s="109" t="str">
        <f t="shared" si="146"/>
        <v/>
      </c>
      <c r="GM101" s="109" t="str">
        <f t="shared" si="147"/>
        <v/>
      </c>
      <c r="GN101" s="110" t="str">
        <f t="shared" si="192"/>
        <v/>
      </c>
      <c r="GR101" s="108" t="str">
        <f t="shared" si="66"/>
        <v/>
      </c>
      <c r="GS101" s="109" t="str">
        <f t="shared" si="67"/>
        <v/>
      </c>
      <c r="GT101" s="109" t="str">
        <f t="shared" si="68"/>
        <v/>
      </c>
      <c r="GU101" s="110" t="str">
        <f t="shared" si="69"/>
        <v/>
      </c>
      <c r="GV101" s="51"/>
      <c r="GW101" s="108" t="str">
        <f t="shared" si="70"/>
        <v/>
      </c>
      <c r="GX101" s="109" t="str">
        <f t="shared" si="148"/>
        <v/>
      </c>
      <c r="GY101" s="109" t="str">
        <f t="shared" si="71"/>
        <v/>
      </c>
      <c r="GZ101" s="110" t="str">
        <f t="shared" si="72"/>
        <v/>
      </c>
      <c r="HA101" s="51"/>
      <c r="HB101" s="108" t="str">
        <f t="shared" si="149"/>
        <v/>
      </c>
      <c r="HC101" s="109" t="str">
        <f t="shared" si="150"/>
        <v/>
      </c>
      <c r="HD101" s="109" t="str">
        <f t="shared" si="73"/>
        <v/>
      </c>
      <c r="HE101" s="110" t="str">
        <f t="shared" si="151"/>
        <v/>
      </c>
      <c r="HF101" s="51"/>
      <c r="HG101" s="108" t="str">
        <f t="shared" si="74"/>
        <v/>
      </c>
      <c r="HH101" s="109" t="str">
        <f t="shared" si="152"/>
        <v/>
      </c>
      <c r="HI101" s="109" t="str">
        <f t="shared" si="75"/>
        <v/>
      </c>
      <c r="HJ101" s="110" t="str">
        <f t="shared" si="193"/>
        <v/>
      </c>
      <c r="HK101" s="51"/>
      <c r="HL101" s="108" t="str">
        <f t="shared" si="153"/>
        <v/>
      </c>
      <c r="HM101" s="109" t="str">
        <f t="shared" si="154"/>
        <v/>
      </c>
      <c r="HN101" s="109" t="str">
        <f t="shared" si="76"/>
        <v/>
      </c>
      <c r="HO101" s="110" t="str">
        <f t="shared" si="155"/>
        <v/>
      </c>
      <c r="HP101" s="51"/>
      <c r="HQ101" s="108" t="str">
        <f t="shared" si="77"/>
        <v/>
      </c>
      <c r="HR101" s="109" t="str">
        <f t="shared" si="156"/>
        <v/>
      </c>
      <c r="HS101" s="109" t="str">
        <f t="shared" si="78"/>
        <v/>
      </c>
      <c r="HT101" s="110" t="str">
        <f t="shared" si="194"/>
        <v/>
      </c>
      <c r="HU101" s="51"/>
      <c r="HV101" s="108" t="str">
        <f t="shared" si="157"/>
        <v/>
      </c>
      <c r="HW101" s="109" t="str">
        <f t="shared" si="158"/>
        <v/>
      </c>
      <c r="HX101" s="109" t="str">
        <f t="shared" si="79"/>
        <v/>
      </c>
      <c r="HY101" s="110" t="str">
        <f t="shared" si="159"/>
        <v/>
      </c>
      <c r="HZ101" s="51"/>
      <c r="IA101" s="108" t="str">
        <f t="shared" si="80"/>
        <v/>
      </c>
      <c r="IB101" s="109" t="str">
        <f t="shared" si="160"/>
        <v/>
      </c>
      <c r="IC101" s="109" t="str">
        <f t="shared" si="81"/>
        <v/>
      </c>
      <c r="ID101" s="110" t="str">
        <f t="shared" si="195"/>
        <v/>
      </c>
      <c r="IE101" s="51"/>
      <c r="IF101" s="108" t="str">
        <f t="shared" si="161"/>
        <v/>
      </c>
      <c r="IG101" s="109" t="str">
        <f t="shared" si="162"/>
        <v/>
      </c>
      <c r="IH101" s="109" t="str">
        <f t="shared" si="82"/>
        <v/>
      </c>
      <c r="II101" s="110" t="str">
        <f t="shared" si="163"/>
        <v/>
      </c>
      <c r="IJ101" s="51"/>
      <c r="IK101" s="108" t="str">
        <f t="shared" si="83"/>
        <v/>
      </c>
      <c r="IL101" s="109" t="str">
        <f t="shared" si="164"/>
        <v/>
      </c>
      <c r="IM101" s="109" t="str">
        <f t="shared" si="84"/>
        <v/>
      </c>
      <c r="IN101" s="110" t="str">
        <f t="shared" si="196"/>
        <v/>
      </c>
      <c r="IO101" s="51"/>
      <c r="IP101" s="108" t="str">
        <f t="shared" si="165"/>
        <v/>
      </c>
      <c r="IQ101" s="109" t="str">
        <f t="shared" si="166"/>
        <v/>
      </c>
      <c r="IR101" s="109" t="str">
        <f t="shared" si="85"/>
        <v/>
      </c>
      <c r="IS101" s="110" t="str">
        <f t="shared" si="167"/>
        <v/>
      </c>
      <c r="IT101" s="51"/>
      <c r="IU101" s="108" t="str">
        <f t="shared" si="86"/>
        <v/>
      </c>
      <c r="IV101" s="109" t="str">
        <f t="shared" si="168"/>
        <v/>
      </c>
      <c r="IW101" s="109" t="str">
        <f t="shared" si="87"/>
        <v/>
      </c>
      <c r="IX101" s="110" t="str">
        <f t="shared" si="197"/>
        <v/>
      </c>
      <c r="IY101" s="51"/>
      <c r="IZ101" s="108" t="str">
        <f t="shared" si="169"/>
        <v/>
      </c>
      <c r="JA101" s="109" t="str">
        <f t="shared" si="170"/>
        <v/>
      </c>
      <c r="JB101" s="109" t="str">
        <f t="shared" si="88"/>
        <v/>
      </c>
      <c r="JC101" s="110" t="str">
        <f t="shared" si="171"/>
        <v/>
      </c>
      <c r="JD101" s="51"/>
      <c r="JE101" s="108" t="str">
        <f t="shared" si="89"/>
        <v/>
      </c>
      <c r="JF101" s="109" t="str">
        <f t="shared" si="172"/>
        <v/>
      </c>
      <c r="JG101" s="109" t="str">
        <f t="shared" si="90"/>
        <v/>
      </c>
      <c r="JH101" s="110" t="str">
        <f t="shared" si="198"/>
        <v/>
      </c>
      <c r="JI101" s="51"/>
      <c r="JJ101" s="108" t="str">
        <f t="shared" si="173"/>
        <v/>
      </c>
      <c r="JK101" s="109" t="str">
        <f t="shared" si="174"/>
        <v/>
      </c>
      <c r="JL101" s="109" t="str">
        <f t="shared" si="91"/>
        <v/>
      </c>
      <c r="JM101" s="110" t="str">
        <f t="shared" si="175"/>
        <v/>
      </c>
      <c r="JN101" s="51"/>
      <c r="JO101" s="108" t="str">
        <f t="shared" si="92"/>
        <v/>
      </c>
      <c r="JP101" s="109" t="str">
        <f t="shared" si="176"/>
        <v/>
      </c>
      <c r="JQ101" s="109" t="str">
        <f t="shared" si="93"/>
        <v/>
      </c>
      <c r="JR101" s="110" t="str">
        <f t="shared" si="199"/>
        <v/>
      </c>
      <c r="JS101" s="51"/>
      <c r="JT101" s="108" t="str">
        <f t="shared" si="177"/>
        <v/>
      </c>
      <c r="JU101" s="109" t="str">
        <f t="shared" si="178"/>
        <v/>
      </c>
      <c r="JV101" s="109" t="str">
        <f t="shared" si="94"/>
        <v/>
      </c>
      <c r="JW101" s="110" t="str">
        <f t="shared" si="179"/>
        <v/>
      </c>
      <c r="JX101" s="51"/>
      <c r="JY101" s="108" t="str">
        <f t="shared" si="95"/>
        <v/>
      </c>
      <c r="JZ101" s="109" t="str">
        <f t="shared" si="180"/>
        <v/>
      </c>
      <c r="KA101" s="109" t="str">
        <f t="shared" si="96"/>
        <v/>
      </c>
      <c r="KB101" s="110" t="str">
        <f t="shared" si="200"/>
        <v/>
      </c>
      <c r="KC101" s="51"/>
      <c r="KD101" s="108" t="str">
        <f t="shared" si="181"/>
        <v/>
      </c>
      <c r="KE101" s="109" t="str">
        <f t="shared" si="182"/>
        <v/>
      </c>
      <c r="KF101" s="109" t="str">
        <f t="shared" si="97"/>
        <v/>
      </c>
      <c r="KG101" s="110" t="str">
        <f t="shared" si="98"/>
        <v/>
      </c>
    </row>
    <row r="102" spans="1:293" ht="12" customHeight="1">
      <c r="A102" s="105">
        <f t="array" ref="A102">MAX(IF($J$80:J101&gt;0,$C$80:C101,0))</f>
        <v>43535</v>
      </c>
      <c r="B102" s="81" t="str">
        <f t="shared" si="4"/>
        <v/>
      </c>
      <c r="C102" s="82">
        <f t="shared" si="5"/>
        <v>0</v>
      </c>
      <c r="D102" s="83" t="str">
        <f t="shared" si="6"/>
        <v/>
      </c>
      <c r="E102" s="83" t="str">
        <f t="shared" si="99"/>
        <v/>
      </c>
      <c r="F102" s="83" t="str">
        <f t="shared" si="7"/>
        <v/>
      </c>
      <c r="G102" s="83" t="str">
        <f t="shared" si="8"/>
        <v/>
      </c>
      <c r="H102" s="83" t="str">
        <f t="shared" si="9"/>
        <v/>
      </c>
      <c r="I102" s="105">
        <f t="array" ref="I102">MAX(IF($R$80:R101&gt;0,$L$80:L101,0))</f>
        <v>0</v>
      </c>
      <c r="J102" s="106"/>
      <c r="K102" s="69" t="str">
        <f t="shared" si="10"/>
        <v/>
      </c>
      <c r="L102" s="82">
        <f t="shared" si="183"/>
        <v>0</v>
      </c>
      <c r="M102" s="83" t="str">
        <f t="shared" si="11"/>
        <v/>
      </c>
      <c r="N102" s="83" t="str">
        <f t="shared" si="12"/>
        <v/>
      </c>
      <c r="O102" s="83" t="str">
        <f t="shared" si="13"/>
        <v/>
      </c>
      <c r="P102" s="83" t="str">
        <f t="shared" si="14"/>
        <v/>
      </c>
      <c r="Q102" s="83" t="str">
        <f t="shared" si="15"/>
        <v/>
      </c>
      <c r="R102" s="106"/>
      <c r="S102" s="66"/>
      <c r="U102" s="85" t="e">
        <f t="shared" si="0"/>
        <v>#NUM!</v>
      </c>
      <c r="V102" s="86" t="e">
        <f t="shared" si="100"/>
        <v>#NUM!</v>
      </c>
      <c r="W102" s="87" t="e">
        <f t="shared" si="16"/>
        <v>#NUM!</v>
      </c>
      <c r="X102" s="87" t="e">
        <f t="shared" si="17"/>
        <v>#NUM!</v>
      </c>
      <c r="Y102" s="87" t="e">
        <f t="shared" si="18"/>
        <v>#NUM!</v>
      </c>
      <c r="Z102" s="88" t="e">
        <f t="shared" si="1"/>
        <v>#NUM!</v>
      </c>
      <c r="AB102" s="89">
        <f t="shared" si="101"/>
        <v>0</v>
      </c>
      <c r="AC102" s="87">
        <f t="shared" si="19"/>
        <v>0</v>
      </c>
      <c r="AD102" s="87" t="str">
        <f t="shared" si="20"/>
        <v/>
      </c>
      <c r="AE102" s="87" t="str">
        <f t="shared" si="21"/>
        <v/>
      </c>
      <c r="AF102" s="86">
        <f t="shared" si="102"/>
        <v>0</v>
      </c>
      <c r="AG102" s="87">
        <f t="shared" si="2"/>
        <v>0</v>
      </c>
      <c r="AH102" s="87">
        <f t="shared" si="103"/>
        <v>0</v>
      </c>
      <c r="AI102" s="90"/>
      <c r="AJ102" s="87" t="e">
        <f t="shared" si="22"/>
        <v>#NUM!</v>
      </c>
      <c r="AK102" s="87" t="e">
        <f t="shared" si="104"/>
        <v>#NUM!</v>
      </c>
      <c r="AL102" s="87" t="e">
        <f t="shared" si="105"/>
        <v>#NUM!</v>
      </c>
      <c r="AM102" s="87" t="e">
        <f t="shared" si="106"/>
        <v>#NUM!</v>
      </c>
      <c r="AN102" s="86">
        <f t="shared" si="23"/>
        <v>0</v>
      </c>
      <c r="AO102" s="87">
        <f t="shared" si="24"/>
        <v>0</v>
      </c>
      <c r="AP102" s="88">
        <f t="shared" si="25"/>
        <v>0</v>
      </c>
      <c r="AR102" s="91">
        <f t="shared" si="26"/>
        <v>0</v>
      </c>
      <c r="AS102" s="92">
        <f t="shared" si="27"/>
        <v>0</v>
      </c>
      <c r="AT102" s="87" t="str">
        <f t="shared" si="28"/>
        <v/>
      </c>
      <c r="AU102" s="87" t="str">
        <f t="shared" si="29"/>
        <v/>
      </c>
      <c r="AV102" s="86">
        <f t="shared" si="107"/>
        <v>0</v>
      </c>
      <c r="AW102" s="87">
        <f t="shared" si="108"/>
        <v>0</v>
      </c>
      <c r="AX102" s="87">
        <f t="shared" si="109"/>
        <v>0</v>
      </c>
      <c r="AY102" s="93"/>
      <c r="AZ102" s="87">
        <f t="shared" si="201"/>
        <v>0</v>
      </c>
      <c r="BA102" s="87">
        <f t="shared" si="110"/>
        <v>0</v>
      </c>
      <c r="BB102" s="87">
        <f t="shared" si="111"/>
        <v>0</v>
      </c>
      <c r="BC102" s="87">
        <f t="shared" si="184"/>
        <v>0</v>
      </c>
      <c r="BD102" s="86" t="e">
        <f t="shared" si="30"/>
        <v>#NUM!</v>
      </c>
      <c r="BE102" s="87" t="e">
        <f t="shared" si="3"/>
        <v>#NUM!</v>
      </c>
      <c r="BF102" s="88">
        <f t="shared" si="112"/>
        <v>0</v>
      </c>
      <c r="BH102" s="87" t="e">
        <f t="shared" si="31"/>
        <v>#NUM!</v>
      </c>
      <c r="BK102" s="95">
        <v>39923</v>
      </c>
      <c r="BL102" s="96">
        <v>23</v>
      </c>
      <c r="BT102" s="51"/>
      <c r="BU102" s="51"/>
      <c r="BV102" s="30"/>
      <c r="BW102" s="107" t="str">
        <f>CONCATENATE(BW100,"&gt;&gt;",BW101)</f>
        <v>1&gt;&gt;5</v>
      </c>
      <c r="BX102" s="107" t="str">
        <f t="shared" ref="BX102:CE102" si="203">CONCATENATE(BX100,"&gt;&gt;",BX101)</f>
        <v>6&gt;&gt;10</v>
      </c>
      <c r="BY102" s="107" t="str">
        <f t="shared" si="203"/>
        <v>11&gt;&gt;14</v>
      </c>
      <c r="BZ102" s="107" t="str">
        <f t="shared" si="203"/>
        <v>15&gt;&gt;23</v>
      </c>
      <c r="CA102" s="107" t="str">
        <f t="shared" si="203"/>
        <v>24&gt;&gt;35</v>
      </c>
      <c r="CB102" s="107" t="str">
        <f t="shared" si="203"/>
        <v>36&gt;&gt;47</v>
      </c>
      <c r="CC102" s="107" t="str">
        <f t="shared" si="203"/>
        <v>48&gt;&gt;59</v>
      </c>
      <c r="CD102" s="107" t="str">
        <f t="shared" si="203"/>
        <v>60&gt;&gt;60</v>
      </c>
      <c r="CE102" s="107" t="str">
        <f t="shared" si="203"/>
        <v>61&gt;&gt;</v>
      </c>
      <c r="CF102" s="107"/>
      <c r="CG102" s="107"/>
      <c r="CI102" s="100" t="s">
        <v>277</v>
      </c>
      <c r="CL102" s="30">
        <v>3.9E-2</v>
      </c>
      <c r="CM102">
        <v>5.5</v>
      </c>
      <c r="CY102" s="108" t="str">
        <f t="shared" si="32"/>
        <v/>
      </c>
      <c r="CZ102" s="109" t="str">
        <f t="shared" si="33"/>
        <v/>
      </c>
      <c r="DA102" s="109" t="str">
        <f t="shared" si="34"/>
        <v/>
      </c>
      <c r="DB102" s="110" t="str">
        <f t="shared" si="35"/>
        <v/>
      </c>
      <c r="DD102" s="108" t="str">
        <f t="shared" si="36"/>
        <v/>
      </c>
      <c r="DE102" s="109" t="str">
        <f t="shared" si="114"/>
        <v/>
      </c>
      <c r="DF102" s="109" t="str">
        <f t="shared" si="37"/>
        <v/>
      </c>
      <c r="DG102" s="110" t="str">
        <f t="shared" si="38"/>
        <v/>
      </c>
      <c r="DI102" s="108" t="str">
        <f t="shared" si="115"/>
        <v/>
      </c>
      <c r="DJ102" s="109" t="str">
        <f t="shared" si="116"/>
        <v/>
      </c>
      <c r="DK102" s="109" t="str">
        <f t="shared" si="39"/>
        <v/>
      </c>
      <c r="DL102" s="110" t="str">
        <f t="shared" si="40"/>
        <v/>
      </c>
      <c r="DN102" s="108" t="str">
        <f t="shared" si="41"/>
        <v/>
      </c>
      <c r="DO102" s="109" t="str">
        <f t="shared" si="42"/>
        <v/>
      </c>
      <c r="DP102" s="109" t="str">
        <f t="shared" si="43"/>
        <v/>
      </c>
      <c r="DQ102" s="110" t="str">
        <f t="shared" si="44"/>
        <v/>
      </c>
      <c r="DS102" s="108" t="str">
        <f t="shared" si="117"/>
        <v/>
      </c>
      <c r="DT102" s="109" t="str">
        <f t="shared" si="118"/>
        <v/>
      </c>
      <c r="DU102" s="109" t="str">
        <f t="shared" si="45"/>
        <v/>
      </c>
      <c r="DV102" s="110" t="str">
        <f t="shared" si="185"/>
        <v/>
      </c>
      <c r="DX102" s="108" t="str">
        <f t="shared" si="46"/>
        <v/>
      </c>
      <c r="DY102" s="109" t="str">
        <f t="shared" si="119"/>
        <v/>
      </c>
      <c r="DZ102" s="109" t="str">
        <f t="shared" si="47"/>
        <v/>
      </c>
      <c r="EA102" s="110" t="str">
        <f t="shared" si="120"/>
        <v/>
      </c>
      <c r="EC102" s="108" t="str">
        <f t="shared" si="121"/>
        <v/>
      </c>
      <c r="ED102" s="109" t="str">
        <f t="shared" si="122"/>
        <v/>
      </c>
      <c r="EE102" s="109" t="str">
        <f t="shared" si="48"/>
        <v/>
      </c>
      <c r="EF102" s="110" t="str">
        <f t="shared" si="186"/>
        <v/>
      </c>
      <c r="EH102" s="108" t="str">
        <f t="shared" si="49"/>
        <v/>
      </c>
      <c r="EI102" s="109" t="str">
        <f t="shared" si="123"/>
        <v/>
      </c>
      <c r="EJ102" s="109" t="str">
        <f t="shared" si="50"/>
        <v/>
      </c>
      <c r="EK102" s="110" t="str">
        <f t="shared" si="124"/>
        <v/>
      </c>
      <c r="EM102" s="108" t="str">
        <f t="shared" si="125"/>
        <v/>
      </c>
      <c r="EN102" s="109" t="str">
        <f t="shared" si="126"/>
        <v/>
      </c>
      <c r="EO102" s="109" t="str">
        <f t="shared" si="51"/>
        <v/>
      </c>
      <c r="EP102" s="110" t="str">
        <f t="shared" si="187"/>
        <v/>
      </c>
      <c r="ER102" s="108" t="str">
        <f t="shared" si="52"/>
        <v/>
      </c>
      <c r="ES102" s="109" t="str">
        <f t="shared" si="127"/>
        <v/>
      </c>
      <c r="ET102" s="109" t="str">
        <f t="shared" si="53"/>
        <v/>
      </c>
      <c r="EU102" s="110" t="str">
        <f t="shared" si="128"/>
        <v/>
      </c>
      <c r="EW102" s="108" t="str">
        <f t="shared" si="129"/>
        <v/>
      </c>
      <c r="EX102" s="109" t="str">
        <f t="shared" si="130"/>
        <v/>
      </c>
      <c r="EY102" s="109" t="str">
        <f t="shared" si="54"/>
        <v/>
      </c>
      <c r="EZ102" s="110" t="str">
        <f t="shared" si="188"/>
        <v/>
      </c>
      <c r="FB102" s="108" t="str">
        <f t="shared" si="55"/>
        <v/>
      </c>
      <c r="FC102" s="109" t="str">
        <f t="shared" si="131"/>
        <v/>
      </c>
      <c r="FD102" s="109" t="str">
        <f t="shared" si="56"/>
        <v/>
      </c>
      <c r="FE102" s="110" t="str">
        <f t="shared" si="132"/>
        <v/>
      </c>
      <c r="FG102" s="108" t="str">
        <f t="shared" si="133"/>
        <v/>
      </c>
      <c r="FH102" s="109" t="str">
        <f t="shared" si="134"/>
        <v/>
      </c>
      <c r="FI102" s="109" t="str">
        <f t="shared" si="57"/>
        <v/>
      </c>
      <c r="FJ102" s="110" t="str">
        <f t="shared" si="189"/>
        <v/>
      </c>
      <c r="FL102" s="108" t="str">
        <f t="shared" si="58"/>
        <v/>
      </c>
      <c r="FM102" s="109" t="str">
        <f t="shared" si="135"/>
        <v/>
      </c>
      <c r="FN102" s="109" t="str">
        <f t="shared" si="59"/>
        <v/>
      </c>
      <c r="FO102" s="110" t="str">
        <f t="shared" si="136"/>
        <v/>
      </c>
      <c r="FQ102" s="108" t="str">
        <f t="shared" si="137"/>
        <v/>
      </c>
      <c r="FR102" s="109" t="str">
        <f t="shared" si="138"/>
        <v/>
      </c>
      <c r="FS102" s="109" t="str">
        <f t="shared" si="60"/>
        <v/>
      </c>
      <c r="FT102" s="110" t="str">
        <f t="shared" si="190"/>
        <v/>
      </c>
      <c r="FV102" s="108" t="str">
        <f t="shared" si="61"/>
        <v/>
      </c>
      <c r="FW102" s="109" t="str">
        <f t="shared" si="139"/>
        <v/>
      </c>
      <c r="FX102" s="109" t="str">
        <f t="shared" si="62"/>
        <v/>
      </c>
      <c r="FY102" s="110" t="str">
        <f t="shared" si="140"/>
        <v/>
      </c>
      <c r="GA102" s="108" t="str">
        <f t="shared" si="141"/>
        <v/>
      </c>
      <c r="GB102" s="109" t="str">
        <f t="shared" si="142"/>
        <v/>
      </c>
      <c r="GC102" s="109" t="str">
        <f t="shared" si="63"/>
        <v/>
      </c>
      <c r="GD102" s="110" t="str">
        <f t="shared" si="191"/>
        <v/>
      </c>
      <c r="GF102" s="108" t="str">
        <f t="shared" si="64"/>
        <v/>
      </c>
      <c r="GG102" s="109" t="str">
        <f t="shared" si="143"/>
        <v/>
      </c>
      <c r="GH102" s="109" t="str">
        <f t="shared" si="65"/>
        <v/>
      </c>
      <c r="GI102" s="110" t="str">
        <f t="shared" si="144"/>
        <v/>
      </c>
      <c r="GK102" s="108" t="str">
        <f t="shared" si="145"/>
        <v/>
      </c>
      <c r="GL102" s="109" t="str">
        <f t="shared" si="146"/>
        <v/>
      </c>
      <c r="GM102" s="109" t="str">
        <f t="shared" si="147"/>
        <v/>
      </c>
      <c r="GN102" s="110" t="str">
        <f t="shared" si="192"/>
        <v/>
      </c>
      <c r="GR102" s="108" t="str">
        <f t="shared" si="66"/>
        <v/>
      </c>
      <c r="GS102" s="109" t="str">
        <f t="shared" si="67"/>
        <v/>
      </c>
      <c r="GT102" s="109" t="str">
        <f t="shared" si="68"/>
        <v/>
      </c>
      <c r="GU102" s="110" t="str">
        <f t="shared" si="69"/>
        <v/>
      </c>
      <c r="GV102" s="51"/>
      <c r="GW102" s="108" t="str">
        <f t="shared" si="70"/>
        <v/>
      </c>
      <c r="GX102" s="109" t="str">
        <f t="shared" si="148"/>
        <v/>
      </c>
      <c r="GY102" s="109" t="str">
        <f t="shared" si="71"/>
        <v/>
      </c>
      <c r="GZ102" s="110" t="str">
        <f t="shared" si="72"/>
        <v/>
      </c>
      <c r="HA102" s="51"/>
      <c r="HB102" s="108" t="str">
        <f t="shared" si="149"/>
        <v/>
      </c>
      <c r="HC102" s="109" t="str">
        <f t="shared" si="150"/>
        <v/>
      </c>
      <c r="HD102" s="109" t="str">
        <f t="shared" si="73"/>
        <v/>
      </c>
      <c r="HE102" s="110" t="str">
        <f t="shared" si="151"/>
        <v/>
      </c>
      <c r="HF102" s="51"/>
      <c r="HG102" s="108" t="str">
        <f t="shared" si="74"/>
        <v/>
      </c>
      <c r="HH102" s="109" t="str">
        <f t="shared" si="152"/>
        <v/>
      </c>
      <c r="HI102" s="109" t="str">
        <f t="shared" si="75"/>
        <v/>
      </c>
      <c r="HJ102" s="110" t="str">
        <f t="shared" si="193"/>
        <v/>
      </c>
      <c r="HK102" s="51"/>
      <c r="HL102" s="108" t="str">
        <f t="shared" si="153"/>
        <v/>
      </c>
      <c r="HM102" s="109" t="str">
        <f t="shared" si="154"/>
        <v/>
      </c>
      <c r="HN102" s="109" t="str">
        <f t="shared" si="76"/>
        <v/>
      </c>
      <c r="HO102" s="110" t="str">
        <f t="shared" si="155"/>
        <v/>
      </c>
      <c r="HP102" s="51"/>
      <c r="HQ102" s="108" t="str">
        <f t="shared" si="77"/>
        <v/>
      </c>
      <c r="HR102" s="109" t="str">
        <f t="shared" si="156"/>
        <v/>
      </c>
      <c r="HS102" s="109" t="str">
        <f t="shared" si="78"/>
        <v/>
      </c>
      <c r="HT102" s="110" t="str">
        <f t="shared" si="194"/>
        <v/>
      </c>
      <c r="HU102" s="51"/>
      <c r="HV102" s="108" t="str">
        <f t="shared" si="157"/>
        <v/>
      </c>
      <c r="HW102" s="109" t="str">
        <f t="shared" si="158"/>
        <v/>
      </c>
      <c r="HX102" s="109" t="str">
        <f t="shared" si="79"/>
        <v/>
      </c>
      <c r="HY102" s="110" t="str">
        <f t="shared" si="159"/>
        <v/>
      </c>
      <c r="HZ102" s="51"/>
      <c r="IA102" s="108" t="str">
        <f t="shared" si="80"/>
        <v/>
      </c>
      <c r="IB102" s="109" t="str">
        <f t="shared" si="160"/>
        <v/>
      </c>
      <c r="IC102" s="109" t="str">
        <f t="shared" si="81"/>
        <v/>
      </c>
      <c r="ID102" s="110" t="str">
        <f t="shared" si="195"/>
        <v/>
      </c>
      <c r="IE102" s="51"/>
      <c r="IF102" s="108" t="str">
        <f t="shared" si="161"/>
        <v/>
      </c>
      <c r="IG102" s="109" t="str">
        <f t="shared" si="162"/>
        <v/>
      </c>
      <c r="IH102" s="109" t="str">
        <f t="shared" si="82"/>
        <v/>
      </c>
      <c r="II102" s="110" t="str">
        <f t="shared" si="163"/>
        <v/>
      </c>
      <c r="IJ102" s="51"/>
      <c r="IK102" s="108" t="str">
        <f t="shared" si="83"/>
        <v/>
      </c>
      <c r="IL102" s="109" t="str">
        <f t="shared" si="164"/>
        <v/>
      </c>
      <c r="IM102" s="109" t="str">
        <f t="shared" si="84"/>
        <v/>
      </c>
      <c r="IN102" s="110" t="str">
        <f t="shared" si="196"/>
        <v/>
      </c>
      <c r="IO102" s="51"/>
      <c r="IP102" s="108" t="str">
        <f t="shared" si="165"/>
        <v/>
      </c>
      <c r="IQ102" s="109" t="str">
        <f t="shared" si="166"/>
        <v/>
      </c>
      <c r="IR102" s="109" t="str">
        <f t="shared" si="85"/>
        <v/>
      </c>
      <c r="IS102" s="110" t="str">
        <f t="shared" si="167"/>
        <v/>
      </c>
      <c r="IT102" s="51"/>
      <c r="IU102" s="108" t="str">
        <f t="shared" si="86"/>
        <v/>
      </c>
      <c r="IV102" s="109" t="str">
        <f t="shared" si="168"/>
        <v/>
      </c>
      <c r="IW102" s="109" t="str">
        <f t="shared" si="87"/>
        <v/>
      </c>
      <c r="IX102" s="110" t="str">
        <f t="shared" si="197"/>
        <v/>
      </c>
      <c r="IY102" s="51"/>
      <c r="IZ102" s="108" t="str">
        <f t="shared" si="169"/>
        <v/>
      </c>
      <c r="JA102" s="109" t="str">
        <f t="shared" si="170"/>
        <v/>
      </c>
      <c r="JB102" s="109" t="str">
        <f t="shared" si="88"/>
        <v/>
      </c>
      <c r="JC102" s="110" t="str">
        <f t="shared" si="171"/>
        <v/>
      </c>
      <c r="JD102" s="51"/>
      <c r="JE102" s="108" t="str">
        <f t="shared" si="89"/>
        <v/>
      </c>
      <c r="JF102" s="109" t="str">
        <f t="shared" si="172"/>
        <v/>
      </c>
      <c r="JG102" s="109" t="str">
        <f t="shared" si="90"/>
        <v/>
      </c>
      <c r="JH102" s="110" t="str">
        <f t="shared" si="198"/>
        <v/>
      </c>
      <c r="JI102" s="51"/>
      <c r="JJ102" s="108" t="str">
        <f t="shared" si="173"/>
        <v/>
      </c>
      <c r="JK102" s="109" t="str">
        <f t="shared" si="174"/>
        <v/>
      </c>
      <c r="JL102" s="109" t="str">
        <f t="shared" si="91"/>
        <v/>
      </c>
      <c r="JM102" s="110" t="str">
        <f t="shared" si="175"/>
        <v/>
      </c>
      <c r="JN102" s="51"/>
      <c r="JO102" s="108" t="str">
        <f t="shared" si="92"/>
        <v/>
      </c>
      <c r="JP102" s="109" t="str">
        <f t="shared" si="176"/>
        <v/>
      </c>
      <c r="JQ102" s="109" t="str">
        <f t="shared" si="93"/>
        <v/>
      </c>
      <c r="JR102" s="110" t="str">
        <f t="shared" si="199"/>
        <v/>
      </c>
      <c r="JS102" s="51"/>
      <c r="JT102" s="108" t="str">
        <f t="shared" si="177"/>
        <v/>
      </c>
      <c r="JU102" s="109" t="str">
        <f t="shared" si="178"/>
        <v/>
      </c>
      <c r="JV102" s="109" t="str">
        <f t="shared" si="94"/>
        <v/>
      </c>
      <c r="JW102" s="110" t="str">
        <f t="shared" si="179"/>
        <v/>
      </c>
      <c r="JX102" s="51"/>
      <c r="JY102" s="108" t="str">
        <f t="shared" si="95"/>
        <v/>
      </c>
      <c r="JZ102" s="109" t="str">
        <f t="shared" si="180"/>
        <v/>
      </c>
      <c r="KA102" s="109" t="str">
        <f t="shared" si="96"/>
        <v/>
      </c>
      <c r="KB102" s="110" t="str">
        <f t="shared" si="200"/>
        <v/>
      </c>
      <c r="KC102" s="51"/>
      <c r="KD102" s="108" t="str">
        <f t="shared" si="181"/>
        <v/>
      </c>
      <c r="KE102" s="109" t="str">
        <f t="shared" si="182"/>
        <v/>
      </c>
      <c r="KF102" s="109" t="str">
        <f t="shared" si="97"/>
        <v/>
      </c>
      <c r="KG102" s="110" t="str">
        <f t="shared" si="98"/>
        <v/>
      </c>
    </row>
    <row r="103" spans="1:293" ht="12" customHeight="1">
      <c r="A103" s="105">
        <f t="array" ref="A103">MAX(IF($J$80:J102&gt;0,$C$80:C102,0))</f>
        <v>43535</v>
      </c>
      <c r="B103" s="81" t="str">
        <f t="shared" si="4"/>
        <v/>
      </c>
      <c r="C103" s="82">
        <f t="shared" si="5"/>
        <v>0</v>
      </c>
      <c r="D103" s="83" t="str">
        <f t="shared" si="6"/>
        <v/>
      </c>
      <c r="E103" s="83" t="str">
        <f t="shared" si="99"/>
        <v/>
      </c>
      <c r="F103" s="83" t="str">
        <f t="shared" si="7"/>
        <v/>
      </c>
      <c r="G103" s="83" t="str">
        <f t="shared" si="8"/>
        <v/>
      </c>
      <c r="H103" s="83" t="str">
        <f t="shared" si="9"/>
        <v/>
      </c>
      <c r="I103" s="105">
        <f t="array" ref="I103">MAX(IF($R$80:R102&gt;0,$L$80:L102,0))</f>
        <v>0</v>
      </c>
      <c r="J103" s="106"/>
      <c r="K103" s="69" t="str">
        <f t="shared" si="10"/>
        <v/>
      </c>
      <c r="L103" s="82">
        <f t="shared" si="183"/>
        <v>0</v>
      </c>
      <c r="M103" s="83" t="str">
        <f t="shared" si="11"/>
        <v/>
      </c>
      <c r="N103" s="83" t="str">
        <f t="shared" si="12"/>
        <v/>
      </c>
      <c r="O103" s="83" t="str">
        <f t="shared" si="13"/>
        <v/>
      </c>
      <c r="P103" s="83" t="str">
        <f t="shared" si="14"/>
        <v/>
      </c>
      <c r="Q103" s="83" t="str">
        <f t="shared" si="15"/>
        <v/>
      </c>
      <c r="R103" s="106"/>
      <c r="S103" s="66"/>
      <c r="U103" s="85" t="e">
        <f t="shared" si="0"/>
        <v>#NUM!</v>
      </c>
      <c r="V103" s="86" t="e">
        <f t="shared" si="100"/>
        <v>#NUM!</v>
      </c>
      <c r="W103" s="87" t="e">
        <f t="shared" si="16"/>
        <v>#NUM!</v>
      </c>
      <c r="X103" s="87" t="e">
        <f t="shared" si="17"/>
        <v>#NUM!</v>
      </c>
      <c r="Y103" s="87" t="e">
        <f t="shared" si="18"/>
        <v>#NUM!</v>
      </c>
      <c r="Z103" s="88" t="e">
        <f t="shared" si="1"/>
        <v>#NUM!</v>
      </c>
      <c r="AB103" s="89">
        <f t="shared" si="101"/>
        <v>0</v>
      </c>
      <c r="AC103" s="87">
        <f t="shared" si="19"/>
        <v>0</v>
      </c>
      <c r="AD103" s="87" t="str">
        <f t="shared" si="20"/>
        <v/>
      </c>
      <c r="AE103" s="87" t="str">
        <f t="shared" si="21"/>
        <v/>
      </c>
      <c r="AF103" s="86">
        <f t="shared" si="102"/>
        <v>0</v>
      </c>
      <c r="AG103" s="87">
        <f t="shared" si="2"/>
        <v>0</v>
      </c>
      <c r="AH103" s="87">
        <f t="shared" si="103"/>
        <v>0</v>
      </c>
      <c r="AI103" s="90"/>
      <c r="AJ103" s="87" t="e">
        <f t="shared" si="22"/>
        <v>#NUM!</v>
      </c>
      <c r="AK103" s="87" t="e">
        <f t="shared" si="104"/>
        <v>#NUM!</v>
      </c>
      <c r="AL103" s="87" t="e">
        <f t="shared" si="105"/>
        <v>#NUM!</v>
      </c>
      <c r="AM103" s="87" t="e">
        <f t="shared" si="106"/>
        <v>#NUM!</v>
      </c>
      <c r="AN103" s="86">
        <f t="shared" si="23"/>
        <v>0</v>
      </c>
      <c r="AO103" s="87">
        <f t="shared" si="24"/>
        <v>0</v>
      </c>
      <c r="AP103" s="88">
        <f t="shared" si="25"/>
        <v>0</v>
      </c>
      <c r="AR103" s="91">
        <f t="shared" si="26"/>
        <v>0</v>
      </c>
      <c r="AS103" s="92">
        <f t="shared" si="27"/>
        <v>0</v>
      </c>
      <c r="AT103" s="87" t="str">
        <f t="shared" si="28"/>
        <v/>
      </c>
      <c r="AU103" s="87" t="str">
        <f t="shared" si="29"/>
        <v/>
      </c>
      <c r="AV103" s="86">
        <f t="shared" si="107"/>
        <v>0</v>
      </c>
      <c r="AW103" s="87">
        <f t="shared" si="108"/>
        <v>0</v>
      </c>
      <c r="AX103" s="87">
        <f t="shared" si="109"/>
        <v>0</v>
      </c>
      <c r="AY103" s="93"/>
      <c r="AZ103" s="87">
        <f t="shared" si="201"/>
        <v>0</v>
      </c>
      <c r="BA103" s="87">
        <f t="shared" si="110"/>
        <v>0</v>
      </c>
      <c r="BB103" s="87">
        <f t="shared" si="111"/>
        <v>0</v>
      </c>
      <c r="BC103" s="87">
        <f t="shared" si="184"/>
        <v>0</v>
      </c>
      <c r="BD103" s="86" t="e">
        <f t="shared" si="30"/>
        <v>#NUM!</v>
      </c>
      <c r="BE103" s="87" t="e">
        <f t="shared" si="3"/>
        <v>#NUM!</v>
      </c>
      <c r="BF103" s="88">
        <f t="shared" si="112"/>
        <v>0</v>
      </c>
      <c r="BH103" s="87" t="e">
        <f t="shared" si="31"/>
        <v>#NUM!</v>
      </c>
      <c r="BK103" s="95">
        <v>39942</v>
      </c>
      <c r="BL103" s="96">
        <v>24</v>
      </c>
      <c r="BT103">
        <v>0</v>
      </c>
      <c r="BU103">
        <v>999.99</v>
      </c>
      <c r="BV103" s="30" t="str">
        <f>CONCATENATE(BT103,"-",BU103)</f>
        <v>0-999.99</v>
      </c>
      <c r="BW103" s="30" t="s">
        <v>497</v>
      </c>
      <c r="BX103" s="30" t="s">
        <v>497</v>
      </c>
      <c r="BY103" s="30" t="s">
        <v>497</v>
      </c>
      <c r="BZ103" s="30" t="s">
        <v>497</v>
      </c>
      <c r="CA103" s="30" t="s">
        <v>497</v>
      </c>
      <c r="CB103" s="30" t="s">
        <v>497</v>
      </c>
      <c r="CC103" s="30" t="s">
        <v>497</v>
      </c>
      <c r="CD103" s="30" t="s">
        <v>497</v>
      </c>
      <c r="CE103" s="30" t="s">
        <v>497</v>
      </c>
      <c r="CF103" s="30" t="s">
        <v>497</v>
      </c>
      <c r="CG103" s="30" t="s">
        <v>497</v>
      </c>
      <c r="CI103" s="100" t="s">
        <v>278</v>
      </c>
      <c r="CL103" s="30">
        <v>3.9E-2</v>
      </c>
      <c r="CM103">
        <v>3.5</v>
      </c>
      <c r="CY103" s="108" t="str">
        <f t="shared" si="32"/>
        <v/>
      </c>
      <c r="CZ103" s="109" t="str">
        <f t="shared" si="33"/>
        <v/>
      </c>
      <c r="DA103" s="109" t="str">
        <f t="shared" si="34"/>
        <v/>
      </c>
      <c r="DB103" s="110" t="str">
        <f t="shared" si="35"/>
        <v/>
      </c>
      <c r="DD103" s="108" t="str">
        <f t="shared" si="36"/>
        <v/>
      </c>
      <c r="DE103" s="109" t="str">
        <f t="shared" si="114"/>
        <v/>
      </c>
      <c r="DF103" s="109" t="str">
        <f t="shared" si="37"/>
        <v/>
      </c>
      <c r="DG103" s="110" t="str">
        <f t="shared" si="38"/>
        <v/>
      </c>
      <c r="DI103" s="108" t="str">
        <f t="shared" si="115"/>
        <v/>
      </c>
      <c r="DJ103" s="109" t="str">
        <f t="shared" si="116"/>
        <v/>
      </c>
      <c r="DK103" s="109" t="str">
        <f t="shared" si="39"/>
        <v/>
      </c>
      <c r="DL103" s="110" t="str">
        <f t="shared" si="40"/>
        <v/>
      </c>
      <c r="DN103" s="108" t="str">
        <f t="shared" si="41"/>
        <v/>
      </c>
      <c r="DO103" s="109" t="str">
        <f t="shared" si="42"/>
        <v/>
      </c>
      <c r="DP103" s="109" t="str">
        <f t="shared" si="43"/>
        <v/>
      </c>
      <c r="DQ103" s="110" t="str">
        <f t="shared" si="44"/>
        <v/>
      </c>
      <c r="DS103" s="108" t="str">
        <f t="shared" si="117"/>
        <v/>
      </c>
      <c r="DT103" s="109" t="str">
        <f t="shared" si="118"/>
        <v/>
      </c>
      <c r="DU103" s="109" t="str">
        <f t="shared" si="45"/>
        <v/>
      </c>
      <c r="DV103" s="110" t="str">
        <f t="shared" si="185"/>
        <v/>
      </c>
      <c r="DX103" s="108" t="str">
        <f t="shared" si="46"/>
        <v/>
      </c>
      <c r="DY103" s="109" t="str">
        <f t="shared" si="119"/>
        <v/>
      </c>
      <c r="DZ103" s="109" t="str">
        <f t="shared" si="47"/>
        <v/>
      </c>
      <c r="EA103" s="110" t="str">
        <f t="shared" si="120"/>
        <v/>
      </c>
      <c r="EC103" s="108" t="str">
        <f t="shared" si="121"/>
        <v/>
      </c>
      <c r="ED103" s="109" t="str">
        <f t="shared" si="122"/>
        <v/>
      </c>
      <c r="EE103" s="109" t="str">
        <f t="shared" si="48"/>
        <v/>
      </c>
      <c r="EF103" s="110" t="str">
        <f t="shared" si="186"/>
        <v/>
      </c>
      <c r="EH103" s="108" t="str">
        <f t="shared" si="49"/>
        <v/>
      </c>
      <c r="EI103" s="109" t="str">
        <f t="shared" si="123"/>
        <v/>
      </c>
      <c r="EJ103" s="109" t="str">
        <f t="shared" si="50"/>
        <v/>
      </c>
      <c r="EK103" s="110" t="str">
        <f t="shared" si="124"/>
        <v/>
      </c>
      <c r="EM103" s="108" t="str">
        <f t="shared" si="125"/>
        <v/>
      </c>
      <c r="EN103" s="109" t="str">
        <f t="shared" si="126"/>
        <v/>
      </c>
      <c r="EO103" s="109" t="str">
        <f t="shared" si="51"/>
        <v/>
      </c>
      <c r="EP103" s="110" t="str">
        <f t="shared" si="187"/>
        <v/>
      </c>
      <c r="ER103" s="108" t="str">
        <f t="shared" si="52"/>
        <v/>
      </c>
      <c r="ES103" s="109" t="str">
        <f t="shared" si="127"/>
        <v/>
      </c>
      <c r="ET103" s="109" t="str">
        <f t="shared" si="53"/>
        <v/>
      </c>
      <c r="EU103" s="110" t="str">
        <f t="shared" si="128"/>
        <v/>
      </c>
      <c r="EW103" s="108" t="str">
        <f t="shared" si="129"/>
        <v/>
      </c>
      <c r="EX103" s="109" t="str">
        <f t="shared" si="130"/>
        <v/>
      </c>
      <c r="EY103" s="109" t="str">
        <f t="shared" si="54"/>
        <v/>
      </c>
      <c r="EZ103" s="110" t="str">
        <f t="shared" si="188"/>
        <v/>
      </c>
      <c r="FB103" s="108" t="str">
        <f t="shared" si="55"/>
        <v/>
      </c>
      <c r="FC103" s="109" t="str">
        <f t="shared" si="131"/>
        <v/>
      </c>
      <c r="FD103" s="109" t="str">
        <f t="shared" si="56"/>
        <v/>
      </c>
      <c r="FE103" s="110" t="str">
        <f t="shared" si="132"/>
        <v/>
      </c>
      <c r="FG103" s="108" t="str">
        <f t="shared" si="133"/>
        <v/>
      </c>
      <c r="FH103" s="109" t="str">
        <f t="shared" si="134"/>
        <v/>
      </c>
      <c r="FI103" s="109" t="str">
        <f t="shared" si="57"/>
        <v/>
      </c>
      <c r="FJ103" s="110" t="str">
        <f t="shared" si="189"/>
        <v/>
      </c>
      <c r="FL103" s="108" t="str">
        <f t="shared" si="58"/>
        <v/>
      </c>
      <c r="FM103" s="109" t="str">
        <f t="shared" si="135"/>
        <v/>
      </c>
      <c r="FN103" s="109" t="str">
        <f t="shared" si="59"/>
        <v/>
      </c>
      <c r="FO103" s="110" t="str">
        <f t="shared" si="136"/>
        <v/>
      </c>
      <c r="FQ103" s="108" t="str">
        <f t="shared" si="137"/>
        <v/>
      </c>
      <c r="FR103" s="109" t="str">
        <f t="shared" si="138"/>
        <v/>
      </c>
      <c r="FS103" s="109" t="str">
        <f t="shared" si="60"/>
        <v/>
      </c>
      <c r="FT103" s="110" t="str">
        <f t="shared" si="190"/>
        <v/>
      </c>
      <c r="FV103" s="108" t="str">
        <f t="shared" si="61"/>
        <v/>
      </c>
      <c r="FW103" s="109" t="str">
        <f t="shared" si="139"/>
        <v/>
      </c>
      <c r="FX103" s="109" t="str">
        <f t="shared" si="62"/>
        <v/>
      </c>
      <c r="FY103" s="110" t="str">
        <f t="shared" si="140"/>
        <v/>
      </c>
      <c r="GA103" s="108" t="str">
        <f t="shared" si="141"/>
        <v/>
      </c>
      <c r="GB103" s="109" t="str">
        <f t="shared" si="142"/>
        <v/>
      </c>
      <c r="GC103" s="109" t="str">
        <f t="shared" si="63"/>
        <v/>
      </c>
      <c r="GD103" s="110" t="str">
        <f t="shared" si="191"/>
        <v/>
      </c>
      <c r="GF103" s="108" t="str">
        <f t="shared" si="64"/>
        <v/>
      </c>
      <c r="GG103" s="109" t="str">
        <f t="shared" si="143"/>
        <v/>
      </c>
      <c r="GH103" s="109" t="str">
        <f t="shared" si="65"/>
        <v/>
      </c>
      <c r="GI103" s="110" t="str">
        <f t="shared" si="144"/>
        <v/>
      </c>
      <c r="GK103" s="108" t="str">
        <f t="shared" si="145"/>
        <v/>
      </c>
      <c r="GL103" s="109" t="str">
        <f t="shared" si="146"/>
        <v/>
      </c>
      <c r="GM103" s="109" t="str">
        <f t="shared" si="147"/>
        <v/>
      </c>
      <c r="GN103" s="110" t="str">
        <f t="shared" si="192"/>
        <v/>
      </c>
      <c r="GR103" s="108" t="str">
        <f t="shared" si="66"/>
        <v/>
      </c>
      <c r="GS103" s="109" t="str">
        <f t="shared" si="67"/>
        <v/>
      </c>
      <c r="GT103" s="109" t="str">
        <f t="shared" si="68"/>
        <v/>
      </c>
      <c r="GU103" s="110" t="str">
        <f t="shared" si="69"/>
        <v/>
      </c>
      <c r="GV103" s="51"/>
      <c r="GW103" s="108" t="str">
        <f t="shared" si="70"/>
        <v/>
      </c>
      <c r="GX103" s="109" t="str">
        <f t="shared" si="148"/>
        <v/>
      </c>
      <c r="GY103" s="109" t="str">
        <f t="shared" si="71"/>
        <v/>
      </c>
      <c r="GZ103" s="110" t="str">
        <f t="shared" si="72"/>
        <v/>
      </c>
      <c r="HA103" s="51"/>
      <c r="HB103" s="108" t="str">
        <f t="shared" si="149"/>
        <v/>
      </c>
      <c r="HC103" s="109" t="str">
        <f t="shared" si="150"/>
        <v/>
      </c>
      <c r="HD103" s="109" t="str">
        <f t="shared" si="73"/>
        <v/>
      </c>
      <c r="HE103" s="110" t="str">
        <f t="shared" si="151"/>
        <v/>
      </c>
      <c r="HF103" s="51"/>
      <c r="HG103" s="108" t="str">
        <f t="shared" si="74"/>
        <v/>
      </c>
      <c r="HH103" s="109" t="str">
        <f t="shared" si="152"/>
        <v/>
      </c>
      <c r="HI103" s="109" t="str">
        <f t="shared" si="75"/>
        <v/>
      </c>
      <c r="HJ103" s="110" t="str">
        <f t="shared" si="193"/>
        <v/>
      </c>
      <c r="HK103" s="51"/>
      <c r="HL103" s="108" t="str">
        <f t="shared" si="153"/>
        <v/>
      </c>
      <c r="HM103" s="109" t="str">
        <f t="shared" si="154"/>
        <v/>
      </c>
      <c r="HN103" s="109" t="str">
        <f t="shared" si="76"/>
        <v/>
      </c>
      <c r="HO103" s="110" t="str">
        <f t="shared" si="155"/>
        <v/>
      </c>
      <c r="HP103" s="51"/>
      <c r="HQ103" s="108" t="str">
        <f t="shared" si="77"/>
        <v/>
      </c>
      <c r="HR103" s="109" t="str">
        <f t="shared" si="156"/>
        <v/>
      </c>
      <c r="HS103" s="109" t="str">
        <f t="shared" si="78"/>
        <v/>
      </c>
      <c r="HT103" s="110" t="str">
        <f t="shared" si="194"/>
        <v/>
      </c>
      <c r="HU103" s="51"/>
      <c r="HV103" s="108" t="str">
        <f t="shared" si="157"/>
        <v/>
      </c>
      <c r="HW103" s="109" t="str">
        <f t="shared" si="158"/>
        <v/>
      </c>
      <c r="HX103" s="109" t="str">
        <f t="shared" si="79"/>
        <v/>
      </c>
      <c r="HY103" s="110" t="str">
        <f t="shared" si="159"/>
        <v/>
      </c>
      <c r="HZ103" s="51"/>
      <c r="IA103" s="108" t="str">
        <f t="shared" si="80"/>
        <v/>
      </c>
      <c r="IB103" s="109" t="str">
        <f t="shared" si="160"/>
        <v/>
      </c>
      <c r="IC103" s="109" t="str">
        <f t="shared" si="81"/>
        <v/>
      </c>
      <c r="ID103" s="110" t="str">
        <f t="shared" si="195"/>
        <v/>
      </c>
      <c r="IE103" s="51"/>
      <c r="IF103" s="108" t="str">
        <f t="shared" si="161"/>
        <v/>
      </c>
      <c r="IG103" s="109" t="str">
        <f t="shared" si="162"/>
        <v/>
      </c>
      <c r="IH103" s="109" t="str">
        <f t="shared" si="82"/>
        <v/>
      </c>
      <c r="II103" s="110" t="str">
        <f t="shared" si="163"/>
        <v/>
      </c>
      <c r="IJ103" s="51"/>
      <c r="IK103" s="108" t="str">
        <f t="shared" si="83"/>
        <v/>
      </c>
      <c r="IL103" s="109" t="str">
        <f t="shared" si="164"/>
        <v/>
      </c>
      <c r="IM103" s="109" t="str">
        <f t="shared" si="84"/>
        <v/>
      </c>
      <c r="IN103" s="110" t="str">
        <f t="shared" si="196"/>
        <v/>
      </c>
      <c r="IO103" s="51"/>
      <c r="IP103" s="108" t="str">
        <f t="shared" si="165"/>
        <v/>
      </c>
      <c r="IQ103" s="109" t="str">
        <f t="shared" si="166"/>
        <v/>
      </c>
      <c r="IR103" s="109" t="str">
        <f t="shared" si="85"/>
        <v/>
      </c>
      <c r="IS103" s="110" t="str">
        <f t="shared" si="167"/>
        <v/>
      </c>
      <c r="IT103" s="51"/>
      <c r="IU103" s="108" t="str">
        <f t="shared" si="86"/>
        <v/>
      </c>
      <c r="IV103" s="109" t="str">
        <f t="shared" si="168"/>
        <v/>
      </c>
      <c r="IW103" s="109" t="str">
        <f t="shared" si="87"/>
        <v/>
      </c>
      <c r="IX103" s="110" t="str">
        <f t="shared" si="197"/>
        <v/>
      </c>
      <c r="IY103" s="51"/>
      <c r="IZ103" s="108" t="str">
        <f t="shared" si="169"/>
        <v/>
      </c>
      <c r="JA103" s="109" t="str">
        <f t="shared" si="170"/>
        <v/>
      </c>
      <c r="JB103" s="109" t="str">
        <f t="shared" si="88"/>
        <v/>
      </c>
      <c r="JC103" s="110" t="str">
        <f t="shared" si="171"/>
        <v/>
      </c>
      <c r="JD103" s="51"/>
      <c r="JE103" s="108" t="str">
        <f t="shared" si="89"/>
        <v/>
      </c>
      <c r="JF103" s="109" t="str">
        <f t="shared" si="172"/>
        <v/>
      </c>
      <c r="JG103" s="109" t="str">
        <f t="shared" si="90"/>
        <v/>
      </c>
      <c r="JH103" s="110" t="str">
        <f t="shared" si="198"/>
        <v/>
      </c>
      <c r="JI103" s="51"/>
      <c r="JJ103" s="108" t="str">
        <f t="shared" si="173"/>
        <v/>
      </c>
      <c r="JK103" s="109" t="str">
        <f t="shared" si="174"/>
        <v/>
      </c>
      <c r="JL103" s="109" t="str">
        <f t="shared" si="91"/>
        <v/>
      </c>
      <c r="JM103" s="110" t="str">
        <f t="shared" si="175"/>
        <v/>
      </c>
      <c r="JN103" s="51"/>
      <c r="JO103" s="108" t="str">
        <f t="shared" si="92"/>
        <v/>
      </c>
      <c r="JP103" s="109" t="str">
        <f t="shared" si="176"/>
        <v/>
      </c>
      <c r="JQ103" s="109" t="str">
        <f t="shared" si="93"/>
        <v/>
      </c>
      <c r="JR103" s="110" t="str">
        <f t="shared" si="199"/>
        <v/>
      </c>
      <c r="JS103" s="51"/>
      <c r="JT103" s="108" t="str">
        <f t="shared" si="177"/>
        <v/>
      </c>
      <c r="JU103" s="109" t="str">
        <f t="shared" si="178"/>
        <v/>
      </c>
      <c r="JV103" s="109" t="str">
        <f t="shared" si="94"/>
        <v/>
      </c>
      <c r="JW103" s="110" t="str">
        <f t="shared" si="179"/>
        <v/>
      </c>
      <c r="JX103" s="51"/>
      <c r="JY103" s="108" t="str">
        <f t="shared" si="95"/>
        <v/>
      </c>
      <c r="JZ103" s="109" t="str">
        <f t="shared" si="180"/>
        <v/>
      </c>
      <c r="KA103" s="109" t="str">
        <f t="shared" si="96"/>
        <v/>
      </c>
      <c r="KB103" s="110" t="str">
        <f t="shared" si="200"/>
        <v/>
      </c>
      <c r="KC103" s="51"/>
      <c r="KD103" s="108" t="str">
        <f t="shared" si="181"/>
        <v/>
      </c>
      <c r="KE103" s="109" t="str">
        <f t="shared" si="182"/>
        <v/>
      </c>
      <c r="KF103" s="109" t="str">
        <f t="shared" si="97"/>
        <v/>
      </c>
      <c r="KG103" s="110" t="str">
        <f t="shared" si="98"/>
        <v/>
      </c>
    </row>
    <row r="104" spans="1:293" ht="12" customHeight="1">
      <c r="A104" s="105">
        <f t="array" ref="A104">MAX(IF($J$80:J103&gt;0,$C$80:C103,0))</f>
        <v>43535</v>
      </c>
      <c r="B104" s="81" t="str">
        <f t="shared" si="4"/>
        <v/>
      </c>
      <c r="C104" s="82">
        <f t="shared" si="5"/>
        <v>0</v>
      </c>
      <c r="D104" s="83" t="str">
        <f t="shared" si="6"/>
        <v/>
      </c>
      <c r="E104" s="83" t="str">
        <f t="shared" si="99"/>
        <v/>
      </c>
      <c r="F104" s="83" t="str">
        <f t="shared" si="7"/>
        <v/>
      </c>
      <c r="G104" s="83" t="str">
        <f t="shared" si="8"/>
        <v/>
      </c>
      <c r="H104" s="83" t="str">
        <f t="shared" si="9"/>
        <v/>
      </c>
      <c r="I104" s="105">
        <f t="array" ref="I104">MAX(IF($R$80:R103&gt;0,$L$80:L103,0))</f>
        <v>0</v>
      </c>
      <c r="J104" s="106"/>
      <c r="K104" s="69" t="str">
        <f t="shared" si="10"/>
        <v/>
      </c>
      <c r="L104" s="82">
        <f t="shared" si="183"/>
        <v>0</v>
      </c>
      <c r="M104" s="83" t="str">
        <f t="shared" si="11"/>
        <v/>
      </c>
      <c r="N104" s="83" t="str">
        <f t="shared" si="12"/>
        <v/>
      </c>
      <c r="O104" s="83" t="str">
        <f t="shared" si="13"/>
        <v/>
      </c>
      <c r="P104" s="83" t="str">
        <f t="shared" si="14"/>
        <v/>
      </c>
      <c r="Q104" s="83" t="str">
        <f t="shared" si="15"/>
        <v/>
      </c>
      <c r="R104" s="106"/>
      <c r="S104" s="66"/>
      <c r="U104" s="85" t="e">
        <f t="shared" si="0"/>
        <v>#NUM!</v>
      </c>
      <c r="V104" s="86" t="e">
        <f t="shared" si="100"/>
        <v>#NUM!</v>
      </c>
      <c r="W104" s="87" t="e">
        <f t="shared" si="16"/>
        <v>#NUM!</v>
      </c>
      <c r="X104" s="87" t="e">
        <f t="shared" si="17"/>
        <v>#NUM!</v>
      </c>
      <c r="Y104" s="87" t="e">
        <f t="shared" si="18"/>
        <v>#NUM!</v>
      </c>
      <c r="Z104" s="88" t="e">
        <f t="shared" si="1"/>
        <v>#NUM!</v>
      </c>
      <c r="AB104" s="89">
        <f t="shared" si="101"/>
        <v>0</v>
      </c>
      <c r="AC104" s="87">
        <f t="shared" si="19"/>
        <v>0</v>
      </c>
      <c r="AD104" s="87" t="str">
        <f t="shared" si="20"/>
        <v/>
      </c>
      <c r="AE104" s="87" t="str">
        <f t="shared" si="21"/>
        <v/>
      </c>
      <c r="AF104" s="86">
        <f t="shared" si="102"/>
        <v>0</v>
      </c>
      <c r="AG104" s="87">
        <f t="shared" si="2"/>
        <v>0</v>
      </c>
      <c r="AH104" s="87">
        <f t="shared" si="103"/>
        <v>0</v>
      </c>
      <c r="AI104" s="90"/>
      <c r="AJ104" s="87" t="e">
        <f t="shared" si="22"/>
        <v>#NUM!</v>
      </c>
      <c r="AK104" s="87" t="e">
        <f t="shared" si="104"/>
        <v>#NUM!</v>
      </c>
      <c r="AL104" s="87" t="e">
        <f t="shared" si="105"/>
        <v>#NUM!</v>
      </c>
      <c r="AM104" s="87" t="e">
        <f t="shared" si="106"/>
        <v>#NUM!</v>
      </c>
      <c r="AN104" s="86">
        <f t="shared" si="23"/>
        <v>0</v>
      </c>
      <c r="AO104" s="87">
        <f t="shared" si="24"/>
        <v>0</v>
      </c>
      <c r="AP104" s="88">
        <f t="shared" si="25"/>
        <v>0</v>
      </c>
      <c r="AR104" s="91">
        <f t="shared" si="26"/>
        <v>0</v>
      </c>
      <c r="AS104" s="92">
        <f t="shared" si="27"/>
        <v>0</v>
      </c>
      <c r="AT104" s="87" t="str">
        <f t="shared" si="28"/>
        <v/>
      </c>
      <c r="AU104" s="87" t="str">
        <f t="shared" si="29"/>
        <v/>
      </c>
      <c r="AV104" s="86">
        <f t="shared" si="107"/>
        <v>0</v>
      </c>
      <c r="AW104" s="87">
        <f t="shared" si="108"/>
        <v>0</v>
      </c>
      <c r="AX104" s="87">
        <f t="shared" si="109"/>
        <v>0</v>
      </c>
      <c r="AY104" s="93"/>
      <c r="AZ104" s="87">
        <f t="shared" si="201"/>
        <v>0</v>
      </c>
      <c r="BA104" s="87">
        <f t="shared" si="110"/>
        <v>0</v>
      </c>
      <c r="BB104" s="87">
        <f t="shared" si="111"/>
        <v>0</v>
      </c>
      <c r="BC104" s="87">
        <f t="shared" si="184"/>
        <v>0</v>
      </c>
      <c r="BD104" s="86" t="e">
        <f t="shared" si="30"/>
        <v>#NUM!</v>
      </c>
      <c r="BE104" s="87" t="e">
        <f t="shared" si="3"/>
        <v>#NUM!</v>
      </c>
      <c r="BF104" s="88">
        <f t="shared" si="112"/>
        <v>0</v>
      </c>
      <c r="BH104" s="87" t="e">
        <f t="shared" si="31"/>
        <v>#NUM!</v>
      </c>
      <c r="BK104" s="95">
        <v>39945</v>
      </c>
      <c r="BL104" s="96">
        <v>25</v>
      </c>
      <c r="BT104" s="51">
        <v>1000</v>
      </c>
      <c r="BU104" s="51">
        <v>10000</v>
      </c>
      <c r="BV104" s="30" t="str">
        <f t="shared" ref="BV104:BV109" si="204">CONCATENATE(BT104,"-",BU104)</f>
        <v>1000-10000</v>
      </c>
      <c r="BW104" s="30" t="s">
        <v>497</v>
      </c>
      <c r="BX104" s="30" t="s">
        <v>497</v>
      </c>
      <c r="BY104" s="107">
        <v>0.27</v>
      </c>
      <c r="BZ104" s="107">
        <v>0.29499999999999998</v>
      </c>
      <c r="CA104" s="107">
        <v>0.32</v>
      </c>
      <c r="CB104" s="107">
        <v>0.33</v>
      </c>
      <c r="CC104" s="107">
        <v>0.33500000000000002</v>
      </c>
      <c r="CD104" s="107">
        <v>0.33999999999999997</v>
      </c>
      <c r="CE104" s="30" t="s">
        <v>497</v>
      </c>
      <c r="CF104" s="107">
        <v>0.04</v>
      </c>
      <c r="CG104" s="107">
        <v>6.0000000000000001E-3</v>
      </c>
      <c r="CY104" s="108" t="str">
        <f t="shared" si="32"/>
        <v/>
      </c>
      <c r="CZ104" s="109" t="str">
        <f t="shared" si="33"/>
        <v/>
      </c>
      <c r="DA104" s="109" t="str">
        <f t="shared" si="34"/>
        <v/>
      </c>
      <c r="DB104" s="110" t="str">
        <f t="shared" si="35"/>
        <v/>
      </c>
      <c r="DD104" s="108" t="str">
        <f t="shared" si="36"/>
        <v/>
      </c>
      <c r="DE104" s="109" t="str">
        <f t="shared" si="114"/>
        <v/>
      </c>
      <c r="DF104" s="109" t="str">
        <f t="shared" si="37"/>
        <v/>
      </c>
      <c r="DG104" s="110" t="str">
        <f t="shared" si="38"/>
        <v/>
      </c>
      <c r="DI104" s="108" t="str">
        <f t="shared" si="115"/>
        <v/>
      </c>
      <c r="DJ104" s="109" t="str">
        <f t="shared" si="116"/>
        <v/>
      </c>
      <c r="DK104" s="109" t="str">
        <f t="shared" si="39"/>
        <v/>
      </c>
      <c r="DL104" s="110" t="str">
        <f t="shared" si="40"/>
        <v/>
      </c>
      <c r="DN104" s="108" t="str">
        <f t="shared" si="41"/>
        <v/>
      </c>
      <c r="DO104" s="109" t="str">
        <f t="shared" si="42"/>
        <v/>
      </c>
      <c r="DP104" s="109" t="str">
        <f t="shared" si="43"/>
        <v/>
      </c>
      <c r="DQ104" s="110" t="str">
        <f t="shared" si="44"/>
        <v/>
      </c>
      <c r="DS104" s="108" t="str">
        <f t="shared" si="117"/>
        <v/>
      </c>
      <c r="DT104" s="109" t="str">
        <f t="shared" si="118"/>
        <v/>
      </c>
      <c r="DU104" s="109" t="str">
        <f t="shared" si="45"/>
        <v/>
      </c>
      <c r="DV104" s="110" t="str">
        <f t="shared" si="185"/>
        <v/>
      </c>
      <c r="DX104" s="108" t="str">
        <f t="shared" si="46"/>
        <v/>
      </c>
      <c r="DY104" s="109" t="str">
        <f t="shared" si="119"/>
        <v/>
      </c>
      <c r="DZ104" s="109" t="str">
        <f t="shared" si="47"/>
        <v/>
      </c>
      <c r="EA104" s="110" t="str">
        <f t="shared" si="120"/>
        <v/>
      </c>
      <c r="EC104" s="108" t="str">
        <f t="shared" si="121"/>
        <v/>
      </c>
      <c r="ED104" s="109" t="str">
        <f t="shared" si="122"/>
        <v/>
      </c>
      <c r="EE104" s="109" t="str">
        <f t="shared" si="48"/>
        <v/>
      </c>
      <c r="EF104" s="110" t="str">
        <f t="shared" si="186"/>
        <v/>
      </c>
      <c r="EH104" s="108" t="str">
        <f t="shared" si="49"/>
        <v/>
      </c>
      <c r="EI104" s="109" t="str">
        <f t="shared" si="123"/>
        <v/>
      </c>
      <c r="EJ104" s="109" t="str">
        <f t="shared" si="50"/>
        <v/>
      </c>
      <c r="EK104" s="110" t="str">
        <f t="shared" si="124"/>
        <v/>
      </c>
      <c r="EM104" s="108" t="str">
        <f t="shared" si="125"/>
        <v/>
      </c>
      <c r="EN104" s="109" t="str">
        <f t="shared" si="126"/>
        <v/>
      </c>
      <c r="EO104" s="109" t="str">
        <f t="shared" si="51"/>
        <v/>
      </c>
      <c r="EP104" s="110" t="str">
        <f t="shared" si="187"/>
        <v/>
      </c>
      <c r="ER104" s="108" t="str">
        <f t="shared" si="52"/>
        <v/>
      </c>
      <c r="ES104" s="109" t="str">
        <f t="shared" si="127"/>
        <v/>
      </c>
      <c r="ET104" s="109" t="str">
        <f t="shared" si="53"/>
        <v/>
      </c>
      <c r="EU104" s="110" t="str">
        <f t="shared" si="128"/>
        <v/>
      </c>
      <c r="EW104" s="108" t="str">
        <f t="shared" si="129"/>
        <v/>
      </c>
      <c r="EX104" s="109" t="str">
        <f t="shared" si="130"/>
        <v/>
      </c>
      <c r="EY104" s="109" t="str">
        <f t="shared" si="54"/>
        <v/>
      </c>
      <c r="EZ104" s="110" t="str">
        <f t="shared" si="188"/>
        <v/>
      </c>
      <c r="FB104" s="108" t="str">
        <f t="shared" si="55"/>
        <v/>
      </c>
      <c r="FC104" s="109" t="str">
        <f t="shared" si="131"/>
        <v/>
      </c>
      <c r="FD104" s="109" t="str">
        <f t="shared" si="56"/>
        <v/>
      </c>
      <c r="FE104" s="110" t="str">
        <f t="shared" si="132"/>
        <v/>
      </c>
      <c r="FG104" s="108" t="str">
        <f t="shared" si="133"/>
        <v/>
      </c>
      <c r="FH104" s="109" t="str">
        <f t="shared" si="134"/>
        <v/>
      </c>
      <c r="FI104" s="109" t="str">
        <f t="shared" si="57"/>
        <v/>
      </c>
      <c r="FJ104" s="110" t="str">
        <f t="shared" si="189"/>
        <v/>
      </c>
      <c r="FL104" s="108" t="str">
        <f t="shared" si="58"/>
        <v/>
      </c>
      <c r="FM104" s="109" t="str">
        <f t="shared" si="135"/>
        <v/>
      </c>
      <c r="FN104" s="109" t="str">
        <f t="shared" si="59"/>
        <v/>
      </c>
      <c r="FO104" s="110" t="str">
        <f t="shared" si="136"/>
        <v/>
      </c>
      <c r="FQ104" s="108" t="str">
        <f t="shared" si="137"/>
        <v/>
      </c>
      <c r="FR104" s="109" t="str">
        <f t="shared" si="138"/>
        <v/>
      </c>
      <c r="FS104" s="109" t="str">
        <f t="shared" si="60"/>
        <v/>
      </c>
      <c r="FT104" s="110" t="str">
        <f t="shared" si="190"/>
        <v/>
      </c>
      <c r="FV104" s="108" t="str">
        <f t="shared" si="61"/>
        <v/>
      </c>
      <c r="FW104" s="109" t="str">
        <f t="shared" si="139"/>
        <v/>
      </c>
      <c r="FX104" s="109" t="str">
        <f t="shared" si="62"/>
        <v/>
      </c>
      <c r="FY104" s="110" t="str">
        <f t="shared" si="140"/>
        <v/>
      </c>
      <c r="GA104" s="108" t="str">
        <f t="shared" si="141"/>
        <v/>
      </c>
      <c r="GB104" s="109" t="str">
        <f t="shared" si="142"/>
        <v/>
      </c>
      <c r="GC104" s="109" t="str">
        <f t="shared" si="63"/>
        <v/>
      </c>
      <c r="GD104" s="110" t="str">
        <f t="shared" si="191"/>
        <v/>
      </c>
      <c r="GF104" s="108" t="str">
        <f t="shared" si="64"/>
        <v/>
      </c>
      <c r="GG104" s="109" t="str">
        <f t="shared" si="143"/>
        <v/>
      </c>
      <c r="GH104" s="109" t="str">
        <f t="shared" si="65"/>
        <v/>
      </c>
      <c r="GI104" s="110" t="str">
        <f t="shared" si="144"/>
        <v/>
      </c>
      <c r="GK104" s="108" t="str">
        <f t="shared" si="145"/>
        <v/>
      </c>
      <c r="GL104" s="109" t="str">
        <f t="shared" si="146"/>
        <v/>
      </c>
      <c r="GM104" s="109" t="str">
        <f t="shared" si="147"/>
        <v/>
      </c>
      <c r="GN104" s="110" t="str">
        <f t="shared" si="192"/>
        <v/>
      </c>
      <c r="GR104" s="108" t="str">
        <f t="shared" si="66"/>
        <v/>
      </c>
      <c r="GS104" s="109" t="str">
        <f t="shared" si="67"/>
        <v/>
      </c>
      <c r="GT104" s="109" t="str">
        <f t="shared" si="68"/>
        <v/>
      </c>
      <c r="GU104" s="110" t="str">
        <f t="shared" si="69"/>
        <v/>
      </c>
      <c r="GV104" s="51"/>
      <c r="GW104" s="108" t="str">
        <f t="shared" si="70"/>
        <v/>
      </c>
      <c r="GX104" s="109" t="str">
        <f t="shared" si="148"/>
        <v/>
      </c>
      <c r="GY104" s="109" t="str">
        <f t="shared" si="71"/>
        <v/>
      </c>
      <c r="GZ104" s="110" t="str">
        <f t="shared" si="72"/>
        <v/>
      </c>
      <c r="HA104" s="51"/>
      <c r="HB104" s="108" t="str">
        <f t="shared" si="149"/>
        <v/>
      </c>
      <c r="HC104" s="109" t="str">
        <f t="shared" si="150"/>
        <v/>
      </c>
      <c r="HD104" s="109" t="str">
        <f t="shared" si="73"/>
        <v/>
      </c>
      <c r="HE104" s="110" t="str">
        <f t="shared" si="151"/>
        <v/>
      </c>
      <c r="HF104" s="51"/>
      <c r="HG104" s="108" t="str">
        <f t="shared" si="74"/>
        <v/>
      </c>
      <c r="HH104" s="109" t="str">
        <f t="shared" si="152"/>
        <v/>
      </c>
      <c r="HI104" s="109" t="str">
        <f t="shared" si="75"/>
        <v/>
      </c>
      <c r="HJ104" s="110" t="str">
        <f t="shared" si="193"/>
        <v/>
      </c>
      <c r="HK104" s="51"/>
      <c r="HL104" s="108" t="str">
        <f t="shared" si="153"/>
        <v/>
      </c>
      <c r="HM104" s="109" t="str">
        <f t="shared" si="154"/>
        <v/>
      </c>
      <c r="HN104" s="109" t="str">
        <f t="shared" si="76"/>
        <v/>
      </c>
      <c r="HO104" s="110" t="str">
        <f t="shared" si="155"/>
        <v/>
      </c>
      <c r="HP104" s="51"/>
      <c r="HQ104" s="108" t="str">
        <f t="shared" si="77"/>
        <v/>
      </c>
      <c r="HR104" s="109" t="str">
        <f t="shared" si="156"/>
        <v/>
      </c>
      <c r="HS104" s="109" t="str">
        <f t="shared" si="78"/>
        <v/>
      </c>
      <c r="HT104" s="110" t="str">
        <f t="shared" si="194"/>
        <v/>
      </c>
      <c r="HU104" s="51"/>
      <c r="HV104" s="108" t="str">
        <f t="shared" si="157"/>
        <v/>
      </c>
      <c r="HW104" s="109" t="str">
        <f t="shared" si="158"/>
        <v/>
      </c>
      <c r="HX104" s="109" t="str">
        <f t="shared" si="79"/>
        <v/>
      </c>
      <c r="HY104" s="110" t="str">
        <f t="shared" si="159"/>
        <v/>
      </c>
      <c r="HZ104" s="51"/>
      <c r="IA104" s="108" t="str">
        <f t="shared" si="80"/>
        <v/>
      </c>
      <c r="IB104" s="109" t="str">
        <f t="shared" si="160"/>
        <v/>
      </c>
      <c r="IC104" s="109" t="str">
        <f t="shared" si="81"/>
        <v/>
      </c>
      <c r="ID104" s="110" t="str">
        <f t="shared" si="195"/>
        <v/>
      </c>
      <c r="IE104" s="51"/>
      <c r="IF104" s="108" t="str">
        <f t="shared" si="161"/>
        <v/>
      </c>
      <c r="IG104" s="109" t="str">
        <f t="shared" si="162"/>
        <v/>
      </c>
      <c r="IH104" s="109" t="str">
        <f t="shared" si="82"/>
        <v/>
      </c>
      <c r="II104" s="110" t="str">
        <f t="shared" si="163"/>
        <v/>
      </c>
      <c r="IJ104" s="51"/>
      <c r="IK104" s="108" t="str">
        <f t="shared" si="83"/>
        <v/>
      </c>
      <c r="IL104" s="109" t="str">
        <f t="shared" si="164"/>
        <v/>
      </c>
      <c r="IM104" s="109" t="str">
        <f t="shared" si="84"/>
        <v/>
      </c>
      <c r="IN104" s="110" t="str">
        <f t="shared" si="196"/>
        <v/>
      </c>
      <c r="IO104" s="51"/>
      <c r="IP104" s="108" t="str">
        <f t="shared" si="165"/>
        <v/>
      </c>
      <c r="IQ104" s="109" t="str">
        <f t="shared" si="166"/>
        <v/>
      </c>
      <c r="IR104" s="109" t="str">
        <f t="shared" si="85"/>
        <v/>
      </c>
      <c r="IS104" s="110" t="str">
        <f t="shared" si="167"/>
        <v/>
      </c>
      <c r="IT104" s="51"/>
      <c r="IU104" s="108" t="str">
        <f t="shared" si="86"/>
        <v/>
      </c>
      <c r="IV104" s="109" t="str">
        <f t="shared" si="168"/>
        <v/>
      </c>
      <c r="IW104" s="109" t="str">
        <f t="shared" si="87"/>
        <v/>
      </c>
      <c r="IX104" s="110" t="str">
        <f t="shared" si="197"/>
        <v/>
      </c>
      <c r="IY104" s="51"/>
      <c r="IZ104" s="108" t="str">
        <f t="shared" si="169"/>
        <v/>
      </c>
      <c r="JA104" s="109" t="str">
        <f t="shared" si="170"/>
        <v/>
      </c>
      <c r="JB104" s="109" t="str">
        <f t="shared" si="88"/>
        <v/>
      </c>
      <c r="JC104" s="110" t="str">
        <f t="shared" si="171"/>
        <v/>
      </c>
      <c r="JD104" s="51"/>
      <c r="JE104" s="108" t="str">
        <f t="shared" si="89"/>
        <v/>
      </c>
      <c r="JF104" s="109" t="str">
        <f t="shared" si="172"/>
        <v/>
      </c>
      <c r="JG104" s="109" t="str">
        <f t="shared" si="90"/>
        <v/>
      </c>
      <c r="JH104" s="110" t="str">
        <f t="shared" si="198"/>
        <v/>
      </c>
      <c r="JI104" s="51"/>
      <c r="JJ104" s="108" t="str">
        <f t="shared" si="173"/>
        <v/>
      </c>
      <c r="JK104" s="109" t="str">
        <f t="shared" si="174"/>
        <v/>
      </c>
      <c r="JL104" s="109" t="str">
        <f t="shared" si="91"/>
        <v/>
      </c>
      <c r="JM104" s="110" t="str">
        <f t="shared" si="175"/>
        <v/>
      </c>
      <c r="JN104" s="51"/>
      <c r="JO104" s="108" t="str">
        <f t="shared" si="92"/>
        <v/>
      </c>
      <c r="JP104" s="109" t="str">
        <f t="shared" si="176"/>
        <v/>
      </c>
      <c r="JQ104" s="109" t="str">
        <f t="shared" si="93"/>
        <v/>
      </c>
      <c r="JR104" s="110" t="str">
        <f t="shared" si="199"/>
        <v/>
      </c>
      <c r="JS104" s="51"/>
      <c r="JT104" s="108" t="str">
        <f t="shared" si="177"/>
        <v/>
      </c>
      <c r="JU104" s="109" t="str">
        <f t="shared" si="178"/>
        <v/>
      </c>
      <c r="JV104" s="109" t="str">
        <f t="shared" si="94"/>
        <v/>
      </c>
      <c r="JW104" s="110" t="str">
        <f t="shared" si="179"/>
        <v/>
      </c>
      <c r="JX104" s="51"/>
      <c r="JY104" s="108" t="str">
        <f t="shared" si="95"/>
        <v/>
      </c>
      <c r="JZ104" s="109" t="str">
        <f t="shared" si="180"/>
        <v/>
      </c>
      <c r="KA104" s="109" t="str">
        <f t="shared" si="96"/>
        <v/>
      </c>
      <c r="KB104" s="110" t="str">
        <f t="shared" si="200"/>
        <v/>
      </c>
      <c r="KC104" s="51"/>
      <c r="KD104" s="108" t="str">
        <f t="shared" si="181"/>
        <v/>
      </c>
      <c r="KE104" s="109" t="str">
        <f t="shared" si="182"/>
        <v/>
      </c>
      <c r="KF104" s="109" t="str">
        <f t="shared" si="97"/>
        <v/>
      </c>
      <c r="KG104" s="110" t="str">
        <f t="shared" si="98"/>
        <v/>
      </c>
    </row>
    <row r="105" spans="1:293" ht="12" customHeight="1">
      <c r="A105" s="105">
        <f t="array" ref="A105">MAX(IF($J$80:J104&gt;0,$C$80:C104,0))</f>
        <v>43535</v>
      </c>
      <c r="B105" s="81" t="str">
        <f t="shared" si="4"/>
        <v/>
      </c>
      <c r="C105" s="82">
        <f t="shared" si="5"/>
        <v>0</v>
      </c>
      <c r="D105" s="83" t="str">
        <f t="shared" si="6"/>
        <v/>
      </c>
      <c r="E105" s="83" t="str">
        <f t="shared" si="99"/>
        <v/>
      </c>
      <c r="F105" s="83" t="str">
        <f t="shared" si="7"/>
        <v/>
      </c>
      <c r="G105" s="83" t="str">
        <f t="shared" si="8"/>
        <v/>
      </c>
      <c r="H105" s="83" t="str">
        <f t="shared" si="9"/>
        <v/>
      </c>
      <c r="I105" s="105">
        <f t="array" ref="I105">MAX(IF($R$80:R104&gt;0,$L$80:L104,0))</f>
        <v>0</v>
      </c>
      <c r="J105" s="106"/>
      <c r="K105" s="114" t="str">
        <f t="shared" si="10"/>
        <v/>
      </c>
      <c r="L105" s="82">
        <f t="shared" si="183"/>
        <v>0</v>
      </c>
      <c r="M105" s="83" t="str">
        <f t="shared" si="11"/>
        <v/>
      </c>
      <c r="N105" s="83" t="str">
        <f t="shared" si="12"/>
        <v/>
      </c>
      <c r="O105" s="83" t="str">
        <f t="shared" si="13"/>
        <v/>
      </c>
      <c r="P105" s="83" t="str">
        <f t="shared" si="14"/>
        <v/>
      </c>
      <c r="Q105" s="83" t="str">
        <f t="shared" si="15"/>
        <v/>
      </c>
      <c r="R105" s="106"/>
      <c r="S105" s="115"/>
      <c r="U105" s="85" t="e">
        <f t="shared" si="0"/>
        <v>#NUM!</v>
      </c>
      <c r="V105" s="86" t="e">
        <f t="shared" si="100"/>
        <v>#NUM!</v>
      </c>
      <c r="W105" s="87" t="e">
        <f t="shared" si="16"/>
        <v>#NUM!</v>
      </c>
      <c r="X105" s="87" t="e">
        <f t="shared" si="17"/>
        <v>#NUM!</v>
      </c>
      <c r="Y105" s="87" t="e">
        <f t="shared" si="18"/>
        <v>#NUM!</v>
      </c>
      <c r="Z105" s="88" t="e">
        <f t="shared" si="1"/>
        <v>#NUM!</v>
      </c>
      <c r="AB105" s="89">
        <f t="shared" si="101"/>
        <v>0</v>
      </c>
      <c r="AC105" s="87">
        <f t="shared" si="19"/>
        <v>0</v>
      </c>
      <c r="AD105" s="87" t="str">
        <f t="shared" si="20"/>
        <v/>
      </c>
      <c r="AE105" s="87" t="str">
        <f t="shared" si="21"/>
        <v/>
      </c>
      <c r="AF105" s="86">
        <f t="shared" si="102"/>
        <v>0</v>
      </c>
      <c r="AG105" s="87">
        <f t="shared" si="2"/>
        <v>0</v>
      </c>
      <c r="AH105" s="87">
        <f t="shared" si="103"/>
        <v>0</v>
      </c>
      <c r="AI105" s="90"/>
      <c r="AJ105" s="87" t="e">
        <f t="shared" si="22"/>
        <v>#NUM!</v>
      </c>
      <c r="AK105" s="87" t="e">
        <f t="shared" si="104"/>
        <v>#NUM!</v>
      </c>
      <c r="AL105" s="87" t="e">
        <f t="shared" si="105"/>
        <v>#NUM!</v>
      </c>
      <c r="AM105" s="87" t="e">
        <f t="shared" si="106"/>
        <v>#NUM!</v>
      </c>
      <c r="AN105" s="86">
        <f t="shared" si="23"/>
        <v>0</v>
      </c>
      <c r="AO105" s="87">
        <f t="shared" si="24"/>
        <v>0</v>
      </c>
      <c r="AP105" s="88">
        <f t="shared" si="25"/>
        <v>0</v>
      </c>
      <c r="AR105" s="91">
        <f t="shared" si="26"/>
        <v>0</v>
      </c>
      <c r="AS105" s="92">
        <f t="shared" si="27"/>
        <v>0</v>
      </c>
      <c r="AT105" s="87" t="str">
        <f t="shared" si="28"/>
        <v/>
      </c>
      <c r="AU105" s="87" t="str">
        <f t="shared" si="29"/>
        <v/>
      </c>
      <c r="AV105" s="86">
        <f t="shared" si="107"/>
        <v>0</v>
      </c>
      <c r="AW105" s="87">
        <f t="shared" si="108"/>
        <v>0</v>
      </c>
      <c r="AX105" s="87">
        <f t="shared" si="109"/>
        <v>0</v>
      </c>
      <c r="AY105" s="93"/>
      <c r="AZ105" s="87">
        <f t="shared" si="201"/>
        <v>0</v>
      </c>
      <c r="BA105" s="87">
        <f t="shared" si="110"/>
        <v>0</v>
      </c>
      <c r="BB105" s="87">
        <f t="shared" si="111"/>
        <v>0</v>
      </c>
      <c r="BC105" s="87">
        <f t="shared" si="184"/>
        <v>0</v>
      </c>
      <c r="BD105" s="86" t="e">
        <f t="shared" si="30"/>
        <v>#NUM!</v>
      </c>
      <c r="BE105" s="87" t="e">
        <f t="shared" si="3"/>
        <v>#NUM!</v>
      </c>
      <c r="BF105" s="88">
        <f t="shared" si="112"/>
        <v>0</v>
      </c>
      <c r="BH105" s="87" t="e">
        <f t="shared" si="31"/>
        <v>#NUM!</v>
      </c>
      <c r="BK105" s="95">
        <v>39959</v>
      </c>
      <c r="BL105" s="96">
        <v>26</v>
      </c>
      <c r="BT105" s="51">
        <v>10000.01</v>
      </c>
      <c r="BU105" s="51">
        <v>20000</v>
      </c>
      <c r="BV105" s="30" t="str">
        <f t="shared" si="204"/>
        <v>10000.01-20000</v>
      </c>
      <c r="BW105" s="30" t="s">
        <v>497</v>
      </c>
      <c r="BX105" s="107">
        <v>0.20499999999999999</v>
      </c>
      <c r="BY105" s="107">
        <v>0.20500000000000002</v>
      </c>
      <c r="BZ105" s="107">
        <v>0.20500000000000002</v>
      </c>
      <c r="CA105" s="107">
        <v>0.24500000000000002</v>
      </c>
      <c r="CB105" s="107">
        <v>0.253</v>
      </c>
      <c r="CC105" s="107">
        <v>0.26</v>
      </c>
      <c r="CD105" s="107">
        <v>0.26500000000000001</v>
      </c>
      <c r="CE105" s="30" t="s">
        <v>497</v>
      </c>
      <c r="CF105" s="107">
        <v>0.03</v>
      </c>
      <c r="CG105" s="107">
        <v>2.1000000000000001E-2</v>
      </c>
      <c r="CY105" s="108" t="str">
        <f t="shared" si="32"/>
        <v/>
      </c>
      <c r="CZ105" s="109" t="str">
        <f t="shared" si="33"/>
        <v/>
      </c>
      <c r="DA105" s="109" t="str">
        <f t="shared" si="34"/>
        <v/>
      </c>
      <c r="DB105" s="110" t="str">
        <f t="shared" si="35"/>
        <v/>
      </c>
      <c r="DD105" s="108" t="str">
        <f t="shared" si="36"/>
        <v/>
      </c>
      <c r="DE105" s="109" t="str">
        <f t="shared" si="114"/>
        <v/>
      </c>
      <c r="DF105" s="109" t="str">
        <f t="shared" si="37"/>
        <v/>
      </c>
      <c r="DG105" s="110" t="str">
        <f t="shared" si="38"/>
        <v/>
      </c>
      <c r="DI105" s="108" t="str">
        <f t="shared" si="115"/>
        <v/>
      </c>
      <c r="DJ105" s="109" t="str">
        <f t="shared" si="116"/>
        <v/>
      </c>
      <c r="DK105" s="109" t="str">
        <f t="shared" si="39"/>
        <v/>
      </c>
      <c r="DL105" s="110" t="str">
        <f t="shared" si="40"/>
        <v/>
      </c>
      <c r="DN105" s="108" t="str">
        <f t="shared" si="41"/>
        <v/>
      </c>
      <c r="DO105" s="109" t="str">
        <f t="shared" si="42"/>
        <v/>
      </c>
      <c r="DP105" s="109" t="str">
        <f t="shared" si="43"/>
        <v/>
      </c>
      <c r="DQ105" s="110" t="str">
        <f t="shared" si="44"/>
        <v/>
      </c>
      <c r="DS105" s="108" t="str">
        <f t="shared" si="117"/>
        <v/>
      </c>
      <c r="DT105" s="109" t="str">
        <f t="shared" si="118"/>
        <v/>
      </c>
      <c r="DU105" s="109" t="str">
        <f t="shared" si="45"/>
        <v/>
      </c>
      <c r="DV105" s="110" t="str">
        <f t="shared" si="185"/>
        <v/>
      </c>
      <c r="DX105" s="108" t="str">
        <f t="shared" si="46"/>
        <v/>
      </c>
      <c r="DY105" s="109" t="str">
        <f t="shared" si="119"/>
        <v/>
      </c>
      <c r="DZ105" s="109" t="str">
        <f t="shared" si="47"/>
        <v/>
      </c>
      <c r="EA105" s="110" t="str">
        <f t="shared" si="120"/>
        <v/>
      </c>
      <c r="EC105" s="108" t="str">
        <f t="shared" si="121"/>
        <v/>
      </c>
      <c r="ED105" s="109" t="str">
        <f t="shared" si="122"/>
        <v/>
      </c>
      <c r="EE105" s="109" t="str">
        <f t="shared" si="48"/>
        <v/>
      </c>
      <c r="EF105" s="110" t="str">
        <f t="shared" si="186"/>
        <v/>
      </c>
      <c r="EH105" s="108" t="str">
        <f t="shared" si="49"/>
        <v/>
      </c>
      <c r="EI105" s="109" t="str">
        <f t="shared" si="123"/>
        <v/>
      </c>
      <c r="EJ105" s="109" t="str">
        <f t="shared" si="50"/>
        <v/>
      </c>
      <c r="EK105" s="110" t="str">
        <f t="shared" si="124"/>
        <v/>
      </c>
      <c r="EM105" s="108" t="str">
        <f t="shared" si="125"/>
        <v/>
      </c>
      <c r="EN105" s="109" t="str">
        <f t="shared" si="126"/>
        <v/>
      </c>
      <c r="EO105" s="109" t="str">
        <f t="shared" si="51"/>
        <v/>
      </c>
      <c r="EP105" s="110" t="str">
        <f t="shared" si="187"/>
        <v/>
      </c>
      <c r="ER105" s="108" t="str">
        <f t="shared" si="52"/>
        <v/>
      </c>
      <c r="ES105" s="109" t="str">
        <f t="shared" si="127"/>
        <v/>
      </c>
      <c r="ET105" s="109" t="str">
        <f t="shared" si="53"/>
        <v/>
      </c>
      <c r="EU105" s="110" t="str">
        <f t="shared" si="128"/>
        <v/>
      </c>
      <c r="EW105" s="108" t="str">
        <f t="shared" si="129"/>
        <v/>
      </c>
      <c r="EX105" s="109" t="str">
        <f t="shared" si="130"/>
        <v/>
      </c>
      <c r="EY105" s="109" t="str">
        <f t="shared" si="54"/>
        <v/>
      </c>
      <c r="EZ105" s="110" t="str">
        <f t="shared" si="188"/>
        <v/>
      </c>
      <c r="FB105" s="108" t="str">
        <f t="shared" si="55"/>
        <v/>
      </c>
      <c r="FC105" s="109" t="str">
        <f t="shared" si="131"/>
        <v/>
      </c>
      <c r="FD105" s="109" t="str">
        <f t="shared" si="56"/>
        <v/>
      </c>
      <c r="FE105" s="110" t="str">
        <f t="shared" si="132"/>
        <v/>
      </c>
      <c r="FG105" s="108" t="str">
        <f t="shared" si="133"/>
        <v/>
      </c>
      <c r="FH105" s="109" t="str">
        <f t="shared" si="134"/>
        <v/>
      </c>
      <c r="FI105" s="109" t="str">
        <f t="shared" si="57"/>
        <v/>
      </c>
      <c r="FJ105" s="110" t="str">
        <f t="shared" si="189"/>
        <v/>
      </c>
      <c r="FL105" s="108" t="str">
        <f t="shared" si="58"/>
        <v/>
      </c>
      <c r="FM105" s="109" t="str">
        <f t="shared" si="135"/>
        <v/>
      </c>
      <c r="FN105" s="109" t="str">
        <f t="shared" si="59"/>
        <v/>
      </c>
      <c r="FO105" s="110" t="str">
        <f t="shared" si="136"/>
        <v/>
      </c>
      <c r="FQ105" s="108" t="str">
        <f t="shared" si="137"/>
        <v/>
      </c>
      <c r="FR105" s="109" t="str">
        <f t="shared" si="138"/>
        <v/>
      </c>
      <c r="FS105" s="109" t="str">
        <f t="shared" si="60"/>
        <v/>
      </c>
      <c r="FT105" s="110" t="str">
        <f t="shared" si="190"/>
        <v/>
      </c>
      <c r="FV105" s="108" t="str">
        <f t="shared" si="61"/>
        <v/>
      </c>
      <c r="FW105" s="109" t="str">
        <f t="shared" si="139"/>
        <v/>
      </c>
      <c r="FX105" s="109" t="str">
        <f t="shared" si="62"/>
        <v/>
      </c>
      <c r="FY105" s="110" t="str">
        <f t="shared" si="140"/>
        <v/>
      </c>
      <c r="GA105" s="108" t="str">
        <f t="shared" si="141"/>
        <v/>
      </c>
      <c r="GB105" s="109" t="str">
        <f t="shared" si="142"/>
        <v/>
      </c>
      <c r="GC105" s="109" t="str">
        <f t="shared" si="63"/>
        <v/>
      </c>
      <c r="GD105" s="110" t="str">
        <f t="shared" si="191"/>
        <v/>
      </c>
      <c r="GF105" s="108" t="str">
        <f t="shared" si="64"/>
        <v/>
      </c>
      <c r="GG105" s="109" t="str">
        <f t="shared" si="143"/>
        <v/>
      </c>
      <c r="GH105" s="109" t="str">
        <f t="shared" si="65"/>
        <v/>
      </c>
      <c r="GI105" s="110" t="str">
        <f t="shared" si="144"/>
        <v/>
      </c>
      <c r="GK105" s="108" t="str">
        <f t="shared" si="145"/>
        <v/>
      </c>
      <c r="GL105" s="109" t="str">
        <f t="shared" si="146"/>
        <v/>
      </c>
      <c r="GM105" s="109" t="str">
        <f t="shared" si="147"/>
        <v/>
      </c>
      <c r="GN105" s="110" t="str">
        <f t="shared" si="192"/>
        <v/>
      </c>
      <c r="GR105" s="108" t="str">
        <f t="shared" si="66"/>
        <v/>
      </c>
      <c r="GS105" s="109" t="str">
        <f t="shared" si="67"/>
        <v/>
      </c>
      <c r="GT105" s="109" t="str">
        <f t="shared" si="68"/>
        <v/>
      </c>
      <c r="GU105" s="110" t="str">
        <f t="shared" si="69"/>
        <v/>
      </c>
      <c r="GV105" s="51"/>
      <c r="GW105" s="108" t="str">
        <f t="shared" si="70"/>
        <v/>
      </c>
      <c r="GX105" s="109" t="str">
        <f t="shared" si="148"/>
        <v/>
      </c>
      <c r="GY105" s="109" t="str">
        <f t="shared" si="71"/>
        <v/>
      </c>
      <c r="GZ105" s="110" t="str">
        <f t="shared" si="72"/>
        <v/>
      </c>
      <c r="HA105" s="51"/>
      <c r="HB105" s="108" t="str">
        <f t="shared" si="149"/>
        <v/>
      </c>
      <c r="HC105" s="109" t="str">
        <f t="shared" si="150"/>
        <v/>
      </c>
      <c r="HD105" s="109" t="str">
        <f t="shared" si="73"/>
        <v/>
      </c>
      <c r="HE105" s="110" t="str">
        <f t="shared" si="151"/>
        <v/>
      </c>
      <c r="HF105" s="51"/>
      <c r="HG105" s="108" t="str">
        <f t="shared" si="74"/>
        <v/>
      </c>
      <c r="HH105" s="109" t="str">
        <f t="shared" si="152"/>
        <v/>
      </c>
      <c r="HI105" s="109" t="str">
        <f t="shared" si="75"/>
        <v/>
      </c>
      <c r="HJ105" s="110" t="str">
        <f t="shared" si="193"/>
        <v/>
      </c>
      <c r="HK105" s="51"/>
      <c r="HL105" s="108" t="str">
        <f t="shared" si="153"/>
        <v/>
      </c>
      <c r="HM105" s="109" t="str">
        <f t="shared" si="154"/>
        <v/>
      </c>
      <c r="HN105" s="109" t="str">
        <f t="shared" si="76"/>
        <v/>
      </c>
      <c r="HO105" s="110" t="str">
        <f t="shared" si="155"/>
        <v/>
      </c>
      <c r="HP105" s="51"/>
      <c r="HQ105" s="108" t="str">
        <f t="shared" si="77"/>
        <v/>
      </c>
      <c r="HR105" s="109" t="str">
        <f t="shared" si="156"/>
        <v/>
      </c>
      <c r="HS105" s="109" t="str">
        <f t="shared" si="78"/>
        <v/>
      </c>
      <c r="HT105" s="110" t="str">
        <f t="shared" si="194"/>
        <v/>
      </c>
      <c r="HU105" s="51"/>
      <c r="HV105" s="108" t="str">
        <f t="shared" si="157"/>
        <v/>
      </c>
      <c r="HW105" s="109" t="str">
        <f t="shared" si="158"/>
        <v/>
      </c>
      <c r="HX105" s="109" t="str">
        <f t="shared" si="79"/>
        <v/>
      </c>
      <c r="HY105" s="110" t="str">
        <f t="shared" si="159"/>
        <v/>
      </c>
      <c r="HZ105" s="51"/>
      <c r="IA105" s="108" t="str">
        <f t="shared" si="80"/>
        <v/>
      </c>
      <c r="IB105" s="109" t="str">
        <f t="shared" si="160"/>
        <v/>
      </c>
      <c r="IC105" s="109" t="str">
        <f t="shared" si="81"/>
        <v/>
      </c>
      <c r="ID105" s="110" t="str">
        <f t="shared" si="195"/>
        <v/>
      </c>
      <c r="IE105" s="51"/>
      <c r="IF105" s="108" t="str">
        <f t="shared" si="161"/>
        <v/>
      </c>
      <c r="IG105" s="109" t="str">
        <f t="shared" si="162"/>
        <v/>
      </c>
      <c r="IH105" s="109" t="str">
        <f t="shared" si="82"/>
        <v/>
      </c>
      <c r="II105" s="110" t="str">
        <f t="shared" si="163"/>
        <v/>
      </c>
      <c r="IJ105" s="51"/>
      <c r="IK105" s="108" t="str">
        <f t="shared" si="83"/>
        <v/>
      </c>
      <c r="IL105" s="109" t="str">
        <f t="shared" si="164"/>
        <v/>
      </c>
      <c r="IM105" s="109" t="str">
        <f t="shared" si="84"/>
        <v/>
      </c>
      <c r="IN105" s="110" t="str">
        <f t="shared" si="196"/>
        <v/>
      </c>
      <c r="IO105" s="51"/>
      <c r="IP105" s="108" t="str">
        <f t="shared" si="165"/>
        <v/>
      </c>
      <c r="IQ105" s="109" t="str">
        <f t="shared" si="166"/>
        <v/>
      </c>
      <c r="IR105" s="109" t="str">
        <f t="shared" si="85"/>
        <v/>
      </c>
      <c r="IS105" s="110" t="str">
        <f t="shared" si="167"/>
        <v/>
      </c>
      <c r="IT105" s="51"/>
      <c r="IU105" s="108" t="str">
        <f t="shared" si="86"/>
        <v/>
      </c>
      <c r="IV105" s="109" t="str">
        <f t="shared" si="168"/>
        <v/>
      </c>
      <c r="IW105" s="109" t="str">
        <f t="shared" si="87"/>
        <v/>
      </c>
      <c r="IX105" s="110" t="str">
        <f t="shared" si="197"/>
        <v/>
      </c>
      <c r="IY105" s="51"/>
      <c r="IZ105" s="108" t="str">
        <f t="shared" si="169"/>
        <v/>
      </c>
      <c r="JA105" s="109" t="str">
        <f t="shared" si="170"/>
        <v/>
      </c>
      <c r="JB105" s="109" t="str">
        <f t="shared" si="88"/>
        <v/>
      </c>
      <c r="JC105" s="110" t="str">
        <f t="shared" si="171"/>
        <v/>
      </c>
      <c r="JD105" s="51"/>
      <c r="JE105" s="108" t="str">
        <f t="shared" si="89"/>
        <v/>
      </c>
      <c r="JF105" s="109" t="str">
        <f t="shared" si="172"/>
        <v/>
      </c>
      <c r="JG105" s="109" t="str">
        <f t="shared" si="90"/>
        <v/>
      </c>
      <c r="JH105" s="110" t="str">
        <f t="shared" si="198"/>
        <v/>
      </c>
      <c r="JI105" s="51"/>
      <c r="JJ105" s="108" t="str">
        <f t="shared" si="173"/>
        <v/>
      </c>
      <c r="JK105" s="109" t="str">
        <f t="shared" si="174"/>
        <v/>
      </c>
      <c r="JL105" s="109" t="str">
        <f t="shared" si="91"/>
        <v/>
      </c>
      <c r="JM105" s="110" t="str">
        <f t="shared" si="175"/>
        <v/>
      </c>
      <c r="JN105" s="51"/>
      <c r="JO105" s="108" t="str">
        <f t="shared" si="92"/>
        <v/>
      </c>
      <c r="JP105" s="109" t="str">
        <f t="shared" si="176"/>
        <v/>
      </c>
      <c r="JQ105" s="109" t="str">
        <f t="shared" si="93"/>
        <v/>
      </c>
      <c r="JR105" s="110" t="str">
        <f t="shared" si="199"/>
        <v/>
      </c>
      <c r="JS105" s="51"/>
      <c r="JT105" s="108" t="str">
        <f t="shared" si="177"/>
        <v/>
      </c>
      <c r="JU105" s="109" t="str">
        <f t="shared" si="178"/>
        <v/>
      </c>
      <c r="JV105" s="109" t="str">
        <f t="shared" si="94"/>
        <v/>
      </c>
      <c r="JW105" s="110" t="str">
        <f t="shared" si="179"/>
        <v/>
      </c>
      <c r="JX105" s="51"/>
      <c r="JY105" s="108" t="str">
        <f t="shared" si="95"/>
        <v/>
      </c>
      <c r="JZ105" s="109" t="str">
        <f t="shared" si="180"/>
        <v/>
      </c>
      <c r="KA105" s="109" t="str">
        <f t="shared" si="96"/>
        <v/>
      </c>
      <c r="KB105" s="110" t="str">
        <f t="shared" si="200"/>
        <v/>
      </c>
      <c r="KC105" s="51"/>
      <c r="KD105" s="108" t="str">
        <f t="shared" si="181"/>
        <v/>
      </c>
      <c r="KE105" s="109" t="str">
        <f t="shared" si="182"/>
        <v/>
      </c>
      <c r="KF105" s="109" t="str">
        <f t="shared" si="97"/>
        <v/>
      </c>
      <c r="KG105" s="110" t="str">
        <f t="shared" si="98"/>
        <v/>
      </c>
    </row>
    <row r="106" spans="1:293" ht="12" customHeight="1">
      <c r="A106" s="105">
        <f t="array" ref="A106">MAX(IF($J$80:J105&gt;0,$C$80:C105,0))</f>
        <v>43535</v>
      </c>
      <c r="B106" s="81" t="str">
        <f t="shared" si="4"/>
        <v/>
      </c>
      <c r="C106" s="82">
        <f t="shared" si="5"/>
        <v>0</v>
      </c>
      <c r="D106" s="83" t="str">
        <f t="shared" si="6"/>
        <v/>
      </c>
      <c r="E106" s="83" t="str">
        <f t="shared" si="99"/>
        <v/>
      </c>
      <c r="F106" s="83" t="str">
        <f t="shared" si="7"/>
        <v/>
      </c>
      <c r="G106" s="83" t="str">
        <f t="shared" si="8"/>
        <v/>
      </c>
      <c r="H106" s="83" t="str">
        <f t="shared" si="9"/>
        <v/>
      </c>
      <c r="I106" s="105">
        <f t="array" ref="I106">MAX(IF($R$80:R105&gt;0,$L$80:L105,0))</f>
        <v>0</v>
      </c>
      <c r="J106" s="106"/>
      <c r="K106" s="2" t="str">
        <f t="shared" si="10"/>
        <v/>
      </c>
      <c r="L106" s="82">
        <f t="shared" si="183"/>
        <v>0</v>
      </c>
      <c r="M106" s="83" t="str">
        <f t="shared" si="11"/>
        <v/>
      </c>
      <c r="N106" s="83" t="str">
        <f t="shared" si="12"/>
        <v/>
      </c>
      <c r="O106" s="83" t="str">
        <f t="shared" si="13"/>
        <v/>
      </c>
      <c r="P106" s="83" t="str">
        <f t="shared" si="14"/>
        <v/>
      </c>
      <c r="Q106" s="83" t="str">
        <f t="shared" si="15"/>
        <v/>
      </c>
      <c r="R106" s="106"/>
      <c r="S106" s="1"/>
      <c r="U106" s="85" t="e">
        <f t="shared" si="0"/>
        <v>#NUM!</v>
      </c>
      <c r="V106" s="86" t="e">
        <f t="shared" si="100"/>
        <v>#NUM!</v>
      </c>
      <c r="W106" s="87" t="e">
        <f t="shared" si="16"/>
        <v>#NUM!</v>
      </c>
      <c r="X106" s="87" t="e">
        <f t="shared" si="17"/>
        <v>#NUM!</v>
      </c>
      <c r="Y106" s="87" t="e">
        <f t="shared" si="18"/>
        <v>#NUM!</v>
      </c>
      <c r="Z106" s="88" t="e">
        <f t="shared" si="1"/>
        <v>#NUM!</v>
      </c>
      <c r="AB106" s="89">
        <f t="shared" si="101"/>
        <v>0</v>
      </c>
      <c r="AC106" s="87">
        <f t="shared" si="19"/>
        <v>0</v>
      </c>
      <c r="AD106" s="87" t="str">
        <f t="shared" si="20"/>
        <v/>
      </c>
      <c r="AE106" s="87" t="str">
        <f t="shared" si="21"/>
        <v/>
      </c>
      <c r="AF106" s="86">
        <f t="shared" si="102"/>
        <v>0</v>
      </c>
      <c r="AG106" s="87">
        <f t="shared" si="2"/>
        <v>0</v>
      </c>
      <c r="AH106" s="87">
        <f t="shared" si="103"/>
        <v>0</v>
      </c>
      <c r="AI106" s="90"/>
      <c r="AJ106" s="87" t="e">
        <f t="shared" si="22"/>
        <v>#NUM!</v>
      </c>
      <c r="AK106" s="87" t="e">
        <f t="shared" si="104"/>
        <v>#NUM!</v>
      </c>
      <c r="AL106" s="87" t="e">
        <f t="shared" si="105"/>
        <v>#NUM!</v>
      </c>
      <c r="AM106" s="87" t="e">
        <f t="shared" si="106"/>
        <v>#NUM!</v>
      </c>
      <c r="AN106" s="86">
        <f t="shared" si="23"/>
        <v>0</v>
      </c>
      <c r="AO106" s="87">
        <f t="shared" si="24"/>
        <v>0</v>
      </c>
      <c r="AP106" s="88">
        <f t="shared" si="25"/>
        <v>0</v>
      </c>
      <c r="AR106" s="91">
        <f t="shared" si="26"/>
        <v>0</v>
      </c>
      <c r="AS106" s="92">
        <f t="shared" si="27"/>
        <v>0</v>
      </c>
      <c r="AT106" s="87" t="str">
        <f t="shared" si="28"/>
        <v/>
      </c>
      <c r="AU106" s="87" t="str">
        <f t="shared" si="29"/>
        <v/>
      </c>
      <c r="AV106" s="86">
        <f t="shared" si="107"/>
        <v>0</v>
      </c>
      <c r="AW106" s="87">
        <f t="shared" si="108"/>
        <v>0</v>
      </c>
      <c r="AX106" s="87">
        <f t="shared" si="109"/>
        <v>0</v>
      </c>
      <c r="AY106" s="93"/>
      <c r="AZ106" s="87">
        <f t="shared" si="201"/>
        <v>0</v>
      </c>
      <c r="BA106" s="87">
        <f t="shared" si="110"/>
        <v>0</v>
      </c>
      <c r="BB106" s="87">
        <f t="shared" si="111"/>
        <v>0</v>
      </c>
      <c r="BC106" s="87">
        <f t="shared" si="184"/>
        <v>0</v>
      </c>
      <c r="BD106" s="86" t="e">
        <f t="shared" si="30"/>
        <v>#NUM!</v>
      </c>
      <c r="BE106" s="87" t="e">
        <f t="shared" si="3"/>
        <v>#NUM!</v>
      </c>
      <c r="BF106" s="88">
        <f t="shared" si="112"/>
        <v>0</v>
      </c>
      <c r="BH106" s="87" t="e">
        <f t="shared" si="31"/>
        <v>#NUM!</v>
      </c>
      <c r="BK106" s="95">
        <v>40053</v>
      </c>
      <c r="BL106" s="96">
        <v>27</v>
      </c>
      <c r="BT106" s="51">
        <v>20000.009999999998</v>
      </c>
      <c r="BU106" s="51">
        <v>30000</v>
      </c>
      <c r="BV106" s="30" t="str">
        <f t="shared" si="204"/>
        <v>20000.01-30000</v>
      </c>
      <c r="BW106" s="30" t="s">
        <v>497</v>
      </c>
      <c r="BX106" s="30">
        <v>0.2</v>
      </c>
      <c r="BY106" s="107">
        <v>0.2</v>
      </c>
      <c r="BZ106" s="107">
        <v>0.2</v>
      </c>
      <c r="CA106" s="107">
        <v>0.23499999999999999</v>
      </c>
      <c r="CB106" s="107">
        <v>0.24</v>
      </c>
      <c r="CC106" s="107">
        <v>0.245</v>
      </c>
      <c r="CD106" s="107">
        <v>0.25</v>
      </c>
      <c r="CE106" s="30" t="s">
        <v>497</v>
      </c>
      <c r="CF106" s="107">
        <v>2.5000000000000001E-2</v>
      </c>
      <c r="CG106" s="107">
        <v>1.6E-2</v>
      </c>
      <c r="CY106" s="108" t="str">
        <f t="shared" si="32"/>
        <v/>
      </c>
      <c r="CZ106" s="109" t="str">
        <f t="shared" si="33"/>
        <v/>
      </c>
      <c r="DA106" s="109" t="str">
        <f t="shared" si="34"/>
        <v/>
      </c>
      <c r="DB106" s="110" t="str">
        <f t="shared" si="35"/>
        <v/>
      </c>
      <c r="DD106" s="108" t="str">
        <f t="shared" si="36"/>
        <v/>
      </c>
      <c r="DE106" s="109" t="str">
        <f t="shared" si="114"/>
        <v/>
      </c>
      <c r="DF106" s="109" t="str">
        <f t="shared" si="37"/>
        <v/>
      </c>
      <c r="DG106" s="110" t="str">
        <f t="shared" si="38"/>
        <v/>
      </c>
      <c r="DI106" s="108" t="str">
        <f t="shared" si="115"/>
        <v/>
      </c>
      <c r="DJ106" s="109" t="str">
        <f t="shared" si="116"/>
        <v/>
      </c>
      <c r="DK106" s="109" t="str">
        <f t="shared" si="39"/>
        <v/>
      </c>
      <c r="DL106" s="110" t="str">
        <f t="shared" si="40"/>
        <v/>
      </c>
      <c r="DN106" s="108" t="str">
        <f t="shared" si="41"/>
        <v/>
      </c>
      <c r="DO106" s="109" t="str">
        <f t="shared" si="42"/>
        <v/>
      </c>
      <c r="DP106" s="109" t="str">
        <f t="shared" si="43"/>
        <v/>
      </c>
      <c r="DQ106" s="110" t="str">
        <f t="shared" si="44"/>
        <v/>
      </c>
      <c r="DS106" s="108" t="str">
        <f t="shared" si="117"/>
        <v/>
      </c>
      <c r="DT106" s="109" t="str">
        <f t="shared" si="118"/>
        <v/>
      </c>
      <c r="DU106" s="109" t="str">
        <f t="shared" si="45"/>
        <v/>
      </c>
      <c r="DV106" s="110" t="str">
        <f t="shared" si="185"/>
        <v/>
      </c>
      <c r="DX106" s="108" t="str">
        <f t="shared" si="46"/>
        <v/>
      </c>
      <c r="DY106" s="109" t="str">
        <f t="shared" si="119"/>
        <v/>
      </c>
      <c r="DZ106" s="109" t="str">
        <f t="shared" si="47"/>
        <v/>
      </c>
      <c r="EA106" s="110" t="str">
        <f t="shared" si="120"/>
        <v/>
      </c>
      <c r="EC106" s="108" t="str">
        <f t="shared" si="121"/>
        <v/>
      </c>
      <c r="ED106" s="109" t="str">
        <f t="shared" si="122"/>
        <v/>
      </c>
      <c r="EE106" s="109" t="str">
        <f t="shared" si="48"/>
        <v/>
      </c>
      <c r="EF106" s="110" t="str">
        <f t="shared" si="186"/>
        <v/>
      </c>
      <c r="EH106" s="108" t="str">
        <f t="shared" si="49"/>
        <v/>
      </c>
      <c r="EI106" s="109" t="str">
        <f t="shared" si="123"/>
        <v/>
      </c>
      <c r="EJ106" s="109" t="str">
        <f t="shared" si="50"/>
        <v/>
      </c>
      <c r="EK106" s="110" t="str">
        <f t="shared" si="124"/>
        <v/>
      </c>
      <c r="EM106" s="108" t="str">
        <f t="shared" si="125"/>
        <v/>
      </c>
      <c r="EN106" s="109" t="str">
        <f t="shared" si="126"/>
        <v/>
      </c>
      <c r="EO106" s="109" t="str">
        <f t="shared" si="51"/>
        <v/>
      </c>
      <c r="EP106" s="110" t="str">
        <f t="shared" si="187"/>
        <v/>
      </c>
      <c r="ER106" s="108" t="str">
        <f t="shared" si="52"/>
        <v/>
      </c>
      <c r="ES106" s="109" t="str">
        <f t="shared" si="127"/>
        <v/>
      </c>
      <c r="ET106" s="109" t="str">
        <f t="shared" si="53"/>
        <v/>
      </c>
      <c r="EU106" s="110" t="str">
        <f t="shared" si="128"/>
        <v/>
      </c>
      <c r="EW106" s="108" t="str">
        <f t="shared" si="129"/>
        <v/>
      </c>
      <c r="EX106" s="109" t="str">
        <f t="shared" si="130"/>
        <v/>
      </c>
      <c r="EY106" s="109" t="str">
        <f t="shared" si="54"/>
        <v/>
      </c>
      <c r="EZ106" s="110" t="str">
        <f t="shared" si="188"/>
        <v/>
      </c>
      <c r="FB106" s="108" t="str">
        <f t="shared" si="55"/>
        <v/>
      </c>
      <c r="FC106" s="109" t="str">
        <f t="shared" si="131"/>
        <v/>
      </c>
      <c r="FD106" s="109" t="str">
        <f t="shared" si="56"/>
        <v/>
      </c>
      <c r="FE106" s="110" t="str">
        <f t="shared" si="132"/>
        <v/>
      </c>
      <c r="FG106" s="108" t="str">
        <f t="shared" si="133"/>
        <v/>
      </c>
      <c r="FH106" s="109" t="str">
        <f t="shared" si="134"/>
        <v/>
      </c>
      <c r="FI106" s="109" t="str">
        <f t="shared" si="57"/>
        <v/>
      </c>
      <c r="FJ106" s="110" t="str">
        <f t="shared" si="189"/>
        <v/>
      </c>
      <c r="FL106" s="108" t="str">
        <f t="shared" si="58"/>
        <v/>
      </c>
      <c r="FM106" s="109" t="str">
        <f t="shared" si="135"/>
        <v/>
      </c>
      <c r="FN106" s="109" t="str">
        <f t="shared" si="59"/>
        <v/>
      </c>
      <c r="FO106" s="110" t="str">
        <f t="shared" si="136"/>
        <v/>
      </c>
      <c r="FQ106" s="108" t="str">
        <f t="shared" si="137"/>
        <v/>
      </c>
      <c r="FR106" s="109" t="str">
        <f t="shared" si="138"/>
        <v/>
      </c>
      <c r="FS106" s="109" t="str">
        <f t="shared" si="60"/>
        <v/>
      </c>
      <c r="FT106" s="110" t="str">
        <f t="shared" si="190"/>
        <v/>
      </c>
      <c r="FV106" s="108" t="str">
        <f t="shared" si="61"/>
        <v/>
      </c>
      <c r="FW106" s="109" t="str">
        <f t="shared" si="139"/>
        <v/>
      </c>
      <c r="FX106" s="109" t="str">
        <f t="shared" si="62"/>
        <v/>
      </c>
      <c r="FY106" s="110" t="str">
        <f t="shared" si="140"/>
        <v/>
      </c>
      <c r="GA106" s="108" t="str">
        <f t="shared" si="141"/>
        <v/>
      </c>
      <c r="GB106" s="109" t="str">
        <f t="shared" si="142"/>
        <v/>
      </c>
      <c r="GC106" s="109" t="str">
        <f t="shared" si="63"/>
        <v/>
      </c>
      <c r="GD106" s="110" t="str">
        <f t="shared" si="191"/>
        <v/>
      </c>
      <c r="GF106" s="108" t="str">
        <f t="shared" si="64"/>
        <v/>
      </c>
      <c r="GG106" s="109" t="str">
        <f t="shared" si="143"/>
        <v/>
      </c>
      <c r="GH106" s="109" t="str">
        <f t="shared" si="65"/>
        <v/>
      </c>
      <c r="GI106" s="110" t="str">
        <f t="shared" si="144"/>
        <v/>
      </c>
      <c r="GK106" s="108" t="str">
        <f t="shared" si="145"/>
        <v/>
      </c>
      <c r="GL106" s="109" t="str">
        <f t="shared" si="146"/>
        <v/>
      </c>
      <c r="GM106" s="109" t="str">
        <f t="shared" si="147"/>
        <v/>
      </c>
      <c r="GN106" s="110" t="str">
        <f t="shared" si="192"/>
        <v/>
      </c>
      <c r="GR106" s="108" t="str">
        <f t="shared" si="66"/>
        <v/>
      </c>
      <c r="GS106" s="109" t="str">
        <f t="shared" si="67"/>
        <v/>
      </c>
      <c r="GT106" s="109" t="str">
        <f t="shared" si="68"/>
        <v/>
      </c>
      <c r="GU106" s="110" t="str">
        <f t="shared" si="69"/>
        <v/>
      </c>
      <c r="GV106" s="51"/>
      <c r="GW106" s="108" t="str">
        <f t="shared" si="70"/>
        <v/>
      </c>
      <c r="GX106" s="109" t="str">
        <f t="shared" si="148"/>
        <v/>
      </c>
      <c r="GY106" s="109" t="str">
        <f t="shared" si="71"/>
        <v/>
      </c>
      <c r="GZ106" s="110" t="str">
        <f t="shared" si="72"/>
        <v/>
      </c>
      <c r="HA106" s="51"/>
      <c r="HB106" s="108" t="str">
        <f t="shared" si="149"/>
        <v/>
      </c>
      <c r="HC106" s="109" t="str">
        <f t="shared" si="150"/>
        <v/>
      </c>
      <c r="HD106" s="109" t="str">
        <f t="shared" si="73"/>
        <v/>
      </c>
      <c r="HE106" s="110" t="str">
        <f t="shared" si="151"/>
        <v/>
      </c>
      <c r="HF106" s="51"/>
      <c r="HG106" s="108" t="str">
        <f t="shared" si="74"/>
        <v/>
      </c>
      <c r="HH106" s="109" t="str">
        <f t="shared" si="152"/>
        <v/>
      </c>
      <c r="HI106" s="109" t="str">
        <f t="shared" si="75"/>
        <v/>
      </c>
      <c r="HJ106" s="110" t="str">
        <f t="shared" si="193"/>
        <v/>
      </c>
      <c r="HK106" s="51"/>
      <c r="HL106" s="108" t="str">
        <f t="shared" si="153"/>
        <v/>
      </c>
      <c r="HM106" s="109" t="str">
        <f t="shared" si="154"/>
        <v/>
      </c>
      <c r="HN106" s="109" t="str">
        <f t="shared" si="76"/>
        <v/>
      </c>
      <c r="HO106" s="110" t="str">
        <f t="shared" si="155"/>
        <v/>
      </c>
      <c r="HP106" s="51"/>
      <c r="HQ106" s="108" t="str">
        <f t="shared" si="77"/>
        <v/>
      </c>
      <c r="HR106" s="109" t="str">
        <f t="shared" si="156"/>
        <v/>
      </c>
      <c r="HS106" s="109" t="str">
        <f t="shared" si="78"/>
        <v/>
      </c>
      <c r="HT106" s="110" t="str">
        <f t="shared" si="194"/>
        <v/>
      </c>
      <c r="HU106" s="51"/>
      <c r="HV106" s="108" t="str">
        <f t="shared" si="157"/>
        <v/>
      </c>
      <c r="HW106" s="109" t="str">
        <f t="shared" si="158"/>
        <v/>
      </c>
      <c r="HX106" s="109" t="str">
        <f t="shared" si="79"/>
        <v/>
      </c>
      <c r="HY106" s="110" t="str">
        <f t="shared" si="159"/>
        <v/>
      </c>
      <c r="HZ106" s="51"/>
      <c r="IA106" s="108" t="str">
        <f t="shared" si="80"/>
        <v/>
      </c>
      <c r="IB106" s="109" t="str">
        <f t="shared" si="160"/>
        <v/>
      </c>
      <c r="IC106" s="109" t="str">
        <f t="shared" si="81"/>
        <v/>
      </c>
      <c r="ID106" s="110" t="str">
        <f t="shared" si="195"/>
        <v/>
      </c>
      <c r="IE106" s="51"/>
      <c r="IF106" s="108" t="str">
        <f t="shared" si="161"/>
        <v/>
      </c>
      <c r="IG106" s="109" t="str">
        <f t="shared" si="162"/>
        <v/>
      </c>
      <c r="IH106" s="109" t="str">
        <f t="shared" si="82"/>
        <v/>
      </c>
      <c r="II106" s="110" t="str">
        <f t="shared" si="163"/>
        <v/>
      </c>
      <c r="IJ106" s="51"/>
      <c r="IK106" s="108" t="str">
        <f t="shared" si="83"/>
        <v/>
      </c>
      <c r="IL106" s="109" t="str">
        <f t="shared" si="164"/>
        <v/>
      </c>
      <c r="IM106" s="109" t="str">
        <f t="shared" si="84"/>
        <v/>
      </c>
      <c r="IN106" s="110" t="str">
        <f t="shared" si="196"/>
        <v/>
      </c>
      <c r="IO106" s="51"/>
      <c r="IP106" s="108" t="str">
        <f t="shared" si="165"/>
        <v/>
      </c>
      <c r="IQ106" s="109" t="str">
        <f t="shared" si="166"/>
        <v/>
      </c>
      <c r="IR106" s="109" t="str">
        <f t="shared" si="85"/>
        <v/>
      </c>
      <c r="IS106" s="110" t="str">
        <f t="shared" si="167"/>
        <v/>
      </c>
      <c r="IT106" s="51"/>
      <c r="IU106" s="108" t="str">
        <f t="shared" si="86"/>
        <v/>
      </c>
      <c r="IV106" s="109" t="str">
        <f t="shared" si="168"/>
        <v/>
      </c>
      <c r="IW106" s="109" t="str">
        <f t="shared" si="87"/>
        <v/>
      </c>
      <c r="IX106" s="110" t="str">
        <f t="shared" si="197"/>
        <v/>
      </c>
      <c r="IY106" s="51"/>
      <c r="IZ106" s="108" t="str">
        <f t="shared" si="169"/>
        <v/>
      </c>
      <c r="JA106" s="109" t="str">
        <f t="shared" si="170"/>
        <v/>
      </c>
      <c r="JB106" s="109" t="str">
        <f t="shared" si="88"/>
        <v/>
      </c>
      <c r="JC106" s="110" t="str">
        <f t="shared" si="171"/>
        <v/>
      </c>
      <c r="JD106" s="51"/>
      <c r="JE106" s="108" t="str">
        <f t="shared" si="89"/>
        <v/>
      </c>
      <c r="JF106" s="109" t="str">
        <f t="shared" si="172"/>
        <v/>
      </c>
      <c r="JG106" s="109" t="str">
        <f t="shared" si="90"/>
        <v/>
      </c>
      <c r="JH106" s="110" t="str">
        <f t="shared" si="198"/>
        <v/>
      </c>
      <c r="JI106" s="51"/>
      <c r="JJ106" s="108" t="str">
        <f t="shared" si="173"/>
        <v/>
      </c>
      <c r="JK106" s="109" t="str">
        <f t="shared" si="174"/>
        <v/>
      </c>
      <c r="JL106" s="109" t="str">
        <f t="shared" si="91"/>
        <v/>
      </c>
      <c r="JM106" s="110" t="str">
        <f t="shared" si="175"/>
        <v/>
      </c>
      <c r="JN106" s="51"/>
      <c r="JO106" s="108" t="str">
        <f t="shared" si="92"/>
        <v/>
      </c>
      <c r="JP106" s="109" t="str">
        <f t="shared" si="176"/>
        <v/>
      </c>
      <c r="JQ106" s="109" t="str">
        <f t="shared" si="93"/>
        <v/>
      </c>
      <c r="JR106" s="110" t="str">
        <f t="shared" si="199"/>
        <v/>
      </c>
      <c r="JS106" s="51"/>
      <c r="JT106" s="108" t="str">
        <f t="shared" si="177"/>
        <v/>
      </c>
      <c r="JU106" s="109" t="str">
        <f t="shared" si="178"/>
        <v/>
      </c>
      <c r="JV106" s="109" t="str">
        <f t="shared" si="94"/>
        <v/>
      </c>
      <c r="JW106" s="110" t="str">
        <f t="shared" si="179"/>
        <v/>
      </c>
      <c r="JX106" s="51"/>
      <c r="JY106" s="108" t="str">
        <f t="shared" si="95"/>
        <v/>
      </c>
      <c r="JZ106" s="109" t="str">
        <f t="shared" si="180"/>
        <v/>
      </c>
      <c r="KA106" s="109" t="str">
        <f t="shared" si="96"/>
        <v/>
      </c>
      <c r="KB106" s="110" t="str">
        <f t="shared" si="200"/>
        <v/>
      </c>
      <c r="KC106" s="51"/>
      <c r="KD106" s="108" t="str">
        <f t="shared" si="181"/>
        <v/>
      </c>
      <c r="KE106" s="109" t="str">
        <f t="shared" si="182"/>
        <v/>
      </c>
      <c r="KF106" s="109" t="str">
        <f t="shared" si="97"/>
        <v/>
      </c>
      <c r="KG106" s="110" t="str">
        <f t="shared" si="98"/>
        <v/>
      </c>
    </row>
    <row r="107" spans="1:293" ht="12" customHeight="1">
      <c r="A107" s="105">
        <f t="array" ref="A107">MAX(IF($J$80:J106&gt;0,$C$80:C106,0))</f>
        <v>43535</v>
      </c>
      <c r="B107" s="81" t="str">
        <f t="shared" si="4"/>
        <v/>
      </c>
      <c r="C107" s="82">
        <f t="shared" si="5"/>
        <v>0</v>
      </c>
      <c r="D107" s="83" t="str">
        <f t="shared" si="6"/>
        <v/>
      </c>
      <c r="E107" s="83" t="str">
        <f t="shared" si="99"/>
        <v/>
      </c>
      <c r="F107" s="83" t="str">
        <f t="shared" si="7"/>
        <v/>
      </c>
      <c r="G107" s="83" t="str">
        <f t="shared" si="8"/>
        <v/>
      </c>
      <c r="H107" s="83" t="str">
        <f t="shared" si="9"/>
        <v/>
      </c>
      <c r="I107" s="105">
        <f t="array" ref="I107">MAX(IF($R$80:R106&gt;0,$L$80:L106,0))</f>
        <v>0</v>
      </c>
      <c r="J107" s="106"/>
      <c r="K107" s="2" t="str">
        <f t="shared" si="10"/>
        <v/>
      </c>
      <c r="L107" s="82">
        <f t="shared" si="183"/>
        <v>0</v>
      </c>
      <c r="M107" s="83" t="str">
        <f t="shared" si="11"/>
        <v/>
      </c>
      <c r="N107" s="83" t="str">
        <f t="shared" si="12"/>
        <v/>
      </c>
      <c r="O107" s="83" t="str">
        <f t="shared" si="13"/>
        <v/>
      </c>
      <c r="P107" s="83" t="str">
        <f t="shared" si="14"/>
        <v/>
      </c>
      <c r="Q107" s="83" t="str">
        <f t="shared" si="15"/>
        <v/>
      </c>
      <c r="R107" s="106"/>
      <c r="S107" s="1"/>
      <c r="U107" s="85" t="e">
        <f t="shared" si="0"/>
        <v>#NUM!</v>
      </c>
      <c r="V107" s="86" t="e">
        <f t="shared" si="100"/>
        <v>#NUM!</v>
      </c>
      <c r="W107" s="87" t="e">
        <f t="shared" si="16"/>
        <v>#NUM!</v>
      </c>
      <c r="X107" s="87" t="e">
        <f t="shared" si="17"/>
        <v>#NUM!</v>
      </c>
      <c r="Y107" s="87" t="e">
        <f t="shared" si="18"/>
        <v>#NUM!</v>
      </c>
      <c r="Z107" s="88" t="e">
        <f t="shared" si="1"/>
        <v>#NUM!</v>
      </c>
      <c r="AB107" s="89">
        <f t="shared" si="101"/>
        <v>0</v>
      </c>
      <c r="AC107" s="87">
        <f t="shared" si="19"/>
        <v>0</v>
      </c>
      <c r="AD107" s="87" t="str">
        <f t="shared" si="20"/>
        <v/>
      </c>
      <c r="AE107" s="87" t="str">
        <f t="shared" si="21"/>
        <v/>
      </c>
      <c r="AF107" s="86">
        <f t="shared" si="102"/>
        <v>0</v>
      </c>
      <c r="AG107" s="87">
        <f t="shared" si="2"/>
        <v>0</v>
      </c>
      <c r="AH107" s="87">
        <f t="shared" si="103"/>
        <v>0</v>
      </c>
      <c r="AI107" s="90"/>
      <c r="AJ107" s="87" t="e">
        <f t="shared" si="22"/>
        <v>#NUM!</v>
      </c>
      <c r="AK107" s="87" t="e">
        <f t="shared" si="104"/>
        <v>#NUM!</v>
      </c>
      <c r="AL107" s="87" t="e">
        <f t="shared" si="105"/>
        <v>#NUM!</v>
      </c>
      <c r="AM107" s="87" t="e">
        <f t="shared" si="106"/>
        <v>#NUM!</v>
      </c>
      <c r="AN107" s="86">
        <f t="shared" si="23"/>
        <v>0</v>
      </c>
      <c r="AO107" s="87">
        <f t="shared" si="24"/>
        <v>0</v>
      </c>
      <c r="AP107" s="88">
        <f t="shared" si="25"/>
        <v>0</v>
      </c>
      <c r="AR107" s="91">
        <f t="shared" si="26"/>
        <v>0</v>
      </c>
      <c r="AS107" s="92">
        <f t="shared" si="27"/>
        <v>0</v>
      </c>
      <c r="AT107" s="87" t="str">
        <f t="shared" si="28"/>
        <v/>
      </c>
      <c r="AU107" s="87" t="str">
        <f t="shared" si="29"/>
        <v/>
      </c>
      <c r="AV107" s="86">
        <f t="shared" si="107"/>
        <v>0</v>
      </c>
      <c r="AW107" s="87">
        <f t="shared" si="108"/>
        <v>0</v>
      </c>
      <c r="AX107" s="87">
        <f t="shared" si="109"/>
        <v>0</v>
      </c>
      <c r="AY107" s="93"/>
      <c r="AZ107" s="87">
        <f t="shared" si="201"/>
        <v>0</v>
      </c>
      <c r="BA107" s="87">
        <f t="shared" si="110"/>
        <v>0</v>
      </c>
      <c r="BB107" s="87">
        <f t="shared" si="111"/>
        <v>0</v>
      </c>
      <c r="BC107" s="87">
        <f t="shared" si="184"/>
        <v>0</v>
      </c>
      <c r="BD107" s="86" t="e">
        <f t="shared" si="30"/>
        <v>#NUM!</v>
      </c>
      <c r="BE107" s="87" t="e">
        <f t="shared" si="3"/>
        <v>#NUM!</v>
      </c>
      <c r="BF107" s="88">
        <f t="shared" si="112"/>
        <v>0</v>
      </c>
      <c r="BH107" s="87" t="e">
        <f t="shared" si="31"/>
        <v>#NUM!</v>
      </c>
      <c r="BK107" s="95">
        <v>40100</v>
      </c>
      <c r="BL107" s="96">
        <v>28</v>
      </c>
      <c r="BT107" s="51">
        <v>30000.01</v>
      </c>
      <c r="BU107" s="51">
        <v>40000</v>
      </c>
      <c r="BV107" s="30" t="str">
        <f t="shared" si="204"/>
        <v>30000.01-40000</v>
      </c>
      <c r="BW107" s="30" t="s">
        <v>497</v>
      </c>
      <c r="BX107" s="30">
        <v>0.19</v>
      </c>
      <c r="BY107" s="107">
        <v>0.19</v>
      </c>
      <c r="BZ107" s="107">
        <v>0.19</v>
      </c>
      <c r="CA107" s="107">
        <v>0.21000000000000002</v>
      </c>
      <c r="CB107" s="107">
        <v>0.21500000000000002</v>
      </c>
      <c r="CC107" s="107">
        <v>0.22000000000000003</v>
      </c>
      <c r="CD107" s="107">
        <v>0.22000000000000003</v>
      </c>
      <c r="CE107" s="30" t="s">
        <v>497</v>
      </c>
      <c r="CF107" s="107">
        <v>1.4999999999999999E-2</v>
      </c>
      <c r="CG107" s="107">
        <v>1.6E-2</v>
      </c>
      <c r="CY107" s="108" t="str">
        <f t="shared" si="32"/>
        <v/>
      </c>
      <c r="CZ107" s="109" t="str">
        <f t="shared" si="33"/>
        <v/>
      </c>
      <c r="DA107" s="109" t="str">
        <f t="shared" si="34"/>
        <v/>
      </c>
      <c r="DB107" s="110" t="str">
        <f t="shared" si="35"/>
        <v/>
      </c>
      <c r="DD107" s="108" t="str">
        <f t="shared" si="36"/>
        <v/>
      </c>
      <c r="DE107" s="109" t="str">
        <f t="shared" si="114"/>
        <v/>
      </c>
      <c r="DF107" s="109" t="str">
        <f t="shared" si="37"/>
        <v/>
      </c>
      <c r="DG107" s="110" t="str">
        <f t="shared" si="38"/>
        <v/>
      </c>
      <c r="DI107" s="108" t="str">
        <f t="shared" si="115"/>
        <v/>
      </c>
      <c r="DJ107" s="109" t="str">
        <f t="shared" si="116"/>
        <v/>
      </c>
      <c r="DK107" s="109" t="str">
        <f t="shared" si="39"/>
        <v/>
      </c>
      <c r="DL107" s="110" t="str">
        <f t="shared" si="40"/>
        <v/>
      </c>
      <c r="DN107" s="108" t="str">
        <f t="shared" si="41"/>
        <v/>
      </c>
      <c r="DO107" s="109" t="str">
        <f t="shared" si="42"/>
        <v/>
      </c>
      <c r="DP107" s="109" t="str">
        <f t="shared" si="43"/>
        <v/>
      </c>
      <c r="DQ107" s="110" t="str">
        <f t="shared" si="44"/>
        <v/>
      </c>
      <c r="DS107" s="108" t="str">
        <f t="shared" si="117"/>
        <v/>
      </c>
      <c r="DT107" s="109" t="str">
        <f t="shared" si="118"/>
        <v/>
      </c>
      <c r="DU107" s="109" t="str">
        <f t="shared" si="45"/>
        <v/>
      </c>
      <c r="DV107" s="110" t="str">
        <f t="shared" si="185"/>
        <v/>
      </c>
      <c r="DX107" s="108" t="str">
        <f t="shared" si="46"/>
        <v/>
      </c>
      <c r="DY107" s="109" t="str">
        <f t="shared" si="119"/>
        <v/>
      </c>
      <c r="DZ107" s="109" t="str">
        <f t="shared" si="47"/>
        <v/>
      </c>
      <c r="EA107" s="110" t="str">
        <f t="shared" si="120"/>
        <v/>
      </c>
      <c r="EC107" s="108" t="str">
        <f t="shared" si="121"/>
        <v/>
      </c>
      <c r="ED107" s="109" t="str">
        <f t="shared" si="122"/>
        <v/>
      </c>
      <c r="EE107" s="109" t="str">
        <f t="shared" si="48"/>
        <v/>
      </c>
      <c r="EF107" s="110" t="str">
        <f t="shared" si="186"/>
        <v/>
      </c>
      <c r="EH107" s="108" t="str">
        <f t="shared" si="49"/>
        <v/>
      </c>
      <c r="EI107" s="109" t="str">
        <f t="shared" si="123"/>
        <v/>
      </c>
      <c r="EJ107" s="109" t="str">
        <f t="shared" si="50"/>
        <v/>
      </c>
      <c r="EK107" s="110" t="str">
        <f t="shared" si="124"/>
        <v/>
      </c>
      <c r="EM107" s="108" t="str">
        <f t="shared" si="125"/>
        <v/>
      </c>
      <c r="EN107" s="109" t="str">
        <f t="shared" si="126"/>
        <v/>
      </c>
      <c r="EO107" s="109" t="str">
        <f t="shared" si="51"/>
        <v/>
      </c>
      <c r="EP107" s="110" t="str">
        <f t="shared" si="187"/>
        <v/>
      </c>
      <c r="ER107" s="108" t="str">
        <f t="shared" si="52"/>
        <v/>
      </c>
      <c r="ES107" s="109" t="str">
        <f t="shared" si="127"/>
        <v/>
      </c>
      <c r="ET107" s="109" t="str">
        <f t="shared" si="53"/>
        <v/>
      </c>
      <c r="EU107" s="110" t="str">
        <f t="shared" si="128"/>
        <v/>
      </c>
      <c r="EW107" s="108" t="str">
        <f t="shared" si="129"/>
        <v/>
      </c>
      <c r="EX107" s="109" t="str">
        <f t="shared" si="130"/>
        <v/>
      </c>
      <c r="EY107" s="109" t="str">
        <f t="shared" si="54"/>
        <v/>
      </c>
      <c r="EZ107" s="110" t="str">
        <f t="shared" si="188"/>
        <v/>
      </c>
      <c r="FB107" s="108" t="str">
        <f t="shared" si="55"/>
        <v/>
      </c>
      <c r="FC107" s="109" t="str">
        <f t="shared" si="131"/>
        <v/>
      </c>
      <c r="FD107" s="109" t="str">
        <f t="shared" si="56"/>
        <v/>
      </c>
      <c r="FE107" s="110" t="str">
        <f t="shared" si="132"/>
        <v/>
      </c>
      <c r="FG107" s="108" t="str">
        <f t="shared" si="133"/>
        <v/>
      </c>
      <c r="FH107" s="109" t="str">
        <f t="shared" si="134"/>
        <v/>
      </c>
      <c r="FI107" s="109" t="str">
        <f t="shared" si="57"/>
        <v/>
      </c>
      <c r="FJ107" s="110" t="str">
        <f t="shared" si="189"/>
        <v/>
      </c>
      <c r="FL107" s="108" t="str">
        <f t="shared" si="58"/>
        <v/>
      </c>
      <c r="FM107" s="109" t="str">
        <f t="shared" si="135"/>
        <v/>
      </c>
      <c r="FN107" s="109" t="str">
        <f t="shared" si="59"/>
        <v/>
      </c>
      <c r="FO107" s="110" t="str">
        <f t="shared" si="136"/>
        <v/>
      </c>
      <c r="FQ107" s="108" t="str">
        <f t="shared" si="137"/>
        <v/>
      </c>
      <c r="FR107" s="109" t="str">
        <f t="shared" si="138"/>
        <v/>
      </c>
      <c r="FS107" s="109" t="str">
        <f t="shared" si="60"/>
        <v/>
      </c>
      <c r="FT107" s="110" t="str">
        <f t="shared" si="190"/>
        <v/>
      </c>
      <c r="FV107" s="108" t="str">
        <f t="shared" si="61"/>
        <v/>
      </c>
      <c r="FW107" s="109" t="str">
        <f t="shared" si="139"/>
        <v/>
      </c>
      <c r="FX107" s="109" t="str">
        <f t="shared" si="62"/>
        <v/>
      </c>
      <c r="FY107" s="110" t="str">
        <f t="shared" si="140"/>
        <v/>
      </c>
      <c r="GA107" s="108" t="str">
        <f t="shared" si="141"/>
        <v/>
      </c>
      <c r="GB107" s="109" t="str">
        <f t="shared" si="142"/>
        <v/>
      </c>
      <c r="GC107" s="109" t="str">
        <f t="shared" si="63"/>
        <v/>
      </c>
      <c r="GD107" s="110" t="str">
        <f t="shared" si="191"/>
        <v/>
      </c>
      <c r="GF107" s="108" t="str">
        <f t="shared" si="64"/>
        <v/>
      </c>
      <c r="GG107" s="109" t="str">
        <f t="shared" si="143"/>
        <v/>
      </c>
      <c r="GH107" s="109" t="str">
        <f t="shared" si="65"/>
        <v/>
      </c>
      <c r="GI107" s="110" t="str">
        <f t="shared" si="144"/>
        <v/>
      </c>
      <c r="GK107" s="108" t="str">
        <f t="shared" si="145"/>
        <v/>
      </c>
      <c r="GL107" s="109" t="str">
        <f t="shared" si="146"/>
        <v/>
      </c>
      <c r="GM107" s="109" t="str">
        <f t="shared" si="147"/>
        <v/>
      </c>
      <c r="GN107" s="110" t="str">
        <f t="shared" si="192"/>
        <v/>
      </c>
      <c r="GR107" s="108" t="str">
        <f t="shared" si="66"/>
        <v/>
      </c>
      <c r="GS107" s="109" t="str">
        <f t="shared" si="67"/>
        <v/>
      </c>
      <c r="GT107" s="109" t="str">
        <f t="shared" si="68"/>
        <v/>
      </c>
      <c r="GU107" s="110" t="str">
        <f t="shared" si="69"/>
        <v/>
      </c>
      <c r="GV107" s="51"/>
      <c r="GW107" s="108" t="str">
        <f t="shared" si="70"/>
        <v/>
      </c>
      <c r="GX107" s="109" t="str">
        <f t="shared" si="148"/>
        <v/>
      </c>
      <c r="GY107" s="109" t="str">
        <f t="shared" si="71"/>
        <v/>
      </c>
      <c r="GZ107" s="110" t="str">
        <f t="shared" si="72"/>
        <v/>
      </c>
      <c r="HA107" s="51"/>
      <c r="HB107" s="108" t="str">
        <f t="shared" si="149"/>
        <v/>
      </c>
      <c r="HC107" s="109" t="str">
        <f t="shared" si="150"/>
        <v/>
      </c>
      <c r="HD107" s="109" t="str">
        <f t="shared" si="73"/>
        <v/>
      </c>
      <c r="HE107" s="110" t="str">
        <f t="shared" si="151"/>
        <v/>
      </c>
      <c r="HF107" s="51"/>
      <c r="HG107" s="108" t="str">
        <f t="shared" si="74"/>
        <v/>
      </c>
      <c r="HH107" s="109" t="str">
        <f t="shared" si="152"/>
        <v/>
      </c>
      <c r="HI107" s="109" t="str">
        <f t="shared" si="75"/>
        <v/>
      </c>
      <c r="HJ107" s="110" t="str">
        <f t="shared" si="193"/>
        <v/>
      </c>
      <c r="HK107" s="51"/>
      <c r="HL107" s="108" t="str">
        <f t="shared" si="153"/>
        <v/>
      </c>
      <c r="HM107" s="109" t="str">
        <f t="shared" si="154"/>
        <v/>
      </c>
      <c r="HN107" s="109" t="str">
        <f t="shared" si="76"/>
        <v/>
      </c>
      <c r="HO107" s="110" t="str">
        <f t="shared" si="155"/>
        <v/>
      </c>
      <c r="HP107" s="51"/>
      <c r="HQ107" s="108" t="str">
        <f t="shared" si="77"/>
        <v/>
      </c>
      <c r="HR107" s="109" t="str">
        <f t="shared" si="156"/>
        <v/>
      </c>
      <c r="HS107" s="109" t="str">
        <f t="shared" si="78"/>
        <v/>
      </c>
      <c r="HT107" s="110" t="str">
        <f t="shared" si="194"/>
        <v/>
      </c>
      <c r="HU107" s="51"/>
      <c r="HV107" s="108" t="str">
        <f t="shared" si="157"/>
        <v/>
      </c>
      <c r="HW107" s="109" t="str">
        <f t="shared" si="158"/>
        <v/>
      </c>
      <c r="HX107" s="109" t="str">
        <f t="shared" si="79"/>
        <v/>
      </c>
      <c r="HY107" s="110" t="str">
        <f t="shared" si="159"/>
        <v/>
      </c>
      <c r="HZ107" s="51"/>
      <c r="IA107" s="108" t="str">
        <f t="shared" si="80"/>
        <v/>
      </c>
      <c r="IB107" s="109" t="str">
        <f t="shared" si="160"/>
        <v/>
      </c>
      <c r="IC107" s="109" t="str">
        <f t="shared" si="81"/>
        <v/>
      </c>
      <c r="ID107" s="110" t="str">
        <f t="shared" si="195"/>
        <v/>
      </c>
      <c r="IE107" s="51"/>
      <c r="IF107" s="108" t="str">
        <f t="shared" si="161"/>
        <v/>
      </c>
      <c r="IG107" s="109" t="str">
        <f t="shared" si="162"/>
        <v/>
      </c>
      <c r="IH107" s="109" t="str">
        <f t="shared" si="82"/>
        <v/>
      </c>
      <c r="II107" s="110" t="str">
        <f t="shared" si="163"/>
        <v/>
      </c>
      <c r="IJ107" s="51"/>
      <c r="IK107" s="108" t="str">
        <f t="shared" si="83"/>
        <v/>
      </c>
      <c r="IL107" s="109" t="str">
        <f t="shared" si="164"/>
        <v/>
      </c>
      <c r="IM107" s="109" t="str">
        <f t="shared" si="84"/>
        <v/>
      </c>
      <c r="IN107" s="110" t="str">
        <f t="shared" si="196"/>
        <v/>
      </c>
      <c r="IO107" s="51"/>
      <c r="IP107" s="108" t="str">
        <f t="shared" si="165"/>
        <v/>
      </c>
      <c r="IQ107" s="109" t="str">
        <f t="shared" si="166"/>
        <v/>
      </c>
      <c r="IR107" s="109" t="str">
        <f t="shared" si="85"/>
        <v/>
      </c>
      <c r="IS107" s="110" t="str">
        <f t="shared" si="167"/>
        <v/>
      </c>
      <c r="IT107" s="51"/>
      <c r="IU107" s="108" t="str">
        <f t="shared" si="86"/>
        <v/>
      </c>
      <c r="IV107" s="109" t="str">
        <f t="shared" si="168"/>
        <v/>
      </c>
      <c r="IW107" s="109" t="str">
        <f t="shared" si="87"/>
        <v/>
      </c>
      <c r="IX107" s="110" t="str">
        <f t="shared" si="197"/>
        <v/>
      </c>
      <c r="IY107" s="51"/>
      <c r="IZ107" s="108" t="str">
        <f t="shared" si="169"/>
        <v/>
      </c>
      <c r="JA107" s="109" t="str">
        <f t="shared" si="170"/>
        <v/>
      </c>
      <c r="JB107" s="109" t="str">
        <f t="shared" si="88"/>
        <v/>
      </c>
      <c r="JC107" s="110" t="str">
        <f t="shared" si="171"/>
        <v/>
      </c>
      <c r="JD107" s="51"/>
      <c r="JE107" s="108" t="str">
        <f t="shared" si="89"/>
        <v/>
      </c>
      <c r="JF107" s="109" t="str">
        <f t="shared" si="172"/>
        <v/>
      </c>
      <c r="JG107" s="109" t="str">
        <f t="shared" si="90"/>
        <v/>
      </c>
      <c r="JH107" s="110" t="str">
        <f t="shared" si="198"/>
        <v/>
      </c>
      <c r="JI107" s="51"/>
      <c r="JJ107" s="108" t="str">
        <f t="shared" si="173"/>
        <v/>
      </c>
      <c r="JK107" s="109" t="str">
        <f t="shared" si="174"/>
        <v/>
      </c>
      <c r="JL107" s="109" t="str">
        <f t="shared" si="91"/>
        <v/>
      </c>
      <c r="JM107" s="110" t="str">
        <f t="shared" si="175"/>
        <v/>
      </c>
      <c r="JN107" s="51"/>
      <c r="JO107" s="108" t="str">
        <f t="shared" si="92"/>
        <v/>
      </c>
      <c r="JP107" s="109" t="str">
        <f t="shared" si="176"/>
        <v/>
      </c>
      <c r="JQ107" s="109" t="str">
        <f t="shared" si="93"/>
        <v/>
      </c>
      <c r="JR107" s="110" t="str">
        <f t="shared" si="199"/>
        <v/>
      </c>
      <c r="JS107" s="51"/>
      <c r="JT107" s="108" t="str">
        <f t="shared" si="177"/>
        <v/>
      </c>
      <c r="JU107" s="109" t="str">
        <f t="shared" si="178"/>
        <v/>
      </c>
      <c r="JV107" s="109" t="str">
        <f t="shared" si="94"/>
        <v/>
      </c>
      <c r="JW107" s="110" t="str">
        <f t="shared" si="179"/>
        <v/>
      </c>
      <c r="JX107" s="51"/>
      <c r="JY107" s="108" t="str">
        <f t="shared" si="95"/>
        <v/>
      </c>
      <c r="JZ107" s="109" t="str">
        <f t="shared" si="180"/>
        <v/>
      </c>
      <c r="KA107" s="109" t="str">
        <f t="shared" si="96"/>
        <v/>
      </c>
      <c r="KB107" s="110" t="str">
        <f t="shared" si="200"/>
        <v/>
      </c>
      <c r="KC107" s="51"/>
      <c r="KD107" s="108" t="str">
        <f t="shared" si="181"/>
        <v/>
      </c>
      <c r="KE107" s="109" t="str">
        <f t="shared" si="182"/>
        <v/>
      </c>
      <c r="KF107" s="109" t="str">
        <f t="shared" si="97"/>
        <v/>
      </c>
      <c r="KG107" s="110" t="str">
        <f t="shared" si="98"/>
        <v/>
      </c>
    </row>
    <row r="108" spans="1:293" ht="12" customHeight="1">
      <c r="A108" s="105">
        <f t="array" ref="A108">MAX(IF($J$80:J107&gt;0,$C$80:C107,0))</f>
        <v>43535</v>
      </c>
      <c r="B108" s="81" t="str">
        <f t="shared" si="4"/>
        <v/>
      </c>
      <c r="C108" s="82">
        <f t="shared" si="5"/>
        <v>0</v>
      </c>
      <c r="D108" s="83" t="str">
        <f t="shared" si="6"/>
        <v/>
      </c>
      <c r="E108" s="83" t="str">
        <f t="shared" si="99"/>
        <v/>
      </c>
      <c r="F108" s="83" t="str">
        <f t="shared" si="7"/>
        <v/>
      </c>
      <c r="G108" s="83" t="str">
        <f t="shared" si="8"/>
        <v/>
      </c>
      <c r="H108" s="83" t="str">
        <f t="shared" si="9"/>
        <v/>
      </c>
      <c r="I108" s="105">
        <f t="array" ref="I108">MAX(IF($R$80:R107&gt;0,$L$80:L107,0))</f>
        <v>0</v>
      </c>
      <c r="J108" s="106"/>
      <c r="K108" s="2" t="str">
        <f t="shared" si="10"/>
        <v/>
      </c>
      <c r="L108" s="82">
        <f t="shared" si="183"/>
        <v>0</v>
      </c>
      <c r="M108" s="83" t="str">
        <f t="shared" si="11"/>
        <v/>
      </c>
      <c r="N108" s="83" t="str">
        <f t="shared" si="12"/>
        <v/>
      </c>
      <c r="O108" s="83" t="str">
        <f t="shared" si="13"/>
        <v/>
      </c>
      <c r="P108" s="83" t="str">
        <f t="shared" si="14"/>
        <v/>
      </c>
      <c r="Q108" s="83" t="str">
        <f t="shared" si="15"/>
        <v/>
      </c>
      <c r="R108" s="106"/>
      <c r="S108" s="1"/>
      <c r="U108" s="85" t="e">
        <f t="shared" si="0"/>
        <v>#NUM!</v>
      </c>
      <c r="V108" s="86" t="e">
        <f t="shared" si="100"/>
        <v>#NUM!</v>
      </c>
      <c r="W108" s="87" t="e">
        <f t="shared" si="16"/>
        <v>#NUM!</v>
      </c>
      <c r="X108" s="87" t="e">
        <f t="shared" si="17"/>
        <v>#NUM!</v>
      </c>
      <c r="Y108" s="87" t="e">
        <f t="shared" si="18"/>
        <v>#NUM!</v>
      </c>
      <c r="Z108" s="88" t="e">
        <f t="shared" si="1"/>
        <v>#NUM!</v>
      </c>
      <c r="AB108" s="89">
        <f t="shared" si="101"/>
        <v>0</v>
      </c>
      <c r="AC108" s="87">
        <f t="shared" si="19"/>
        <v>0</v>
      </c>
      <c r="AD108" s="87" t="str">
        <f t="shared" si="20"/>
        <v/>
      </c>
      <c r="AE108" s="87" t="str">
        <f t="shared" si="21"/>
        <v/>
      </c>
      <c r="AF108" s="86">
        <f t="shared" si="102"/>
        <v>0</v>
      </c>
      <c r="AG108" s="87">
        <f t="shared" si="2"/>
        <v>0</v>
      </c>
      <c r="AH108" s="87">
        <f t="shared" si="103"/>
        <v>0</v>
      </c>
      <c r="AI108" s="90"/>
      <c r="AJ108" s="87" t="e">
        <f t="shared" si="22"/>
        <v>#NUM!</v>
      </c>
      <c r="AK108" s="87" t="e">
        <f t="shared" si="104"/>
        <v>#NUM!</v>
      </c>
      <c r="AL108" s="87" t="e">
        <f t="shared" si="105"/>
        <v>#NUM!</v>
      </c>
      <c r="AM108" s="87" t="e">
        <f t="shared" si="106"/>
        <v>#NUM!</v>
      </c>
      <c r="AN108" s="86">
        <f t="shared" si="23"/>
        <v>0</v>
      </c>
      <c r="AO108" s="87">
        <f t="shared" si="24"/>
        <v>0</v>
      </c>
      <c r="AP108" s="88">
        <f t="shared" si="25"/>
        <v>0</v>
      </c>
      <c r="AR108" s="91">
        <f t="shared" si="26"/>
        <v>0</v>
      </c>
      <c r="AS108" s="92">
        <f t="shared" si="27"/>
        <v>0</v>
      </c>
      <c r="AT108" s="87" t="str">
        <f t="shared" si="28"/>
        <v/>
      </c>
      <c r="AU108" s="87" t="str">
        <f t="shared" si="29"/>
        <v/>
      </c>
      <c r="AV108" s="86">
        <f t="shared" si="107"/>
        <v>0</v>
      </c>
      <c r="AW108" s="87">
        <f t="shared" si="108"/>
        <v>0</v>
      </c>
      <c r="AX108" s="87">
        <f t="shared" si="109"/>
        <v>0</v>
      </c>
      <c r="AY108" s="93"/>
      <c r="AZ108" s="87">
        <f t="shared" si="201"/>
        <v>0</v>
      </c>
      <c r="BA108" s="87">
        <f t="shared" si="110"/>
        <v>0</v>
      </c>
      <c r="BB108" s="87">
        <f t="shared" si="111"/>
        <v>0</v>
      </c>
      <c r="BC108" s="87">
        <f t="shared" si="184"/>
        <v>0</v>
      </c>
      <c r="BD108" s="86" t="e">
        <f t="shared" si="30"/>
        <v>#NUM!</v>
      </c>
      <c r="BE108" s="87" t="e">
        <f t="shared" si="3"/>
        <v>#NUM!</v>
      </c>
      <c r="BF108" s="88">
        <f t="shared" si="112"/>
        <v>0</v>
      </c>
      <c r="BH108" s="87" t="e">
        <f t="shared" si="31"/>
        <v>#NUM!</v>
      </c>
      <c r="BK108" s="95">
        <v>40140</v>
      </c>
      <c r="BL108" s="96">
        <v>29</v>
      </c>
      <c r="BT108" s="51">
        <v>40000.01</v>
      </c>
      <c r="BU108" s="51">
        <v>60000</v>
      </c>
      <c r="BV108" s="30" t="str">
        <f t="shared" si="204"/>
        <v>40000.01-60000</v>
      </c>
      <c r="BW108" s="30" t="s">
        <v>497</v>
      </c>
      <c r="BX108" s="30">
        <v>0.17</v>
      </c>
      <c r="BY108" s="107">
        <v>0.16999999999999998</v>
      </c>
      <c r="BZ108" s="107">
        <v>0.16999999999999998</v>
      </c>
      <c r="CA108" s="107">
        <v>0.19</v>
      </c>
      <c r="CB108" s="107">
        <v>0.19500000000000001</v>
      </c>
      <c r="CC108" s="107">
        <v>0.2</v>
      </c>
      <c r="CD108" s="107">
        <v>0.20500000000000002</v>
      </c>
      <c r="CE108" s="30" t="s">
        <v>497</v>
      </c>
      <c r="CF108" s="107">
        <v>1.4999999999999999E-2</v>
      </c>
      <c r="CG108" s="107">
        <v>1.6E-2</v>
      </c>
      <c r="CY108" s="108" t="str">
        <f t="shared" si="32"/>
        <v/>
      </c>
      <c r="CZ108" s="109" t="str">
        <f t="shared" si="33"/>
        <v/>
      </c>
      <c r="DA108" s="109" t="str">
        <f t="shared" si="34"/>
        <v/>
      </c>
      <c r="DB108" s="110" t="str">
        <f t="shared" si="35"/>
        <v/>
      </c>
      <c r="DD108" s="108" t="str">
        <f t="shared" si="36"/>
        <v/>
      </c>
      <c r="DE108" s="109" t="str">
        <f t="shared" si="114"/>
        <v/>
      </c>
      <c r="DF108" s="109" t="str">
        <f t="shared" si="37"/>
        <v/>
      </c>
      <c r="DG108" s="110" t="str">
        <f t="shared" si="38"/>
        <v/>
      </c>
      <c r="DI108" s="108" t="str">
        <f t="shared" si="115"/>
        <v/>
      </c>
      <c r="DJ108" s="109" t="str">
        <f t="shared" si="116"/>
        <v/>
      </c>
      <c r="DK108" s="109" t="str">
        <f t="shared" si="39"/>
        <v/>
      </c>
      <c r="DL108" s="110" t="str">
        <f t="shared" si="40"/>
        <v/>
      </c>
      <c r="DN108" s="108" t="str">
        <f t="shared" si="41"/>
        <v/>
      </c>
      <c r="DO108" s="109" t="str">
        <f t="shared" si="42"/>
        <v/>
      </c>
      <c r="DP108" s="109" t="str">
        <f t="shared" si="43"/>
        <v/>
      </c>
      <c r="DQ108" s="110" t="str">
        <f t="shared" si="44"/>
        <v/>
      </c>
      <c r="DS108" s="108" t="str">
        <f t="shared" si="117"/>
        <v/>
      </c>
      <c r="DT108" s="109" t="str">
        <f t="shared" si="118"/>
        <v/>
      </c>
      <c r="DU108" s="109" t="str">
        <f t="shared" si="45"/>
        <v/>
      </c>
      <c r="DV108" s="110" t="str">
        <f t="shared" si="185"/>
        <v/>
      </c>
      <c r="DX108" s="108" t="str">
        <f t="shared" si="46"/>
        <v/>
      </c>
      <c r="DY108" s="109" t="str">
        <f t="shared" si="119"/>
        <v/>
      </c>
      <c r="DZ108" s="109" t="str">
        <f t="shared" si="47"/>
        <v/>
      </c>
      <c r="EA108" s="110" t="str">
        <f t="shared" si="120"/>
        <v/>
      </c>
      <c r="EC108" s="108" t="str">
        <f t="shared" si="121"/>
        <v/>
      </c>
      <c r="ED108" s="109" t="str">
        <f t="shared" si="122"/>
        <v/>
      </c>
      <c r="EE108" s="109" t="str">
        <f t="shared" si="48"/>
        <v/>
      </c>
      <c r="EF108" s="110" t="str">
        <f t="shared" si="186"/>
        <v/>
      </c>
      <c r="EH108" s="108" t="str">
        <f t="shared" si="49"/>
        <v/>
      </c>
      <c r="EI108" s="109" t="str">
        <f t="shared" si="123"/>
        <v/>
      </c>
      <c r="EJ108" s="109" t="str">
        <f t="shared" si="50"/>
        <v/>
      </c>
      <c r="EK108" s="110" t="str">
        <f t="shared" si="124"/>
        <v/>
      </c>
      <c r="EM108" s="108" t="str">
        <f t="shared" si="125"/>
        <v/>
      </c>
      <c r="EN108" s="109" t="str">
        <f t="shared" si="126"/>
        <v/>
      </c>
      <c r="EO108" s="109" t="str">
        <f t="shared" si="51"/>
        <v/>
      </c>
      <c r="EP108" s="110" t="str">
        <f t="shared" si="187"/>
        <v/>
      </c>
      <c r="ER108" s="108" t="str">
        <f t="shared" si="52"/>
        <v/>
      </c>
      <c r="ES108" s="109" t="str">
        <f t="shared" si="127"/>
        <v/>
      </c>
      <c r="ET108" s="109" t="str">
        <f t="shared" si="53"/>
        <v/>
      </c>
      <c r="EU108" s="110" t="str">
        <f t="shared" si="128"/>
        <v/>
      </c>
      <c r="EW108" s="108" t="str">
        <f t="shared" si="129"/>
        <v/>
      </c>
      <c r="EX108" s="109" t="str">
        <f t="shared" si="130"/>
        <v/>
      </c>
      <c r="EY108" s="109" t="str">
        <f t="shared" si="54"/>
        <v/>
      </c>
      <c r="EZ108" s="110" t="str">
        <f t="shared" si="188"/>
        <v/>
      </c>
      <c r="FB108" s="108" t="str">
        <f t="shared" si="55"/>
        <v/>
      </c>
      <c r="FC108" s="109" t="str">
        <f t="shared" si="131"/>
        <v/>
      </c>
      <c r="FD108" s="109" t="str">
        <f t="shared" si="56"/>
        <v/>
      </c>
      <c r="FE108" s="110" t="str">
        <f t="shared" si="132"/>
        <v/>
      </c>
      <c r="FG108" s="108" t="str">
        <f t="shared" si="133"/>
        <v/>
      </c>
      <c r="FH108" s="109" t="str">
        <f t="shared" si="134"/>
        <v/>
      </c>
      <c r="FI108" s="109" t="str">
        <f t="shared" si="57"/>
        <v/>
      </c>
      <c r="FJ108" s="110" t="str">
        <f t="shared" si="189"/>
        <v/>
      </c>
      <c r="FL108" s="108" t="str">
        <f t="shared" si="58"/>
        <v/>
      </c>
      <c r="FM108" s="109" t="str">
        <f t="shared" si="135"/>
        <v/>
      </c>
      <c r="FN108" s="109" t="str">
        <f t="shared" si="59"/>
        <v/>
      </c>
      <c r="FO108" s="110" t="str">
        <f t="shared" si="136"/>
        <v/>
      </c>
      <c r="FQ108" s="108" t="str">
        <f t="shared" si="137"/>
        <v/>
      </c>
      <c r="FR108" s="109" t="str">
        <f t="shared" si="138"/>
        <v/>
      </c>
      <c r="FS108" s="109" t="str">
        <f t="shared" si="60"/>
        <v/>
      </c>
      <c r="FT108" s="110" t="str">
        <f t="shared" si="190"/>
        <v/>
      </c>
      <c r="FV108" s="108" t="str">
        <f t="shared" si="61"/>
        <v/>
      </c>
      <c r="FW108" s="109" t="str">
        <f t="shared" si="139"/>
        <v/>
      </c>
      <c r="FX108" s="109" t="str">
        <f t="shared" si="62"/>
        <v/>
      </c>
      <c r="FY108" s="110" t="str">
        <f t="shared" si="140"/>
        <v/>
      </c>
      <c r="GA108" s="108" t="str">
        <f t="shared" si="141"/>
        <v/>
      </c>
      <c r="GB108" s="109" t="str">
        <f t="shared" si="142"/>
        <v/>
      </c>
      <c r="GC108" s="109" t="str">
        <f t="shared" si="63"/>
        <v/>
      </c>
      <c r="GD108" s="110" t="str">
        <f t="shared" si="191"/>
        <v/>
      </c>
      <c r="GF108" s="108" t="str">
        <f t="shared" si="64"/>
        <v/>
      </c>
      <c r="GG108" s="109" t="str">
        <f t="shared" si="143"/>
        <v/>
      </c>
      <c r="GH108" s="109" t="str">
        <f t="shared" si="65"/>
        <v/>
      </c>
      <c r="GI108" s="110" t="str">
        <f t="shared" si="144"/>
        <v/>
      </c>
      <c r="GK108" s="108" t="str">
        <f t="shared" si="145"/>
        <v/>
      </c>
      <c r="GL108" s="109" t="str">
        <f t="shared" si="146"/>
        <v/>
      </c>
      <c r="GM108" s="109" t="str">
        <f t="shared" si="147"/>
        <v/>
      </c>
      <c r="GN108" s="110" t="str">
        <f t="shared" si="192"/>
        <v/>
      </c>
      <c r="GR108" s="108" t="str">
        <f t="shared" si="66"/>
        <v/>
      </c>
      <c r="GS108" s="109" t="str">
        <f t="shared" si="67"/>
        <v/>
      </c>
      <c r="GT108" s="109" t="str">
        <f t="shared" si="68"/>
        <v/>
      </c>
      <c r="GU108" s="110" t="str">
        <f t="shared" si="69"/>
        <v/>
      </c>
      <c r="GV108" s="51"/>
      <c r="GW108" s="108" t="str">
        <f t="shared" si="70"/>
        <v/>
      </c>
      <c r="GX108" s="109" t="str">
        <f t="shared" si="148"/>
        <v/>
      </c>
      <c r="GY108" s="109" t="str">
        <f t="shared" si="71"/>
        <v/>
      </c>
      <c r="GZ108" s="110" t="str">
        <f t="shared" si="72"/>
        <v/>
      </c>
      <c r="HA108" s="51"/>
      <c r="HB108" s="108" t="str">
        <f t="shared" si="149"/>
        <v/>
      </c>
      <c r="HC108" s="109" t="str">
        <f t="shared" si="150"/>
        <v/>
      </c>
      <c r="HD108" s="109" t="str">
        <f t="shared" si="73"/>
        <v/>
      </c>
      <c r="HE108" s="110" t="str">
        <f t="shared" si="151"/>
        <v/>
      </c>
      <c r="HF108" s="51"/>
      <c r="HG108" s="108" t="str">
        <f t="shared" si="74"/>
        <v/>
      </c>
      <c r="HH108" s="109" t="str">
        <f t="shared" si="152"/>
        <v/>
      </c>
      <c r="HI108" s="109" t="str">
        <f t="shared" si="75"/>
        <v/>
      </c>
      <c r="HJ108" s="110" t="str">
        <f t="shared" si="193"/>
        <v/>
      </c>
      <c r="HK108" s="51"/>
      <c r="HL108" s="108" t="str">
        <f t="shared" si="153"/>
        <v/>
      </c>
      <c r="HM108" s="109" t="str">
        <f t="shared" si="154"/>
        <v/>
      </c>
      <c r="HN108" s="109" t="str">
        <f t="shared" si="76"/>
        <v/>
      </c>
      <c r="HO108" s="110" t="str">
        <f t="shared" si="155"/>
        <v/>
      </c>
      <c r="HP108" s="51"/>
      <c r="HQ108" s="108" t="str">
        <f t="shared" si="77"/>
        <v/>
      </c>
      <c r="HR108" s="109" t="str">
        <f t="shared" si="156"/>
        <v/>
      </c>
      <c r="HS108" s="109" t="str">
        <f t="shared" si="78"/>
        <v/>
      </c>
      <c r="HT108" s="110" t="str">
        <f t="shared" si="194"/>
        <v/>
      </c>
      <c r="HU108" s="51"/>
      <c r="HV108" s="108" t="str">
        <f t="shared" si="157"/>
        <v/>
      </c>
      <c r="HW108" s="109" t="str">
        <f t="shared" si="158"/>
        <v/>
      </c>
      <c r="HX108" s="109" t="str">
        <f t="shared" si="79"/>
        <v/>
      </c>
      <c r="HY108" s="110" t="str">
        <f t="shared" si="159"/>
        <v/>
      </c>
      <c r="HZ108" s="51"/>
      <c r="IA108" s="108" t="str">
        <f t="shared" si="80"/>
        <v/>
      </c>
      <c r="IB108" s="109" t="str">
        <f t="shared" si="160"/>
        <v/>
      </c>
      <c r="IC108" s="109" t="str">
        <f t="shared" si="81"/>
        <v/>
      </c>
      <c r="ID108" s="110" t="str">
        <f t="shared" si="195"/>
        <v/>
      </c>
      <c r="IE108" s="51"/>
      <c r="IF108" s="108" t="str">
        <f t="shared" si="161"/>
        <v/>
      </c>
      <c r="IG108" s="109" t="str">
        <f t="shared" si="162"/>
        <v/>
      </c>
      <c r="IH108" s="109" t="str">
        <f t="shared" si="82"/>
        <v/>
      </c>
      <c r="II108" s="110" t="str">
        <f t="shared" si="163"/>
        <v/>
      </c>
      <c r="IJ108" s="51"/>
      <c r="IK108" s="108" t="str">
        <f t="shared" si="83"/>
        <v/>
      </c>
      <c r="IL108" s="109" t="str">
        <f t="shared" si="164"/>
        <v/>
      </c>
      <c r="IM108" s="109" t="str">
        <f t="shared" si="84"/>
        <v/>
      </c>
      <c r="IN108" s="110" t="str">
        <f t="shared" si="196"/>
        <v/>
      </c>
      <c r="IO108" s="51"/>
      <c r="IP108" s="108" t="str">
        <f t="shared" si="165"/>
        <v/>
      </c>
      <c r="IQ108" s="109" t="str">
        <f t="shared" si="166"/>
        <v/>
      </c>
      <c r="IR108" s="109" t="str">
        <f t="shared" si="85"/>
        <v/>
      </c>
      <c r="IS108" s="110" t="str">
        <f t="shared" si="167"/>
        <v/>
      </c>
      <c r="IT108" s="51"/>
      <c r="IU108" s="108" t="str">
        <f t="shared" si="86"/>
        <v/>
      </c>
      <c r="IV108" s="109" t="str">
        <f t="shared" si="168"/>
        <v/>
      </c>
      <c r="IW108" s="109" t="str">
        <f t="shared" si="87"/>
        <v/>
      </c>
      <c r="IX108" s="110" t="str">
        <f t="shared" si="197"/>
        <v/>
      </c>
      <c r="IY108" s="51"/>
      <c r="IZ108" s="108" t="str">
        <f t="shared" si="169"/>
        <v/>
      </c>
      <c r="JA108" s="109" t="str">
        <f t="shared" si="170"/>
        <v/>
      </c>
      <c r="JB108" s="109" t="str">
        <f t="shared" si="88"/>
        <v/>
      </c>
      <c r="JC108" s="110" t="str">
        <f t="shared" si="171"/>
        <v/>
      </c>
      <c r="JD108" s="51"/>
      <c r="JE108" s="108" t="str">
        <f t="shared" si="89"/>
        <v/>
      </c>
      <c r="JF108" s="109" t="str">
        <f t="shared" si="172"/>
        <v/>
      </c>
      <c r="JG108" s="109" t="str">
        <f t="shared" si="90"/>
        <v/>
      </c>
      <c r="JH108" s="110" t="str">
        <f t="shared" si="198"/>
        <v/>
      </c>
      <c r="JI108" s="51"/>
      <c r="JJ108" s="108" t="str">
        <f t="shared" si="173"/>
        <v/>
      </c>
      <c r="JK108" s="109" t="str">
        <f t="shared" si="174"/>
        <v/>
      </c>
      <c r="JL108" s="109" t="str">
        <f t="shared" si="91"/>
        <v/>
      </c>
      <c r="JM108" s="110" t="str">
        <f t="shared" si="175"/>
        <v/>
      </c>
      <c r="JN108" s="51"/>
      <c r="JO108" s="108" t="str">
        <f t="shared" si="92"/>
        <v/>
      </c>
      <c r="JP108" s="109" t="str">
        <f t="shared" si="176"/>
        <v/>
      </c>
      <c r="JQ108" s="109" t="str">
        <f t="shared" si="93"/>
        <v/>
      </c>
      <c r="JR108" s="110" t="str">
        <f t="shared" si="199"/>
        <v/>
      </c>
      <c r="JS108" s="51"/>
      <c r="JT108" s="108" t="str">
        <f t="shared" si="177"/>
        <v/>
      </c>
      <c r="JU108" s="109" t="str">
        <f t="shared" si="178"/>
        <v/>
      </c>
      <c r="JV108" s="109" t="str">
        <f t="shared" si="94"/>
        <v/>
      </c>
      <c r="JW108" s="110" t="str">
        <f t="shared" si="179"/>
        <v/>
      </c>
      <c r="JX108" s="51"/>
      <c r="JY108" s="108" t="str">
        <f t="shared" si="95"/>
        <v/>
      </c>
      <c r="JZ108" s="109" t="str">
        <f t="shared" si="180"/>
        <v/>
      </c>
      <c r="KA108" s="109" t="str">
        <f t="shared" si="96"/>
        <v/>
      </c>
      <c r="KB108" s="110" t="str">
        <f t="shared" si="200"/>
        <v/>
      </c>
      <c r="KC108" s="51"/>
      <c r="KD108" s="108" t="str">
        <f t="shared" si="181"/>
        <v/>
      </c>
      <c r="KE108" s="109" t="str">
        <f t="shared" si="182"/>
        <v/>
      </c>
      <c r="KF108" s="109" t="str">
        <f t="shared" si="97"/>
        <v/>
      </c>
      <c r="KG108" s="110" t="str">
        <f t="shared" si="98"/>
        <v/>
      </c>
    </row>
    <row r="109" spans="1:293" ht="12" customHeight="1">
      <c r="A109" s="105">
        <f t="array" ref="A109">MAX(IF($J$80:J108&gt;0,$C$80:C108,0))</f>
        <v>43535</v>
      </c>
      <c r="B109" s="81" t="str">
        <f t="shared" si="4"/>
        <v/>
      </c>
      <c r="C109" s="82">
        <f t="shared" si="5"/>
        <v>0</v>
      </c>
      <c r="D109" s="83" t="str">
        <f t="shared" si="6"/>
        <v/>
      </c>
      <c r="E109" s="83" t="str">
        <f t="shared" si="99"/>
        <v/>
      </c>
      <c r="F109" s="83" t="str">
        <f t="shared" si="7"/>
        <v/>
      </c>
      <c r="G109" s="83" t="str">
        <f t="shared" si="8"/>
        <v/>
      </c>
      <c r="H109" s="83" t="str">
        <f t="shared" si="9"/>
        <v/>
      </c>
      <c r="I109" s="105">
        <f t="array" ref="I109">MAX(IF($R$80:R108&gt;0,$L$80:L108,0))</f>
        <v>0</v>
      </c>
      <c r="J109" s="106"/>
      <c r="K109" s="2" t="str">
        <f t="shared" si="10"/>
        <v/>
      </c>
      <c r="L109" s="82">
        <f t="shared" si="183"/>
        <v>0</v>
      </c>
      <c r="M109" s="83" t="str">
        <f t="shared" si="11"/>
        <v/>
      </c>
      <c r="N109" s="83" t="str">
        <f t="shared" si="12"/>
        <v/>
      </c>
      <c r="O109" s="83" t="str">
        <f t="shared" si="13"/>
        <v/>
      </c>
      <c r="P109" s="83" t="str">
        <f t="shared" si="14"/>
        <v/>
      </c>
      <c r="Q109" s="83" t="str">
        <f t="shared" si="15"/>
        <v/>
      </c>
      <c r="R109" s="106"/>
      <c r="S109" s="1"/>
      <c r="U109" s="85" t="e">
        <f t="shared" si="0"/>
        <v>#NUM!</v>
      </c>
      <c r="V109" s="86" t="e">
        <f t="shared" si="100"/>
        <v>#NUM!</v>
      </c>
      <c r="W109" s="87" t="e">
        <f t="shared" si="16"/>
        <v>#NUM!</v>
      </c>
      <c r="X109" s="87" t="e">
        <f t="shared" si="17"/>
        <v>#NUM!</v>
      </c>
      <c r="Y109" s="87" t="e">
        <f t="shared" si="18"/>
        <v>#NUM!</v>
      </c>
      <c r="Z109" s="88" t="e">
        <f t="shared" si="1"/>
        <v>#NUM!</v>
      </c>
      <c r="AB109" s="89">
        <f t="shared" si="101"/>
        <v>0</v>
      </c>
      <c r="AC109" s="87">
        <f t="shared" si="19"/>
        <v>0</v>
      </c>
      <c r="AD109" s="87" t="str">
        <f t="shared" si="20"/>
        <v/>
      </c>
      <c r="AE109" s="87" t="str">
        <f t="shared" si="21"/>
        <v/>
      </c>
      <c r="AF109" s="86">
        <f t="shared" si="102"/>
        <v>0</v>
      </c>
      <c r="AG109" s="87">
        <f t="shared" si="2"/>
        <v>0</v>
      </c>
      <c r="AH109" s="87">
        <f t="shared" si="103"/>
        <v>0</v>
      </c>
      <c r="AI109" s="90"/>
      <c r="AJ109" s="87" t="e">
        <f t="shared" si="22"/>
        <v>#NUM!</v>
      </c>
      <c r="AK109" s="87" t="e">
        <f t="shared" si="104"/>
        <v>#NUM!</v>
      </c>
      <c r="AL109" s="87" t="e">
        <f t="shared" si="105"/>
        <v>#NUM!</v>
      </c>
      <c r="AM109" s="87" t="e">
        <f t="shared" si="106"/>
        <v>#NUM!</v>
      </c>
      <c r="AN109" s="86">
        <f t="shared" si="23"/>
        <v>0</v>
      </c>
      <c r="AO109" s="87">
        <f t="shared" si="24"/>
        <v>0</v>
      </c>
      <c r="AP109" s="88">
        <f t="shared" si="25"/>
        <v>0</v>
      </c>
      <c r="AR109" s="91">
        <f t="shared" si="26"/>
        <v>0</v>
      </c>
      <c r="AS109" s="92">
        <f t="shared" si="27"/>
        <v>0</v>
      </c>
      <c r="AT109" s="87" t="str">
        <f t="shared" si="28"/>
        <v/>
      </c>
      <c r="AU109" s="87" t="str">
        <f t="shared" si="29"/>
        <v/>
      </c>
      <c r="AV109" s="86">
        <f t="shared" si="107"/>
        <v>0</v>
      </c>
      <c r="AW109" s="87">
        <f t="shared" si="108"/>
        <v>0</v>
      </c>
      <c r="AX109" s="87">
        <f t="shared" si="109"/>
        <v>0</v>
      </c>
      <c r="AY109" s="93"/>
      <c r="AZ109" s="87">
        <f t="shared" si="201"/>
        <v>0</v>
      </c>
      <c r="BA109" s="87">
        <f t="shared" si="110"/>
        <v>0</v>
      </c>
      <c r="BB109" s="87">
        <f t="shared" si="111"/>
        <v>0</v>
      </c>
      <c r="BC109" s="87">
        <f t="shared" si="184"/>
        <v>0</v>
      </c>
      <c r="BD109" s="86" t="e">
        <f t="shared" si="30"/>
        <v>#NUM!</v>
      </c>
      <c r="BE109" s="87" t="e">
        <f t="shared" si="3"/>
        <v>#NUM!</v>
      </c>
      <c r="BF109" s="88">
        <f t="shared" si="112"/>
        <v>0</v>
      </c>
      <c r="BH109" s="87" t="e">
        <f t="shared" si="31"/>
        <v>#NUM!</v>
      </c>
      <c r="BK109" s="95">
        <v>40179</v>
      </c>
      <c r="BL109" s="96">
        <v>30</v>
      </c>
      <c r="BT109" s="51">
        <v>60000.01</v>
      </c>
      <c r="BU109" s="51">
        <v>1000000</v>
      </c>
      <c r="BV109" s="30" t="str">
        <f t="shared" si="204"/>
        <v>60000.01-1000000</v>
      </c>
      <c r="BW109" s="30" t="s">
        <v>497</v>
      </c>
      <c r="BX109" s="30" t="s">
        <v>497</v>
      </c>
      <c r="BY109" s="30" t="s">
        <v>497</v>
      </c>
      <c r="BZ109" s="30" t="s">
        <v>497</v>
      </c>
      <c r="CA109" s="30" t="s">
        <v>497</v>
      </c>
      <c r="CB109" s="30" t="s">
        <v>497</v>
      </c>
      <c r="CC109" s="30" t="s">
        <v>497</v>
      </c>
      <c r="CD109" s="30" t="s">
        <v>497</v>
      </c>
      <c r="CE109" s="30" t="s">
        <v>497</v>
      </c>
      <c r="CF109" s="30" t="s">
        <v>497</v>
      </c>
      <c r="CG109" s="30" t="s">
        <v>497</v>
      </c>
      <c r="CY109" s="108" t="str">
        <f t="shared" si="32"/>
        <v/>
      </c>
      <c r="CZ109" s="109" t="str">
        <f t="shared" si="33"/>
        <v/>
      </c>
      <c r="DA109" s="109" t="str">
        <f t="shared" si="34"/>
        <v/>
      </c>
      <c r="DB109" s="110" t="str">
        <f>IF($B109="","",IF(OR($F$10="ანუიტეტური",$F$10="სამომხმარებლო"),DB108-CZ109,IF($F$10="საშეღავათო",DB108-CZ109,IF($F$10="ნულოვანი საშეღავათო",DB108-CZ109))))</f>
        <v/>
      </c>
      <c r="DD109" s="108" t="str">
        <f t="shared" si="36"/>
        <v/>
      </c>
      <c r="DE109" s="109" t="str">
        <f t="shared" si="114"/>
        <v/>
      </c>
      <c r="DF109" s="109" t="str">
        <f t="shared" si="37"/>
        <v/>
      </c>
      <c r="DG109" s="110" t="str">
        <f>IF($B109="","",DG108-DE109)</f>
        <v/>
      </c>
      <c r="DI109" s="108" t="str">
        <f t="shared" si="115"/>
        <v/>
      </c>
      <c r="DJ109" s="109" t="str">
        <f t="shared" si="116"/>
        <v/>
      </c>
      <c r="DK109" s="109" t="str">
        <f t="shared" si="39"/>
        <v/>
      </c>
      <c r="DL109" s="110" t="str">
        <f>IF($B109="","",DL108-DJ109)</f>
        <v/>
      </c>
      <c r="DN109" s="108" t="str">
        <f t="shared" si="41"/>
        <v/>
      </c>
      <c r="DO109" s="109" t="str">
        <f t="shared" si="42"/>
        <v/>
      </c>
      <c r="DP109" s="109" t="str">
        <f t="shared" si="43"/>
        <v/>
      </c>
      <c r="DQ109" s="110" t="str">
        <f>IF($B109="","",DQ108-DO109)</f>
        <v/>
      </c>
      <c r="DS109" s="108" t="str">
        <f t="shared" si="117"/>
        <v/>
      </c>
      <c r="DT109" s="109" t="str">
        <f t="shared" si="118"/>
        <v/>
      </c>
      <c r="DU109" s="109" t="str">
        <f t="shared" si="45"/>
        <v/>
      </c>
      <c r="DV109" s="110" t="str">
        <f>IF($B109="","",DV108-DT109)</f>
        <v/>
      </c>
      <c r="DX109" s="108" t="str">
        <f t="shared" si="46"/>
        <v/>
      </c>
      <c r="DY109" s="109" t="str">
        <f t="shared" si="119"/>
        <v/>
      </c>
      <c r="DZ109" s="109" t="str">
        <f t="shared" si="47"/>
        <v/>
      </c>
      <c r="EA109" s="110" t="str">
        <f>IF($B109="","",EA108-DY109)</f>
        <v/>
      </c>
      <c r="EC109" s="108" t="str">
        <f t="shared" si="121"/>
        <v/>
      </c>
      <c r="ED109" s="109" t="str">
        <f t="shared" si="122"/>
        <v/>
      </c>
      <c r="EE109" s="109" t="str">
        <f t="shared" si="48"/>
        <v/>
      </c>
      <c r="EF109" s="110" t="str">
        <f>IF($B109="","",EF108-ED109)</f>
        <v/>
      </c>
      <c r="EH109" s="108" t="str">
        <f t="shared" si="49"/>
        <v/>
      </c>
      <c r="EI109" s="109" t="str">
        <f t="shared" si="123"/>
        <v/>
      </c>
      <c r="EJ109" s="109" t="str">
        <f t="shared" si="50"/>
        <v/>
      </c>
      <c r="EK109" s="110" t="str">
        <f>IF($B109="","",EK108-EI109)</f>
        <v/>
      </c>
      <c r="EM109" s="108" t="str">
        <f t="shared" si="125"/>
        <v/>
      </c>
      <c r="EN109" s="109" t="str">
        <f t="shared" si="126"/>
        <v/>
      </c>
      <c r="EO109" s="109" t="str">
        <f t="shared" si="51"/>
        <v/>
      </c>
      <c r="EP109" s="110" t="str">
        <f>IF($B109="","",EP108-EN109)</f>
        <v/>
      </c>
      <c r="ER109" s="108" t="str">
        <f t="shared" si="52"/>
        <v/>
      </c>
      <c r="ES109" s="109" t="str">
        <f t="shared" si="127"/>
        <v/>
      </c>
      <c r="ET109" s="109" t="str">
        <f t="shared" si="53"/>
        <v/>
      </c>
      <c r="EU109" s="110" t="str">
        <f>IF($B109="","",EU108-ES109)</f>
        <v/>
      </c>
      <c r="EW109" s="108" t="str">
        <f t="shared" si="129"/>
        <v/>
      </c>
      <c r="EX109" s="109" t="str">
        <f t="shared" si="130"/>
        <v/>
      </c>
      <c r="EY109" s="109" t="str">
        <f t="shared" si="54"/>
        <v/>
      </c>
      <c r="EZ109" s="110" t="str">
        <f>IF($B109="","",EZ108-EX109)</f>
        <v/>
      </c>
      <c r="FB109" s="108" t="str">
        <f t="shared" si="55"/>
        <v/>
      </c>
      <c r="FC109" s="109" t="str">
        <f t="shared" si="131"/>
        <v/>
      </c>
      <c r="FD109" s="109" t="str">
        <f t="shared" si="56"/>
        <v/>
      </c>
      <c r="FE109" s="110" t="str">
        <f>IF($B109="","",FE108-FC109)</f>
        <v/>
      </c>
      <c r="FG109" s="108" t="str">
        <f t="shared" si="133"/>
        <v/>
      </c>
      <c r="FH109" s="109" t="str">
        <f t="shared" si="134"/>
        <v/>
      </c>
      <c r="FI109" s="109" t="str">
        <f t="shared" si="57"/>
        <v/>
      </c>
      <c r="FJ109" s="110" t="str">
        <f>IF($B109="","",FJ108-FH109)</f>
        <v/>
      </c>
      <c r="FL109" s="108" t="str">
        <f t="shared" si="58"/>
        <v/>
      </c>
      <c r="FM109" s="109" t="str">
        <f t="shared" si="135"/>
        <v/>
      </c>
      <c r="FN109" s="109" t="str">
        <f t="shared" si="59"/>
        <v/>
      </c>
      <c r="FO109" s="110" t="str">
        <f>IF($B109="","",FO108-FM109)</f>
        <v/>
      </c>
      <c r="FQ109" s="108" t="str">
        <f t="shared" si="137"/>
        <v/>
      </c>
      <c r="FR109" s="109" t="str">
        <f t="shared" si="138"/>
        <v/>
      </c>
      <c r="FS109" s="109" t="str">
        <f t="shared" si="60"/>
        <v/>
      </c>
      <c r="FT109" s="110" t="str">
        <f>IF($B109="","",FT108-FR109)</f>
        <v/>
      </c>
      <c r="FV109" s="108" t="str">
        <f t="shared" si="61"/>
        <v/>
      </c>
      <c r="FW109" s="109" t="str">
        <f t="shared" si="139"/>
        <v/>
      </c>
      <c r="FX109" s="109" t="str">
        <f t="shared" si="62"/>
        <v/>
      </c>
      <c r="FY109" s="110" t="str">
        <f>IF($B109="","",FY108-FW109)</f>
        <v/>
      </c>
      <c r="GA109" s="108" t="str">
        <f t="shared" si="141"/>
        <v/>
      </c>
      <c r="GB109" s="109" t="str">
        <f t="shared" si="142"/>
        <v/>
      </c>
      <c r="GC109" s="109" t="str">
        <f t="shared" si="63"/>
        <v/>
      </c>
      <c r="GD109" s="110" t="str">
        <f>IF($B109="","",GD108-GB109)</f>
        <v/>
      </c>
      <c r="GF109" s="108" t="str">
        <f t="shared" si="64"/>
        <v/>
      </c>
      <c r="GG109" s="109" t="str">
        <f t="shared" si="143"/>
        <v/>
      </c>
      <c r="GH109" s="109" t="str">
        <f t="shared" si="65"/>
        <v/>
      </c>
      <c r="GI109" s="110" t="str">
        <f>IF($B109="","",GI108-GG109)</f>
        <v/>
      </c>
      <c r="GK109" s="108" t="str">
        <f t="shared" si="145"/>
        <v/>
      </c>
      <c r="GL109" s="109" t="str">
        <f t="shared" si="146"/>
        <v/>
      </c>
      <c r="GM109" s="109" t="str">
        <f t="shared" si="147"/>
        <v/>
      </c>
      <c r="GN109" s="110" t="str">
        <f>IF($B109="","",GN108-GL109)</f>
        <v/>
      </c>
      <c r="GR109" s="108" t="str">
        <f t="shared" si="66"/>
        <v/>
      </c>
      <c r="GS109" s="109" t="str">
        <f t="shared" si="67"/>
        <v/>
      </c>
      <c r="GT109" s="109" t="str">
        <f t="shared" si="68"/>
        <v/>
      </c>
      <c r="GU109" s="110" t="str">
        <f t="shared" si="69"/>
        <v/>
      </c>
      <c r="GV109" s="51"/>
      <c r="GW109" s="108" t="str">
        <f t="shared" si="70"/>
        <v/>
      </c>
      <c r="GX109" s="109" t="str">
        <f t="shared" si="148"/>
        <v/>
      </c>
      <c r="GY109" s="109" t="str">
        <f t="shared" si="71"/>
        <v/>
      </c>
      <c r="GZ109" s="110" t="str">
        <f t="shared" si="72"/>
        <v/>
      </c>
      <c r="HA109" s="51"/>
      <c r="HB109" s="108" t="str">
        <f t="shared" si="149"/>
        <v/>
      </c>
      <c r="HC109" s="109" t="str">
        <f t="shared" si="150"/>
        <v/>
      </c>
      <c r="HD109" s="109" t="str">
        <f t="shared" si="73"/>
        <v/>
      </c>
      <c r="HE109" s="110" t="str">
        <f t="shared" si="151"/>
        <v/>
      </c>
      <c r="HF109" s="51"/>
      <c r="HG109" s="108" t="str">
        <f t="shared" si="74"/>
        <v/>
      </c>
      <c r="HH109" s="109" t="str">
        <f t="shared" si="152"/>
        <v/>
      </c>
      <c r="HI109" s="109" t="str">
        <f t="shared" si="75"/>
        <v/>
      </c>
      <c r="HJ109" s="110" t="str">
        <f t="shared" si="193"/>
        <v/>
      </c>
      <c r="HK109" s="51"/>
      <c r="HL109" s="108" t="str">
        <f t="shared" si="153"/>
        <v/>
      </c>
      <c r="HM109" s="109" t="str">
        <f t="shared" si="154"/>
        <v/>
      </c>
      <c r="HN109" s="109" t="str">
        <f t="shared" si="76"/>
        <v/>
      </c>
      <c r="HO109" s="110" t="str">
        <f t="shared" si="155"/>
        <v/>
      </c>
      <c r="HP109" s="51"/>
      <c r="HQ109" s="108" t="str">
        <f t="shared" si="77"/>
        <v/>
      </c>
      <c r="HR109" s="109" t="str">
        <f t="shared" si="156"/>
        <v/>
      </c>
      <c r="HS109" s="109" t="str">
        <f t="shared" si="78"/>
        <v/>
      </c>
      <c r="HT109" s="110" t="str">
        <f t="shared" si="194"/>
        <v/>
      </c>
      <c r="HU109" s="51"/>
      <c r="HV109" s="108" t="str">
        <f t="shared" si="157"/>
        <v/>
      </c>
      <c r="HW109" s="109" t="str">
        <f t="shared" si="158"/>
        <v/>
      </c>
      <c r="HX109" s="109" t="str">
        <f t="shared" si="79"/>
        <v/>
      </c>
      <c r="HY109" s="110" t="str">
        <f t="shared" si="159"/>
        <v/>
      </c>
      <c r="HZ109" s="51"/>
      <c r="IA109" s="108" t="str">
        <f t="shared" si="80"/>
        <v/>
      </c>
      <c r="IB109" s="109" t="str">
        <f t="shared" si="160"/>
        <v/>
      </c>
      <c r="IC109" s="109" t="str">
        <f t="shared" si="81"/>
        <v/>
      </c>
      <c r="ID109" s="110" t="str">
        <f t="shared" si="195"/>
        <v/>
      </c>
      <c r="IE109" s="51"/>
      <c r="IF109" s="108" t="str">
        <f t="shared" si="161"/>
        <v/>
      </c>
      <c r="IG109" s="109" t="str">
        <f t="shared" si="162"/>
        <v/>
      </c>
      <c r="IH109" s="109" t="str">
        <f t="shared" si="82"/>
        <v/>
      </c>
      <c r="II109" s="110" t="str">
        <f t="shared" si="163"/>
        <v/>
      </c>
      <c r="IJ109" s="51"/>
      <c r="IK109" s="108" t="str">
        <f t="shared" si="83"/>
        <v/>
      </c>
      <c r="IL109" s="109" t="str">
        <f t="shared" si="164"/>
        <v/>
      </c>
      <c r="IM109" s="109" t="str">
        <f t="shared" si="84"/>
        <v/>
      </c>
      <c r="IN109" s="110" t="str">
        <f t="shared" si="196"/>
        <v/>
      </c>
      <c r="IO109" s="51"/>
      <c r="IP109" s="108" t="str">
        <f t="shared" si="165"/>
        <v/>
      </c>
      <c r="IQ109" s="109" t="str">
        <f t="shared" si="166"/>
        <v/>
      </c>
      <c r="IR109" s="109" t="str">
        <f t="shared" si="85"/>
        <v/>
      </c>
      <c r="IS109" s="110" t="str">
        <f t="shared" si="167"/>
        <v/>
      </c>
      <c r="IT109" s="51"/>
      <c r="IU109" s="108" t="str">
        <f t="shared" si="86"/>
        <v/>
      </c>
      <c r="IV109" s="109" t="str">
        <f t="shared" si="168"/>
        <v/>
      </c>
      <c r="IW109" s="109" t="str">
        <f t="shared" si="87"/>
        <v/>
      </c>
      <c r="IX109" s="110" t="str">
        <f t="shared" si="197"/>
        <v/>
      </c>
      <c r="IY109" s="51"/>
      <c r="IZ109" s="108" t="str">
        <f t="shared" si="169"/>
        <v/>
      </c>
      <c r="JA109" s="109" t="str">
        <f t="shared" si="170"/>
        <v/>
      </c>
      <c r="JB109" s="109" t="str">
        <f t="shared" si="88"/>
        <v/>
      </c>
      <c r="JC109" s="110" t="str">
        <f t="shared" si="171"/>
        <v/>
      </c>
      <c r="JD109" s="51"/>
      <c r="JE109" s="108" t="str">
        <f t="shared" si="89"/>
        <v/>
      </c>
      <c r="JF109" s="109" t="str">
        <f t="shared" si="172"/>
        <v/>
      </c>
      <c r="JG109" s="109" t="str">
        <f t="shared" si="90"/>
        <v/>
      </c>
      <c r="JH109" s="110" t="str">
        <f t="shared" si="198"/>
        <v/>
      </c>
      <c r="JI109" s="51"/>
      <c r="JJ109" s="108" t="str">
        <f t="shared" si="173"/>
        <v/>
      </c>
      <c r="JK109" s="109" t="str">
        <f t="shared" si="174"/>
        <v/>
      </c>
      <c r="JL109" s="109" t="str">
        <f t="shared" si="91"/>
        <v/>
      </c>
      <c r="JM109" s="110" t="str">
        <f t="shared" si="175"/>
        <v/>
      </c>
      <c r="JN109" s="51"/>
      <c r="JO109" s="108" t="str">
        <f t="shared" si="92"/>
        <v/>
      </c>
      <c r="JP109" s="109" t="str">
        <f t="shared" si="176"/>
        <v/>
      </c>
      <c r="JQ109" s="109" t="str">
        <f t="shared" si="93"/>
        <v/>
      </c>
      <c r="JR109" s="110" t="str">
        <f t="shared" si="199"/>
        <v/>
      </c>
      <c r="JS109" s="51"/>
      <c r="JT109" s="108" t="str">
        <f t="shared" si="177"/>
        <v/>
      </c>
      <c r="JU109" s="109" t="str">
        <f t="shared" si="178"/>
        <v/>
      </c>
      <c r="JV109" s="109" t="str">
        <f t="shared" si="94"/>
        <v/>
      </c>
      <c r="JW109" s="110" t="str">
        <f t="shared" si="179"/>
        <v/>
      </c>
      <c r="JX109" s="51"/>
      <c r="JY109" s="108" t="str">
        <f t="shared" si="95"/>
        <v/>
      </c>
      <c r="JZ109" s="109" t="str">
        <f t="shared" si="180"/>
        <v/>
      </c>
      <c r="KA109" s="109" t="str">
        <f t="shared" si="96"/>
        <v/>
      </c>
      <c r="KB109" s="110" t="str">
        <f t="shared" si="200"/>
        <v/>
      </c>
      <c r="KC109" s="51"/>
      <c r="KD109" s="108" t="str">
        <f t="shared" si="181"/>
        <v/>
      </c>
      <c r="KE109" s="109" t="str">
        <f t="shared" si="182"/>
        <v/>
      </c>
      <c r="KF109" s="109" t="str">
        <f t="shared" si="97"/>
        <v/>
      </c>
      <c r="KG109" s="110" t="str">
        <f t="shared" si="98"/>
        <v/>
      </c>
    </row>
    <row r="110" spans="1:293" ht="12" customHeight="1">
      <c r="A110" s="105">
        <f t="array" ref="A110">MAX(IF($J$80:J109&gt;0,$C$80:C109,0))</f>
        <v>43535</v>
      </c>
      <c r="B110" s="81" t="str">
        <f t="shared" si="4"/>
        <v/>
      </c>
      <c r="C110" s="82">
        <f t="shared" si="5"/>
        <v>0</v>
      </c>
      <c r="D110" s="83" t="str">
        <f t="shared" si="6"/>
        <v/>
      </c>
      <c r="E110" s="83" t="str">
        <f t="shared" si="99"/>
        <v/>
      </c>
      <c r="F110" s="83" t="str">
        <f t="shared" si="7"/>
        <v/>
      </c>
      <c r="G110" s="83" t="str">
        <f t="shared" si="8"/>
        <v/>
      </c>
      <c r="H110" s="83" t="str">
        <f t="shared" si="9"/>
        <v/>
      </c>
      <c r="I110" s="105">
        <f t="array" ref="I110">MAX(IF($R$80:R109&gt;0,$L$80:L109,0))</f>
        <v>0</v>
      </c>
      <c r="J110" s="106"/>
      <c r="K110" s="2" t="str">
        <f t="shared" si="10"/>
        <v/>
      </c>
      <c r="L110" s="82">
        <f t="shared" si="183"/>
        <v>0</v>
      </c>
      <c r="M110" s="83" t="str">
        <f t="shared" si="11"/>
        <v/>
      </c>
      <c r="N110" s="83" t="str">
        <f t="shared" si="12"/>
        <v/>
      </c>
      <c r="O110" s="83" t="str">
        <f t="shared" si="13"/>
        <v/>
      </c>
      <c r="P110" s="83" t="str">
        <f t="shared" si="14"/>
        <v/>
      </c>
      <c r="Q110" s="83" t="str">
        <f t="shared" si="15"/>
        <v/>
      </c>
      <c r="R110" s="106"/>
      <c r="S110" s="1"/>
      <c r="U110" s="85" t="e">
        <f t="shared" si="0"/>
        <v>#NUM!</v>
      </c>
      <c r="V110" s="86" t="e">
        <f t="shared" si="100"/>
        <v>#NUM!</v>
      </c>
      <c r="W110" s="87" t="e">
        <f t="shared" si="16"/>
        <v>#NUM!</v>
      </c>
      <c r="X110" s="87" t="e">
        <f t="shared" si="17"/>
        <v>#NUM!</v>
      </c>
      <c r="Y110" s="87" t="e">
        <f t="shared" si="18"/>
        <v>#NUM!</v>
      </c>
      <c r="Z110" s="88" t="e">
        <f t="shared" si="1"/>
        <v>#NUM!</v>
      </c>
      <c r="AB110" s="89">
        <f t="shared" si="101"/>
        <v>0</v>
      </c>
      <c r="AC110" s="87">
        <f t="shared" si="19"/>
        <v>0</v>
      </c>
      <c r="AD110" s="87" t="str">
        <f t="shared" si="20"/>
        <v/>
      </c>
      <c r="AE110" s="87" t="str">
        <f t="shared" si="21"/>
        <v/>
      </c>
      <c r="AF110" s="86">
        <f t="shared" si="102"/>
        <v>0</v>
      </c>
      <c r="AG110" s="87">
        <f t="shared" si="2"/>
        <v>0</v>
      </c>
      <c r="AH110" s="87">
        <f t="shared" si="103"/>
        <v>0</v>
      </c>
      <c r="AI110" s="90"/>
      <c r="AJ110" s="87" t="e">
        <f t="shared" si="22"/>
        <v>#NUM!</v>
      </c>
      <c r="AK110" s="87" t="e">
        <f t="shared" si="104"/>
        <v>#NUM!</v>
      </c>
      <c r="AL110" s="87" t="e">
        <f t="shared" si="105"/>
        <v>#NUM!</v>
      </c>
      <c r="AM110" s="87" t="e">
        <f t="shared" si="106"/>
        <v>#NUM!</v>
      </c>
      <c r="AN110" s="86">
        <f t="shared" si="23"/>
        <v>0</v>
      </c>
      <c r="AO110" s="87">
        <f t="shared" si="24"/>
        <v>0</v>
      </c>
      <c r="AP110" s="88">
        <f t="shared" si="25"/>
        <v>0</v>
      </c>
      <c r="AR110" s="91">
        <f t="shared" si="26"/>
        <v>0</v>
      </c>
      <c r="AS110" s="92">
        <f t="shared" si="27"/>
        <v>0</v>
      </c>
      <c r="AT110" s="87" t="str">
        <f t="shared" si="28"/>
        <v/>
      </c>
      <c r="AU110" s="87" t="str">
        <f t="shared" si="29"/>
        <v/>
      </c>
      <c r="AV110" s="86">
        <f t="shared" si="107"/>
        <v>0</v>
      </c>
      <c r="AW110" s="87">
        <f t="shared" si="108"/>
        <v>0</v>
      </c>
      <c r="AX110" s="87">
        <f t="shared" si="109"/>
        <v>0</v>
      </c>
      <c r="AY110" s="93"/>
      <c r="AZ110" s="87">
        <f t="shared" si="201"/>
        <v>0</v>
      </c>
      <c r="BA110" s="87">
        <f t="shared" si="110"/>
        <v>0</v>
      </c>
      <c r="BB110" s="87">
        <f t="shared" si="111"/>
        <v>0</v>
      </c>
      <c r="BC110" s="87">
        <f t="shared" si="184"/>
        <v>0</v>
      </c>
      <c r="BD110" s="86" t="e">
        <f t="shared" si="30"/>
        <v>#NUM!</v>
      </c>
      <c r="BE110" s="87" t="e">
        <f t="shared" si="3"/>
        <v>#NUM!</v>
      </c>
      <c r="BF110" s="88">
        <f t="shared" si="112"/>
        <v>0</v>
      </c>
      <c r="BH110" s="87" t="e">
        <f t="shared" si="31"/>
        <v>#NUM!</v>
      </c>
      <c r="BK110" s="95">
        <v>40180</v>
      </c>
      <c r="BL110" s="96">
        <v>31</v>
      </c>
      <c r="CY110" s="108" t="str">
        <f t="shared" si="32"/>
        <v/>
      </c>
      <c r="CZ110" s="109" t="str">
        <f t="shared" si="33"/>
        <v/>
      </c>
      <c r="DA110" s="109" t="str">
        <f t="shared" si="34"/>
        <v/>
      </c>
      <c r="DB110" s="110" t="str">
        <f t="shared" ref="DB110:DB118" si="205">IF($B110="","",IF(OR($F$10="ანუიტეტური",$F$10="სამომხმარებლო"),DB109-CZ110,IF($F$10="საშეღავათო",DB109-CZ110,IF($F$10="ნულოვანი საშეღავათო",DB109-CZ110))))</f>
        <v/>
      </c>
      <c r="DD110" s="108" t="str">
        <f t="shared" si="36"/>
        <v/>
      </c>
      <c r="DE110" s="109" t="str">
        <f t="shared" si="114"/>
        <v/>
      </c>
      <c r="DF110" s="109" t="str">
        <f t="shared" si="37"/>
        <v/>
      </c>
      <c r="DG110" s="110" t="str">
        <f t="shared" ref="DG110:DG118" si="206">IF($B110="","",DG109-DE110)</f>
        <v/>
      </c>
      <c r="DI110" s="108" t="str">
        <f t="shared" si="115"/>
        <v/>
      </c>
      <c r="DJ110" s="109" t="str">
        <f t="shared" si="116"/>
        <v/>
      </c>
      <c r="DK110" s="109" t="str">
        <f t="shared" si="39"/>
        <v/>
      </c>
      <c r="DL110" s="110" t="str">
        <f t="shared" ref="DL110:DL118" si="207">IF($B110="","",DL109-DJ110)</f>
        <v/>
      </c>
      <c r="DN110" s="108" t="str">
        <f t="shared" si="41"/>
        <v/>
      </c>
      <c r="DO110" s="109" t="str">
        <f t="shared" si="42"/>
        <v/>
      </c>
      <c r="DP110" s="109" t="str">
        <f t="shared" si="43"/>
        <v/>
      </c>
      <c r="DQ110" s="110" t="str">
        <f t="shared" ref="DQ110:DQ118" si="208">IF($B110="","",DQ109-DO110)</f>
        <v/>
      </c>
      <c r="DS110" s="108" t="str">
        <f t="shared" si="117"/>
        <v/>
      </c>
      <c r="DT110" s="109" t="str">
        <f t="shared" si="118"/>
        <v/>
      </c>
      <c r="DU110" s="109" t="str">
        <f t="shared" si="45"/>
        <v/>
      </c>
      <c r="DV110" s="110" t="str">
        <f t="shared" ref="DV110:DV118" si="209">IF($B110="","",DV109-DT110)</f>
        <v/>
      </c>
      <c r="DX110" s="108" t="str">
        <f t="shared" si="46"/>
        <v/>
      </c>
      <c r="DY110" s="109" t="str">
        <f t="shared" si="119"/>
        <v/>
      </c>
      <c r="DZ110" s="109" t="str">
        <f t="shared" si="47"/>
        <v/>
      </c>
      <c r="EA110" s="110" t="str">
        <f t="shared" ref="EA110:EA118" si="210">IF($B110="","",EA109-DY110)</f>
        <v/>
      </c>
      <c r="EC110" s="108" t="str">
        <f t="shared" si="121"/>
        <v/>
      </c>
      <c r="ED110" s="109" t="str">
        <f t="shared" si="122"/>
        <v/>
      </c>
      <c r="EE110" s="109" t="str">
        <f t="shared" si="48"/>
        <v/>
      </c>
      <c r="EF110" s="110" t="str">
        <f t="shared" ref="EF110:EF118" si="211">IF($B110="","",EF109-ED110)</f>
        <v/>
      </c>
      <c r="EH110" s="108" t="str">
        <f t="shared" si="49"/>
        <v/>
      </c>
      <c r="EI110" s="109" t="str">
        <f t="shared" si="123"/>
        <v/>
      </c>
      <c r="EJ110" s="109" t="str">
        <f t="shared" si="50"/>
        <v/>
      </c>
      <c r="EK110" s="110" t="str">
        <f t="shared" ref="EK110:EK118" si="212">IF($B110="","",EK109-EI110)</f>
        <v/>
      </c>
      <c r="EM110" s="108" t="str">
        <f t="shared" si="125"/>
        <v/>
      </c>
      <c r="EN110" s="109" t="str">
        <f t="shared" si="126"/>
        <v/>
      </c>
      <c r="EO110" s="109" t="str">
        <f t="shared" si="51"/>
        <v/>
      </c>
      <c r="EP110" s="110" t="str">
        <f t="shared" ref="EP110:EP118" si="213">IF($B110="","",EP109-EN110)</f>
        <v/>
      </c>
      <c r="ER110" s="108" t="str">
        <f t="shared" si="52"/>
        <v/>
      </c>
      <c r="ES110" s="109" t="str">
        <f t="shared" si="127"/>
        <v/>
      </c>
      <c r="ET110" s="109" t="str">
        <f t="shared" si="53"/>
        <v/>
      </c>
      <c r="EU110" s="110" t="str">
        <f t="shared" ref="EU110:EU118" si="214">IF($B110="","",EU109-ES110)</f>
        <v/>
      </c>
      <c r="EW110" s="108" t="str">
        <f t="shared" si="129"/>
        <v/>
      </c>
      <c r="EX110" s="109" t="str">
        <f t="shared" si="130"/>
        <v/>
      </c>
      <c r="EY110" s="109" t="str">
        <f t="shared" si="54"/>
        <v/>
      </c>
      <c r="EZ110" s="110" t="str">
        <f t="shared" ref="EZ110:EZ118" si="215">IF($B110="","",EZ109-EX110)</f>
        <v/>
      </c>
      <c r="FB110" s="108" t="str">
        <f t="shared" si="55"/>
        <v/>
      </c>
      <c r="FC110" s="109" t="str">
        <f t="shared" si="131"/>
        <v/>
      </c>
      <c r="FD110" s="109" t="str">
        <f t="shared" si="56"/>
        <v/>
      </c>
      <c r="FE110" s="110" t="str">
        <f t="shared" ref="FE110:FE118" si="216">IF($B110="","",FE109-FC110)</f>
        <v/>
      </c>
      <c r="FG110" s="108" t="str">
        <f t="shared" si="133"/>
        <v/>
      </c>
      <c r="FH110" s="109" t="str">
        <f t="shared" si="134"/>
        <v/>
      </c>
      <c r="FI110" s="109" t="str">
        <f t="shared" si="57"/>
        <v/>
      </c>
      <c r="FJ110" s="110" t="str">
        <f t="shared" ref="FJ110:FJ118" si="217">IF($B110="","",FJ109-FH110)</f>
        <v/>
      </c>
      <c r="FL110" s="108" t="str">
        <f t="shared" si="58"/>
        <v/>
      </c>
      <c r="FM110" s="109" t="str">
        <f t="shared" si="135"/>
        <v/>
      </c>
      <c r="FN110" s="109" t="str">
        <f t="shared" si="59"/>
        <v/>
      </c>
      <c r="FO110" s="110" t="str">
        <f t="shared" ref="FO110:FO118" si="218">IF($B110="","",FO109-FM110)</f>
        <v/>
      </c>
      <c r="FQ110" s="108" t="str">
        <f t="shared" si="137"/>
        <v/>
      </c>
      <c r="FR110" s="109" t="str">
        <f t="shared" si="138"/>
        <v/>
      </c>
      <c r="FS110" s="109" t="str">
        <f t="shared" si="60"/>
        <v/>
      </c>
      <c r="FT110" s="110" t="str">
        <f t="shared" ref="FT110:FT118" si="219">IF($B110="","",FT109-FR110)</f>
        <v/>
      </c>
      <c r="FV110" s="108" t="str">
        <f t="shared" si="61"/>
        <v/>
      </c>
      <c r="FW110" s="109" t="str">
        <f t="shared" si="139"/>
        <v/>
      </c>
      <c r="FX110" s="109" t="str">
        <f t="shared" si="62"/>
        <v/>
      </c>
      <c r="FY110" s="110" t="str">
        <f t="shared" ref="FY110:FY118" si="220">IF($B110="","",FY109-FW110)</f>
        <v/>
      </c>
      <c r="GA110" s="108" t="str">
        <f t="shared" si="141"/>
        <v/>
      </c>
      <c r="GB110" s="109" t="str">
        <f t="shared" si="142"/>
        <v/>
      </c>
      <c r="GC110" s="109" t="str">
        <f t="shared" si="63"/>
        <v/>
      </c>
      <c r="GD110" s="110" t="str">
        <f t="shared" ref="GD110:GD118" si="221">IF($B110="","",GD109-GB110)</f>
        <v/>
      </c>
      <c r="GF110" s="108" t="str">
        <f t="shared" si="64"/>
        <v/>
      </c>
      <c r="GG110" s="109" t="str">
        <f t="shared" si="143"/>
        <v/>
      </c>
      <c r="GH110" s="109" t="str">
        <f t="shared" si="65"/>
        <v/>
      </c>
      <c r="GI110" s="110" t="str">
        <f t="shared" ref="GI110:GI118" si="222">IF($B110="","",GI109-GG110)</f>
        <v/>
      </c>
      <c r="GK110" s="108" t="str">
        <f t="shared" si="145"/>
        <v/>
      </c>
      <c r="GL110" s="109" t="str">
        <f t="shared" si="146"/>
        <v/>
      </c>
      <c r="GM110" s="109" t="str">
        <f t="shared" si="147"/>
        <v/>
      </c>
      <c r="GN110" s="110" t="str">
        <f t="shared" ref="GN110:GN118" si="223">IF($B110="","",GN109-GL110)</f>
        <v/>
      </c>
      <c r="GR110" s="108" t="str">
        <f t="shared" si="66"/>
        <v/>
      </c>
      <c r="GS110" s="109" t="str">
        <f t="shared" si="67"/>
        <v/>
      </c>
      <c r="GT110" s="109" t="str">
        <f t="shared" si="68"/>
        <v/>
      </c>
      <c r="GU110" s="110" t="str">
        <f t="shared" si="69"/>
        <v/>
      </c>
      <c r="GV110" s="51"/>
      <c r="GW110" s="108" t="str">
        <f t="shared" si="70"/>
        <v/>
      </c>
      <c r="GX110" s="109" t="str">
        <f t="shared" si="148"/>
        <v/>
      </c>
      <c r="GY110" s="109" t="str">
        <f t="shared" si="71"/>
        <v/>
      </c>
      <c r="GZ110" s="110" t="str">
        <f t="shared" si="72"/>
        <v/>
      </c>
      <c r="HA110" s="51"/>
      <c r="HB110" s="108" t="str">
        <f t="shared" si="149"/>
        <v/>
      </c>
      <c r="HC110" s="109" t="str">
        <f t="shared" si="150"/>
        <v/>
      </c>
      <c r="HD110" s="109" t="str">
        <f t="shared" si="73"/>
        <v/>
      </c>
      <c r="HE110" s="110" t="str">
        <f t="shared" si="151"/>
        <v/>
      </c>
      <c r="HF110" s="51"/>
      <c r="HG110" s="108" t="str">
        <f t="shared" si="74"/>
        <v/>
      </c>
      <c r="HH110" s="109" t="str">
        <f t="shared" si="152"/>
        <v/>
      </c>
      <c r="HI110" s="109" t="str">
        <f t="shared" si="75"/>
        <v/>
      </c>
      <c r="HJ110" s="110" t="str">
        <f t="shared" si="193"/>
        <v/>
      </c>
      <c r="HK110" s="51"/>
      <c r="HL110" s="108" t="str">
        <f t="shared" si="153"/>
        <v/>
      </c>
      <c r="HM110" s="109" t="str">
        <f t="shared" si="154"/>
        <v/>
      </c>
      <c r="HN110" s="109" t="str">
        <f t="shared" si="76"/>
        <v/>
      </c>
      <c r="HO110" s="110" t="str">
        <f t="shared" si="155"/>
        <v/>
      </c>
      <c r="HP110" s="51"/>
      <c r="HQ110" s="108" t="str">
        <f t="shared" si="77"/>
        <v/>
      </c>
      <c r="HR110" s="109" t="str">
        <f t="shared" si="156"/>
        <v/>
      </c>
      <c r="HS110" s="109" t="str">
        <f t="shared" si="78"/>
        <v/>
      </c>
      <c r="HT110" s="110" t="str">
        <f t="shared" si="194"/>
        <v/>
      </c>
      <c r="HU110" s="51"/>
      <c r="HV110" s="108" t="str">
        <f t="shared" si="157"/>
        <v/>
      </c>
      <c r="HW110" s="109" t="str">
        <f t="shared" si="158"/>
        <v/>
      </c>
      <c r="HX110" s="109" t="str">
        <f t="shared" si="79"/>
        <v/>
      </c>
      <c r="HY110" s="110" t="str">
        <f t="shared" si="159"/>
        <v/>
      </c>
      <c r="HZ110" s="51"/>
      <c r="IA110" s="108" t="str">
        <f t="shared" si="80"/>
        <v/>
      </c>
      <c r="IB110" s="109" t="str">
        <f t="shared" si="160"/>
        <v/>
      </c>
      <c r="IC110" s="109" t="str">
        <f t="shared" si="81"/>
        <v/>
      </c>
      <c r="ID110" s="110" t="str">
        <f t="shared" si="195"/>
        <v/>
      </c>
      <c r="IE110" s="51"/>
      <c r="IF110" s="108" t="str">
        <f t="shared" si="161"/>
        <v/>
      </c>
      <c r="IG110" s="109" t="str">
        <f t="shared" si="162"/>
        <v/>
      </c>
      <c r="IH110" s="109" t="str">
        <f t="shared" si="82"/>
        <v/>
      </c>
      <c r="II110" s="110" t="str">
        <f t="shared" si="163"/>
        <v/>
      </c>
      <c r="IJ110" s="51"/>
      <c r="IK110" s="108" t="str">
        <f t="shared" si="83"/>
        <v/>
      </c>
      <c r="IL110" s="109" t="str">
        <f t="shared" si="164"/>
        <v/>
      </c>
      <c r="IM110" s="109" t="str">
        <f t="shared" si="84"/>
        <v/>
      </c>
      <c r="IN110" s="110" t="str">
        <f t="shared" si="196"/>
        <v/>
      </c>
      <c r="IO110" s="51"/>
      <c r="IP110" s="108" t="str">
        <f t="shared" si="165"/>
        <v/>
      </c>
      <c r="IQ110" s="109" t="str">
        <f t="shared" si="166"/>
        <v/>
      </c>
      <c r="IR110" s="109" t="str">
        <f t="shared" si="85"/>
        <v/>
      </c>
      <c r="IS110" s="110" t="str">
        <f t="shared" si="167"/>
        <v/>
      </c>
      <c r="IT110" s="51"/>
      <c r="IU110" s="108" t="str">
        <f t="shared" si="86"/>
        <v/>
      </c>
      <c r="IV110" s="109" t="str">
        <f t="shared" si="168"/>
        <v/>
      </c>
      <c r="IW110" s="109" t="str">
        <f t="shared" si="87"/>
        <v/>
      </c>
      <c r="IX110" s="110" t="str">
        <f t="shared" si="197"/>
        <v/>
      </c>
      <c r="IY110" s="51"/>
      <c r="IZ110" s="108" t="str">
        <f t="shared" si="169"/>
        <v/>
      </c>
      <c r="JA110" s="109" t="str">
        <f t="shared" si="170"/>
        <v/>
      </c>
      <c r="JB110" s="109" t="str">
        <f t="shared" si="88"/>
        <v/>
      </c>
      <c r="JC110" s="110" t="str">
        <f t="shared" si="171"/>
        <v/>
      </c>
      <c r="JD110" s="51"/>
      <c r="JE110" s="108" t="str">
        <f t="shared" si="89"/>
        <v/>
      </c>
      <c r="JF110" s="109" t="str">
        <f t="shared" si="172"/>
        <v/>
      </c>
      <c r="JG110" s="109" t="str">
        <f t="shared" si="90"/>
        <v/>
      </c>
      <c r="JH110" s="110" t="str">
        <f t="shared" si="198"/>
        <v/>
      </c>
      <c r="JI110" s="51"/>
      <c r="JJ110" s="108" t="str">
        <f t="shared" si="173"/>
        <v/>
      </c>
      <c r="JK110" s="109" t="str">
        <f t="shared" si="174"/>
        <v/>
      </c>
      <c r="JL110" s="109" t="str">
        <f t="shared" si="91"/>
        <v/>
      </c>
      <c r="JM110" s="110" t="str">
        <f t="shared" si="175"/>
        <v/>
      </c>
      <c r="JN110" s="51"/>
      <c r="JO110" s="108" t="str">
        <f t="shared" si="92"/>
        <v/>
      </c>
      <c r="JP110" s="109" t="str">
        <f t="shared" si="176"/>
        <v/>
      </c>
      <c r="JQ110" s="109" t="str">
        <f t="shared" si="93"/>
        <v/>
      </c>
      <c r="JR110" s="110" t="str">
        <f t="shared" si="199"/>
        <v/>
      </c>
      <c r="JS110" s="51"/>
      <c r="JT110" s="108" t="str">
        <f t="shared" si="177"/>
        <v/>
      </c>
      <c r="JU110" s="109" t="str">
        <f t="shared" si="178"/>
        <v/>
      </c>
      <c r="JV110" s="109" t="str">
        <f t="shared" si="94"/>
        <v/>
      </c>
      <c r="JW110" s="110" t="str">
        <f t="shared" si="179"/>
        <v/>
      </c>
      <c r="JX110" s="51"/>
      <c r="JY110" s="108" t="str">
        <f t="shared" si="95"/>
        <v/>
      </c>
      <c r="JZ110" s="109" t="str">
        <f t="shared" si="180"/>
        <v/>
      </c>
      <c r="KA110" s="109" t="str">
        <f t="shared" si="96"/>
        <v/>
      </c>
      <c r="KB110" s="110" t="str">
        <f t="shared" si="200"/>
        <v/>
      </c>
      <c r="KC110" s="51"/>
      <c r="KD110" s="108" t="str">
        <f t="shared" si="181"/>
        <v/>
      </c>
      <c r="KE110" s="109" t="str">
        <f t="shared" si="182"/>
        <v/>
      </c>
      <c r="KF110" s="109" t="str">
        <f t="shared" si="97"/>
        <v/>
      </c>
      <c r="KG110" s="110" t="str">
        <f t="shared" si="98"/>
        <v/>
      </c>
    </row>
    <row r="111" spans="1:293" ht="12" customHeight="1">
      <c r="A111" s="105">
        <f t="array" ref="A111">MAX(IF($J$80:J110&gt;0,$C$80:C110,0))</f>
        <v>43535</v>
      </c>
      <c r="B111" s="81" t="str">
        <f t="shared" si="4"/>
        <v/>
      </c>
      <c r="C111" s="82">
        <f t="shared" si="5"/>
        <v>0</v>
      </c>
      <c r="D111" s="83" t="str">
        <f t="shared" si="6"/>
        <v/>
      </c>
      <c r="E111" s="83" t="str">
        <f t="shared" si="99"/>
        <v/>
      </c>
      <c r="F111" s="83" t="str">
        <f t="shared" si="7"/>
        <v/>
      </c>
      <c r="G111" s="83" t="str">
        <f t="shared" si="8"/>
        <v/>
      </c>
      <c r="H111" s="83" t="str">
        <f t="shared" si="9"/>
        <v/>
      </c>
      <c r="I111" s="105">
        <f t="array" ref="I111">MAX(IF($R$80:R110&gt;0,$L$80:L110,0))</f>
        <v>0</v>
      </c>
      <c r="J111" s="106"/>
      <c r="K111" s="2" t="str">
        <f t="shared" si="10"/>
        <v/>
      </c>
      <c r="L111" s="82">
        <f t="shared" si="183"/>
        <v>0</v>
      </c>
      <c r="M111" s="83" t="str">
        <f t="shared" si="11"/>
        <v/>
      </c>
      <c r="N111" s="83" t="str">
        <f t="shared" si="12"/>
        <v/>
      </c>
      <c r="O111" s="83" t="str">
        <f t="shared" si="13"/>
        <v/>
      </c>
      <c r="P111" s="83" t="str">
        <f t="shared" si="14"/>
        <v/>
      </c>
      <c r="Q111" s="83" t="str">
        <f t="shared" si="15"/>
        <v/>
      </c>
      <c r="R111" s="106"/>
      <c r="S111" s="1"/>
      <c r="U111" s="85" t="e">
        <f t="shared" si="0"/>
        <v>#NUM!</v>
      </c>
      <c r="V111" s="86" t="e">
        <f t="shared" si="100"/>
        <v>#NUM!</v>
      </c>
      <c r="W111" s="87" t="e">
        <f t="shared" si="16"/>
        <v>#NUM!</v>
      </c>
      <c r="X111" s="87" t="e">
        <f t="shared" si="17"/>
        <v>#NUM!</v>
      </c>
      <c r="Y111" s="87" t="e">
        <f t="shared" si="18"/>
        <v>#NUM!</v>
      </c>
      <c r="Z111" s="88" t="e">
        <f t="shared" si="1"/>
        <v>#NUM!</v>
      </c>
      <c r="AB111" s="89">
        <f t="shared" si="101"/>
        <v>0</v>
      </c>
      <c r="AC111" s="87">
        <f t="shared" si="19"/>
        <v>0</v>
      </c>
      <c r="AD111" s="87" t="str">
        <f t="shared" si="20"/>
        <v/>
      </c>
      <c r="AE111" s="87" t="str">
        <f t="shared" si="21"/>
        <v/>
      </c>
      <c r="AF111" s="86">
        <f t="shared" si="102"/>
        <v>0</v>
      </c>
      <c r="AG111" s="87">
        <f t="shared" si="2"/>
        <v>0</v>
      </c>
      <c r="AH111" s="87">
        <f t="shared" si="103"/>
        <v>0</v>
      </c>
      <c r="AI111" s="90"/>
      <c r="AJ111" s="87" t="e">
        <f t="shared" si="22"/>
        <v>#NUM!</v>
      </c>
      <c r="AK111" s="87" t="e">
        <f t="shared" si="104"/>
        <v>#NUM!</v>
      </c>
      <c r="AL111" s="87" t="e">
        <f t="shared" si="105"/>
        <v>#NUM!</v>
      </c>
      <c r="AM111" s="87" t="e">
        <f t="shared" si="106"/>
        <v>#NUM!</v>
      </c>
      <c r="AN111" s="86">
        <f t="shared" si="23"/>
        <v>0</v>
      </c>
      <c r="AO111" s="87">
        <f t="shared" si="24"/>
        <v>0</v>
      </c>
      <c r="AP111" s="88">
        <f t="shared" si="25"/>
        <v>0</v>
      </c>
      <c r="AR111" s="91">
        <f t="shared" si="26"/>
        <v>0</v>
      </c>
      <c r="AS111" s="92">
        <f t="shared" si="27"/>
        <v>0</v>
      </c>
      <c r="AT111" s="87" t="str">
        <f t="shared" si="28"/>
        <v/>
      </c>
      <c r="AU111" s="87" t="str">
        <f t="shared" si="29"/>
        <v/>
      </c>
      <c r="AV111" s="86">
        <f t="shared" si="107"/>
        <v>0</v>
      </c>
      <c r="AW111" s="87">
        <f t="shared" si="108"/>
        <v>0</v>
      </c>
      <c r="AX111" s="87">
        <f t="shared" si="109"/>
        <v>0</v>
      </c>
      <c r="AY111" s="93"/>
      <c r="AZ111" s="87">
        <f t="shared" si="201"/>
        <v>0</v>
      </c>
      <c r="BA111" s="87">
        <f t="shared" si="110"/>
        <v>0</v>
      </c>
      <c r="BB111" s="87">
        <f t="shared" si="111"/>
        <v>0</v>
      </c>
      <c r="BC111" s="87">
        <f t="shared" si="184"/>
        <v>0</v>
      </c>
      <c r="BD111" s="86" t="e">
        <f t="shared" si="30"/>
        <v>#NUM!</v>
      </c>
      <c r="BE111" s="87" t="e">
        <f t="shared" si="3"/>
        <v>#NUM!</v>
      </c>
      <c r="BF111" s="88">
        <f t="shared" si="112"/>
        <v>0</v>
      </c>
      <c r="BH111" s="87" t="e">
        <f t="shared" si="31"/>
        <v>#NUM!</v>
      </c>
      <c r="BK111" s="95">
        <v>40185</v>
      </c>
      <c r="BL111" s="96">
        <v>32</v>
      </c>
      <c r="BT111" t="s">
        <v>183</v>
      </c>
      <c r="BX111" s="107"/>
      <c r="BY111" s="107"/>
      <c r="BZ111" s="107"/>
      <c r="CA111" s="107"/>
      <c r="CB111" s="107"/>
      <c r="CC111" s="107"/>
      <c r="CD111" s="107"/>
      <c r="CE111" s="107"/>
      <c r="CF111" s="107"/>
      <c r="CG111" s="107"/>
      <c r="CY111" s="108" t="str">
        <f t="shared" si="32"/>
        <v/>
      </c>
      <c r="CZ111" s="109" t="str">
        <f t="shared" si="33"/>
        <v/>
      </c>
      <c r="DA111" s="109" t="str">
        <f t="shared" si="34"/>
        <v/>
      </c>
      <c r="DB111" s="110" t="str">
        <f t="shared" si="205"/>
        <v/>
      </c>
      <c r="DD111" s="108" t="str">
        <f t="shared" si="36"/>
        <v/>
      </c>
      <c r="DE111" s="109" t="str">
        <f t="shared" si="114"/>
        <v/>
      </c>
      <c r="DF111" s="109" t="str">
        <f t="shared" si="37"/>
        <v/>
      </c>
      <c r="DG111" s="110" t="str">
        <f t="shared" si="206"/>
        <v/>
      </c>
      <c r="DI111" s="108" t="str">
        <f t="shared" si="115"/>
        <v/>
      </c>
      <c r="DJ111" s="109" t="str">
        <f t="shared" si="116"/>
        <v/>
      </c>
      <c r="DK111" s="109" t="str">
        <f t="shared" si="39"/>
        <v/>
      </c>
      <c r="DL111" s="110" t="str">
        <f t="shared" si="207"/>
        <v/>
      </c>
      <c r="DN111" s="108" t="str">
        <f t="shared" si="41"/>
        <v/>
      </c>
      <c r="DO111" s="109" t="str">
        <f t="shared" si="42"/>
        <v/>
      </c>
      <c r="DP111" s="109" t="str">
        <f t="shared" si="43"/>
        <v/>
      </c>
      <c r="DQ111" s="110" t="str">
        <f t="shared" si="208"/>
        <v/>
      </c>
      <c r="DS111" s="108" t="str">
        <f t="shared" si="117"/>
        <v/>
      </c>
      <c r="DT111" s="109" t="str">
        <f t="shared" si="118"/>
        <v/>
      </c>
      <c r="DU111" s="109" t="str">
        <f t="shared" si="45"/>
        <v/>
      </c>
      <c r="DV111" s="110" t="str">
        <f t="shared" si="209"/>
        <v/>
      </c>
      <c r="DX111" s="108" t="str">
        <f t="shared" si="46"/>
        <v/>
      </c>
      <c r="DY111" s="109" t="str">
        <f t="shared" si="119"/>
        <v/>
      </c>
      <c r="DZ111" s="109" t="str">
        <f t="shared" si="47"/>
        <v/>
      </c>
      <c r="EA111" s="110" t="str">
        <f t="shared" si="210"/>
        <v/>
      </c>
      <c r="EC111" s="108" t="str">
        <f t="shared" si="121"/>
        <v/>
      </c>
      <c r="ED111" s="109" t="str">
        <f t="shared" si="122"/>
        <v/>
      </c>
      <c r="EE111" s="109" t="str">
        <f t="shared" si="48"/>
        <v/>
      </c>
      <c r="EF111" s="110" t="str">
        <f t="shared" si="211"/>
        <v/>
      </c>
      <c r="EH111" s="108" t="str">
        <f t="shared" si="49"/>
        <v/>
      </c>
      <c r="EI111" s="109" t="str">
        <f t="shared" si="123"/>
        <v/>
      </c>
      <c r="EJ111" s="109" t="str">
        <f t="shared" si="50"/>
        <v/>
      </c>
      <c r="EK111" s="110" t="str">
        <f t="shared" si="212"/>
        <v/>
      </c>
      <c r="EM111" s="108" t="str">
        <f t="shared" si="125"/>
        <v/>
      </c>
      <c r="EN111" s="109" t="str">
        <f t="shared" si="126"/>
        <v/>
      </c>
      <c r="EO111" s="109" t="str">
        <f t="shared" si="51"/>
        <v/>
      </c>
      <c r="EP111" s="110" t="str">
        <f t="shared" si="213"/>
        <v/>
      </c>
      <c r="ER111" s="108" t="str">
        <f t="shared" si="52"/>
        <v/>
      </c>
      <c r="ES111" s="109" t="str">
        <f t="shared" si="127"/>
        <v/>
      </c>
      <c r="ET111" s="109" t="str">
        <f t="shared" si="53"/>
        <v/>
      </c>
      <c r="EU111" s="110" t="str">
        <f t="shared" si="214"/>
        <v/>
      </c>
      <c r="EW111" s="108" t="str">
        <f t="shared" si="129"/>
        <v/>
      </c>
      <c r="EX111" s="109" t="str">
        <f t="shared" si="130"/>
        <v/>
      </c>
      <c r="EY111" s="109" t="str">
        <f t="shared" si="54"/>
        <v/>
      </c>
      <c r="EZ111" s="110" t="str">
        <f t="shared" si="215"/>
        <v/>
      </c>
      <c r="FB111" s="108" t="str">
        <f t="shared" si="55"/>
        <v/>
      </c>
      <c r="FC111" s="109" t="str">
        <f t="shared" si="131"/>
        <v/>
      </c>
      <c r="FD111" s="109" t="str">
        <f t="shared" si="56"/>
        <v/>
      </c>
      <c r="FE111" s="110" t="str">
        <f t="shared" si="216"/>
        <v/>
      </c>
      <c r="FG111" s="108" t="str">
        <f t="shared" si="133"/>
        <v/>
      </c>
      <c r="FH111" s="109" t="str">
        <f t="shared" si="134"/>
        <v/>
      </c>
      <c r="FI111" s="109" t="str">
        <f t="shared" si="57"/>
        <v/>
      </c>
      <c r="FJ111" s="110" t="str">
        <f t="shared" si="217"/>
        <v/>
      </c>
      <c r="FL111" s="108" t="str">
        <f t="shared" si="58"/>
        <v/>
      </c>
      <c r="FM111" s="109" t="str">
        <f t="shared" si="135"/>
        <v/>
      </c>
      <c r="FN111" s="109" t="str">
        <f t="shared" si="59"/>
        <v/>
      </c>
      <c r="FO111" s="110" t="str">
        <f t="shared" si="218"/>
        <v/>
      </c>
      <c r="FQ111" s="108" t="str">
        <f t="shared" si="137"/>
        <v/>
      </c>
      <c r="FR111" s="109" t="str">
        <f t="shared" si="138"/>
        <v/>
      </c>
      <c r="FS111" s="109" t="str">
        <f t="shared" si="60"/>
        <v/>
      </c>
      <c r="FT111" s="110" t="str">
        <f t="shared" si="219"/>
        <v/>
      </c>
      <c r="FV111" s="108" t="str">
        <f t="shared" si="61"/>
        <v/>
      </c>
      <c r="FW111" s="109" t="str">
        <f t="shared" si="139"/>
        <v/>
      </c>
      <c r="FX111" s="109" t="str">
        <f t="shared" si="62"/>
        <v/>
      </c>
      <c r="FY111" s="110" t="str">
        <f t="shared" si="220"/>
        <v/>
      </c>
      <c r="GA111" s="108" t="str">
        <f t="shared" si="141"/>
        <v/>
      </c>
      <c r="GB111" s="109" t="str">
        <f t="shared" si="142"/>
        <v/>
      </c>
      <c r="GC111" s="109" t="str">
        <f t="shared" si="63"/>
        <v/>
      </c>
      <c r="GD111" s="110" t="str">
        <f t="shared" si="221"/>
        <v/>
      </c>
      <c r="GF111" s="108" t="str">
        <f t="shared" si="64"/>
        <v/>
      </c>
      <c r="GG111" s="109" t="str">
        <f t="shared" si="143"/>
        <v/>
      </c>
      <c r="GH111" s="109" t="str">
        <f t="shared" si="65"/>
        <v/>
      </c>
      <c r="GI111" s="110" t="str">
        <f t="shared" si="222"/>
        <v/>
      </c>
      <c r="GK111" s="108" t="str">
        <f t="shared" si="145"/>
        <v/>
      </c>
      <c r="GL111" s="109" t="str">
        <f t="shared" si="146"/>
        <v/>
      </c>
      <c r="GM111" s="109" t="str">
        <f t="shared" si="147"/>
        <v/>
      </c>
      <c r="GN111" s="110" t="str">
        <f t="shared" si="223"/>
        <v/>
      </c>
      <c r="GR111" s="108" t="str">
        <f t="shared" si="66"/>
        <v/>
      </c>
      <c r="GS111" s="109" t="str">
        <f t="shared" si="67"/>
        <v/>
      </c>
      <c r="GT111" s="109" t="str">
        <f t="shared" si="68"/>
        <v/>
      </c>
      <c r="GU111" s="110" t="str">
        <f t="shared" si="69"/>
        <v/>
      </c>
      <c r="GV111" s="51"/>
      <c r="GW111" s="108" t="str">
        <f t="shared" si="70"/>
        <v/>
      </c>
      <c r="GX111" s="109" t="str">
        <f t="shared" si="148"/>
        <v/>
      </c>
      <c r="GY111" s="109" t="str">
        <f t="shared" si="71"/>
        <v/>
      </c>
      <c r="GZ111" s="110" t="str">
        <f t="shared" si="72"/>
        <v/>
      </c>
      <c r="HA111" s="51"/>
      <c r="HB111" s="108" t="str">
        <f t="shared" si="149"/>
        <v/>
      </c>
      <c r="HC111" s="109" t="str">
        <f t="shared" si="150"/>
        <v/>
      </c>
      <c r="HD111" s="109" t="str">
        <f t="shared" si="73"/>
        <v/>
      </c>
      <c r="HE111" s="110" t="str">
        <f t="shared" si="151"/>
        <v/>
      </c>
      <c r="HF111" s="51"/>
      <c r="HG111" s="108" t="str">
        <f t="shared" si="74"/>
        <v/>
      </c>
      <c r="HH111" s="109" t="str">
        <f t="shared" si="152"/>
        <v/>
      </c>
      <c r="HI111" s="109" t="str">
        <f t="shared" si="75"/>
        <v/>
      </c>
      <c r="HJ111" s="110" t="str">
        <f t="shared" si="193"/>
        <v/>
      </c>
      <c r="HK111" s="51"/>
      <c r="HL111" s="108" t="str">
        <f t="shared" si="153"/>
        <v/>
      </c>
      <c r="HM111" s="109" t="str">
        <f t="shared" si="154"/>
        <v/>
      </c>
      <c r="HN111" s="109" t="str">
        <f t="shared" si="76"/>
        <v/>
      </c>
      <c r="HO111" s="110" t="str">
        <f t="shared" si="155"/>
        <v/>
      </c>
      <c r="HP111" s="51"/>
      <c r="HQ111" s="108" t="str">
        <f t="shared" si="77"/>
        <v/>
      </c>
      <c r="HR111" s="109" t="str">
        <f t="shared" si="156"/>
        <v/>
      </c>
      <c r="HS111" s="109" t="str">
        <f t="shared" si="78"/>
        <v/>
      </c>
      <c r="HT111" s="110" t="str">
        <f t="shared" si="194"/>
        <v/>
      </c>
      <c r="HU111" s="51"/>
      <c r="HV111" s="108" t="str">
        <f t="shared" si="157"/>
        <v/>
      </c>
      <c r="HW111" s="109" t="str">
        <f t="shared" si="158"/>
        <v/>
      </c>
      <c r="HX111" s="109" t="str">
        <f t="shared" si="79"/>
        <v/>
      </c>
      <c r="HY111" s="110" t="str">
        <f t="shared" si="159"/>
        <v/>
      </c>
      <c r="HZ111" s="51"/>
      <c r="IA111" s="108" t="str">
        <f t="shared" si="80"/>
        <v/>
      </c>
      <c r="IB111" s="109" t="str">
        <f t="shared" si="160"/>
        <v/>
      </c>
      <c r="IC111" s="109" t="str">
        <f t="shared" si="81"/>
        <v/>
      </c>
      <c r="ID111" s="110" t="str">
        <f t="shared" si="195"/>
        <v/>
      </c>
      <c r="IE111" s="51"/>
      <c r="IF111" s="108" t="str">
        <f t="shared" si="161"/>
        <v/>
      </c>
      <c r="IG111" s="109" t="str">
        <f t="shared" si="162"/>
        <v/>
      </c>
      <c r="IH111" s="109" t="str">
        <f t="shared" si="82"/>
        <v/>
      </c>
      <c r="II111" s="110" t="str">
        <f t="shared" si="163"/>
        <v/>
      </c>
      <c r="IJ111" s="51"/>
      <c r="IK111" s="108" t="str">
        <f t="shared" si="83"/>
        <v/>
      </c>
      <c r="IL111" s="109" t="str">
        <f t="shared" si="164"/>
        <v/>
      </c>
      <c r="IM111" s="109" t="str">
        <f t="shared" si="84"/>
        <v/>
      </c>
      <c r="IN111" s="110" t="str">
        <f t="shared" si="196"/>
        <v/>
      </c>
      <c r="IO111" s="51"/>
      <c r="IP111" s="108" t="str">
        <f t="shared" si="165"/>
        <v/>
      </c>
      <c r="IQ111" s="109" t="str">
        <f t="shared" si="166"/>
        <v/>
      </c>
      <c r="IR111" s="109" t="str">
        <f t="shared" si="85"/>
        <v/>
      </c>
      <c r="IS111" s="110" t="str">
        <f t="shared" si="167"/>
        <v/>
      </c>
      <c r="IT111" s="51"/>
      <c r="IU111" s="108" t="str">
        <f t="shared" si="86"/>
        <v/>
      </c>
      <c r="IV111" s="109" t="str">
        <f t="shared" si="168"/>
        <v/>
      </c>
      <c r="IW111" s="109" t="str">
        <f t="shared" si="87"/>
        <v/>
      </c>
      <c r="IX111" s="110" t="str">
        <f t="shared" si="197"/>
        <v/>
      </c>
      <c r="IY111" s="51"/>
      <c r="IZ111" s="108" t="str">
        <f t="shared" si="169"/>
        <v/>
      </c>
      <c r="JA111" s="109" t="str">
        <f t="shared" si="170"/>
        <v/>
      </c>
      <c r="JB111" s="109" t="str">
        <f t="shared" si="88"/>
        <v/>
      </c>
      <c r="JC111" s="110" t="str">
        <f t="shared" si="171"/>
        <v/>
      </c>
      <c r="JD111" s="51"/>
      <c r="JE111" s="108" t="str">
        <f t="shared" si="89"/>
        <v/>
      </c>
      <c r="JF111" s="109" t="str">
        <f t="shared" si="172"/>
        <v/>
      </c>
      <c r="JG111" s="109" t="str">
        <f t="shared" si="90"/>
        <v/>
      </c>
      <c r="JH111" s="110" t="str">
        <f t="shared" si="198"/>
        <v/>
      </c>
      <c r="JI111" s="51"/>
      <c r="JJ111" s="108" t="str">
        <f t="shared" si="173"/>
        <v/>
      </c>
      <c r="JK111" s="109" t="str">
        <f t="shared" si="174"/>
        <v/>
      </c>
      <c r="JL111" s="109" t="str">
        <f t="shared" si="91"/>
        <v/>
      </c>
      <c r="JM111" s="110" t="str">
        <f t="shared" si="175"/>
        <v/>
      </c>
      <c r="JN111" s="51"/>
      <c r="JO111" s="108" t="str">
        <f t="shared" si="92"/>
        <v/>
      </c>
      <c r="JP111" s="109" t="str">
        <f t="shared" si="176"/>
        <v/>
      </c>
      <c r="JQ111" s="109" t="str">
        <f t="shared" si="93"/>
        <v/>
      </c>
      <c r="JR111" s="110" t="str">
        <f t="shared" si="199"/>
        <v/>
      </c>
      <c r="JS111" s="51"/>
      <c r="JT111" s="108" t="str">
        <f t="shared" si="177"/>
        <v/>
      </c>
      <c r="JU111" s="109" t="str">
        <f t="shared" si="178"/>
        <v/>
      </c>
      <c r="JV111" s="109" t="str">
        <f t="shared" si="94"/>
        <v/>
      </c>
      <c r="JW111" s="110" t="str">
        <f t="shared" si="179"/>
        <v/>
      </c>
      <c r="JX111" s="51"/>
      <c r="JY111" s="108" t="str">
        <f t="shared" si="95"/>
        <v/>
      </c>
      <c r="JZ111" s="109" t="str">
        <f t="shared" si="180"/>
        <v/>
      </c>
      <c r="KA111" s="109" t="str">
        <f t="shared" si="96"/>
        <v/>
      </c>
      <c r="KB111" s="110" t="str">
        <f t="shared" si="200"/>
        <v/>
      </c>
      <c r="KC111" s="51"/>
      <c r="KD111" s="108" t="str">
        <f t="shared" si="181"/>
        <v/>
      </c>
      <c r="KE111" s="109" t="str">
        <f t="shared" si="182"/>
        <v/>
      </c>
      <c r="KF111" s="109" t="str">
        <f t="shared" si="97"/>
        <v/>
      </c>
      <c r="KG111" s="110" t="str">
        <f t="shared" si="98"/>
        <v/>
      </c>
    </row>
    <row r="112" spans="1:293" ht="12" customHeight="1">
      <c r="A112" s="105">
        <f t="array" ref="A112">MAX(IF($J$80:J111&gt;0,$C$80:C111,0))</f>
        <v>43535</v>
      </c>
      <c r="B112" s="81" t="str">
        <f t="shared" si="4"/>
        <v/>
      </c>
      <c r="C112" s="82">
        <f t="shared" si="5"/>
        <v>0</v>
      </c>
      <c r="D112" s="83" t="str">
        <f t="shared" si="6"/>
        <v/>
      </c>
      <c r="E112" s="83" t="str">
        <f t="shared" si="99"/>
        <v/>
      </c>
      <c r="F112" s="83" t="str">
        <f t="shared" si="7"/>
        <v/>
      </c>
      <c r="G112" s="83" t="str">
        <f t="shared" si="8"/>
        <v/>
      </c>
      <c r="H112" s="83" t="str">
        <f t="shared" si="9"/>
        <v/>
      </c>
      <c r="I112" s="105">
        <f t="array" ref="I112">MAX(IF($R$80:R111&gt;0,$L$80:L111,0))</f>
        <v>0</v>
      </c>
      <c r="J112" s="106"/>
      <c r="K112" s="2" t="str">
        <f t="shared" si="10"/>
        <v/>
      </c>
      <c r="L112" s="82">
        <f t="shared" si="183"/>
        <v>0</v>
      </c>
      <c r="M112" s="83" t="str">
        <f t="shared" si="11"/>
        <v/>
      </c>
      <c r="N112" s="83" t="str">
        <f t="shared" si="12"/>
        <v/>
      </c>
      <c r="O112" s="83" t="str">
        <f t="shared" si="13"/>
        <v/>
      </c>
      <c r="P112" s="83" t="str">
        <f t="shared" si="14"/>
        <v/>
      </c>
      <c r="Q112" s="83" t="str">
        <f t="shared" si="15"/>
        <v/>
      </c>
      <c r="R112" s="106"/>
      <c r="S112" s="1"/>
      <c r="U112" s="85" t="e">
        <f t="shared" si="0"/>
        <v>#NUM!</v>
      </c>
      <c r="V112" s="86" t="e">
        <f t="shared" si="100"/>
        <v>#NUM!</v>
      </c>
      <c r="W112" s="87" t="e">
        <f t="shared" si="16"/>
        <v>#NUM!</v>
      </c>
      <c r="X112" s="87" t="e">
        <f t="shared" si="17"/>
        <v>#NUM!</v>
      </c>
      <c r="Y112" s="87" t="e">
        <f t="shared" si="18"/>
        <v>#NUM!</v>
      </c>
      <c r="Z112" s="88" t="e">
        <f t="shared" si="1"/>
        <v>#NUM!</v>
      </c>
      <c r="AB112" s="89">
        <f t="shared" si="101"/>
        <v>0</v>
      </c>
      <c r="AC112" s="87">
        <f t="shared" si="19"/>
        <v>0</v>
      </c>
      <c r="AD112" s="87" t="str">
        <f t="shared" si="20"/>
        <v/>
      </c>
      <c r="AE112" s="87" t="str">
        <f t="shared" si="21"/>
        <v/>
      </c>
      <c r="AF112" s="86">
        <f t="shared" si="102"/>
        <v>0</v>
      </c>
      <c r="AG112" s="87">
        <f t="shared" si="2"/>
        <v>0</v>
      </c>
      <c r="AH112" s="87">
        <f t="shared" si="103"/>
        <v>0</v>
      </c>
      <c r="AI112" s="90"/>
      <c r="AJ112" s="87" t="e">
        <f t="shared" si="22"/>
        <v>#NUM!</v>
      </c>
      <c r="AK112" s="87" t="e">
        <f t="shared" si="104"/>
        <v>#NUM!</v>
      </c>
      <c r="AL112" s="87" t="e">
        <f t="shared" si="105"/>
        <v>#NUM!</v>
      </c>
      <c r="AM112" s="87" t="e">
        <f t="shared" si="106"/>
        <v>#NUM!</v>
      </c>
      <c r="AN112" s="86">
        <f t="shared" si="23"/>
        <v>0</v>
      </c>
      <c r="AO112" s="87">
        <f t="shared" si="24"/>
        <v>0</v>
      </c>
      <c r="AP112" s="88">
        <f t="shared" si="25"/>
        <v>0</v>
      </c>
      <c r="AR112" s="91">
        <f t="shared" si="26"/>
        <v>0</v>
      </c>
      <c r="AS112" s="92">
        <f t="shared" si="27"/>
        <v>0</v>
      </c>
      <c r="AT112" s="87" t="str">
        <f t="shared" si="28"/>
        <v/>
      </c>
      <c r="AU112" s="87" t="str">
        <f t="shared" si="29"/>
        <v/>
      </c>
      <c r="AV112" s="86">
        <f t="shared" si="107"/>
        <v>0</v>
      </c>
      <c r="AW112" s="87">
        <f t="shared" si="108"/>
        <v>0</v>
      </c>
      <c r="AX112" s="87">
        <f t="shared" si="109"/>
        <v>0</v>
      </c>
      <c r="AY112" s="93"/>
      <c r="AZ112" s="87">
        <f t="shared" si="201"/>
        <v>0</v>
      </c>
      <c r="BA112" s="87">
        <f t="shared" si="110"/>
        <v>0</v>
      </c>
      <c r="BB112" s="87">
        <f t="shared" si="111"/>
        <v>0</v>
      </c>
      <c r="BC112" s="87">
        <f t="shared" si="184"/>
        <v>0</v>
      </c>
      <c r="BD112" s="86" t="e">
        <f t="shared" si="30"/>
        <v>#NUM!</v>
      </c>
      <c r="BE112" s="87" t="e">
        <f t="shared" si="3"/>
        <v>#NUM!</v>
      </c>
      <c r="BF112" s="88">
        <f t="shared" si="112"/>
        <v>0</v>
      </c>
      <c r="BH112" s="87" t="e">
        <f t="shared" si="31"/>
        <v>#NUM!</v>
      </c>
      <c r="BK112" s="95">
        <v>40197</v>
      </c>
      <c r="BL112" s="96">
        <v>33</v>
      </c>
      <c r="BT112">
        <v>0</v>
      </c>
      <c r="BU112" s="51">
        <v>1000000</v>
      </c>
      <c r="BV112" s="30" t="s">
        <v>497</v>
      </c>
      <c r="BY112" s="107"/>
      <c r="BZ112" s="107"/>
      <c r="CA112" s="107"/>
      <c r="CB112" s="107"/>
      <c r="CC112" s="107"/>
      <c r="CD112" s="107"/>
      <c r="CE112" s="107"/>
      <c r="CF112" s="30" t="s">
        <v>497</v>
      </c>
      <c r="CG112" s="30" t="s">
        <v>497</v>
      </c>
      <c r="CY112" s="108" t="str">
        <f t="shared" si="32"/>
        <v/>
      </c>
      <c r="CZ112" s="109" t="str">
        <f t="shared" si="33"/>
        <v/>
      </c>
      <c r="DA112" s="109" t="str">
        <f t="shared" si="34"/>
        <v/>
      </c>
      <c r="DB112" s="110" t="str">
        <f t="shared" si="205"/>
        <v/>
      </c>
      <c r="DD112" s="108" t="str">
        <f t="shared" si="36"/>
        <v/>
      </c>
      <c r="DE112" s="109" t="str">
        <f t="shared" si="114"/>
        <v/>
      </c>
      <c r="DF112" s="109" t="str">
        <f t="shared" si="37"/>
        <v/>
      </c>
      <c r="DG112" s="110" t="str">
        <f t="shared" si="206"/>
        <v/>
      </c>
      <c r="DI112" s="108" t="str">
        <f t="shared" si="115"/>
        <v/>
      </c>
      <c r="DJ112" s="109" t="str">
        <f t="shared" si="116"/>
        <v/>
      </c>
      <c r="DK112" s="109" t="str">
        <f t="shared" si="39"/>
        <v/>
      </c>
      <c r="DL112" s="110" t="str">
        <f t="shared" si="207"/>
        <v/>
      </c>
      <c r="DN112" s="108" t="str">
        <f t="shared" si="41"/>
        <v/>
      </c>
      <c r="DO112" s="109" t="str">
        <f t="shared" si="42"/>
        <v/>
      </c>
      <c r="DP112" s="109" t="str">
        <f t="shared" si="43"/>
        <v/>
      </c>
      <c r="DQ112" s="110" t="str">
        <f t="shared" si="208"/>
        <v/>
      </c>
      <c r="DS112" s="108" t="str">
        <f t="shared" si="117"/>
        <v/>
      </c>
      <c r="DT112" s="109" t="str">
        <f t="shared" si="118"/>
        <v/>
      </c>
      <c r="DU112" s="109" t="str">
        <f t="shared" si="45"/>
        <v/>
      </c>
      <c r="DV112" s="110" t="str">
        <f t="shared" si="209"/>
        <v/>
      </c>
      <c r="DX112" s="108" t="str">
        <f t="shared" si="46"/>
        <v/>
      </c>
      <c r="DY112" s="109" t="str">
        <f t="shared" si="119"/>
        <v/>
      </c>
      <c r="DZ112" s="109" t="str">
        <f t="shared" si="47"/>
        <v/>
      </c>
      <c r="EA112" s="110" t="str">
        <f t="shared" si="210"/>
        <v/>
      </c>
      <c r="EC112" s="108" t="str">
        <f t="shared" si="121"/>
        <v/>
      </c>
      <c r="ED112" s="109" t="str">
        <f t="shared" si="122"/>
        <v/>
      </c>
      <c r="EE112" s="109" t="str">
        <f t="shared" si="48"/>
        <v/>
      </c>
      <c r="EF112" s="110" t="str">
        <f t="shared" si="211"/>
        <v/>
      </c>
      <c r="EH112" s="108" t="str">
        <f t="shared" si="49"/>
        <v/>
      </c>
      <c r="EI112" s="109" t="str">
        <f t="shared" si="123"/>
        <v/>
      </c>
      <c r="EJ112" s="109" t="str">
        <f t="shared" si="50"/>
        <v/>
      </c>
      <c r="EK112" s="110" t="str">
        <f t="shared" si="212"/>
        <v/>
      </c>
      <c r="EM112" s="108" t="str">
        <f t="shared" si="125"/>
        <v/>
      </c>
      <c r="EN112" s="109" t="str">
        <f t="shared" si="126"/>
        <v/>
      </c>
      <c r="EO112" s="109" t="str">
        <f t="shared" si="51"/>
        <v/>
      </c>
      <c r="EP112" s="110" t="str">
        <f t="shared" si="213"/>
        <v/>
      </c>
      <c r="ER112" s="108" t="str">
        <f t="shared" si="52"/>
        <v/>
      </c>
      <c r="ES112" s="109" t="str">
        <f t="shared" si="127"/>
        <v/>
      </c>
      <c r="ET112" s="109" t="str">
        <f t="shared" si="53"/>
        <v/>
      </c>
      <c r="EU112" s="110" t="str">
        <f t="shared" si="214"/>
        <v/>
      </c>
      <c r="EW112" s="108" t="str">
        <f t="shared" si="129"/>
        <v/>
      </c>
      <c r="EX112" s="109" t="str">
        <f t="shared" si="130"/>
        <v/>
      </c>
      <c r="EY112" s="109" t="str">
        <f t="shared" si="54"/>
        <v/>
      </c>
      <c r="EZ112" s="110" t="str">
        <f t="shared" si="215"/>
        <v/>
      </c>
      <c r="FB112" s="108" t="str">
        <f t="shared" si="55"/>
        <v/>
      </c>
      <c r="FC112" s="109" t="str">
        <f t="shared" si="131"/>
        <v/>
      </c>
      <c r="FD112" s="109" t="str">
        <f t="shared" si="56"/>
        <v/>
      </c>
      <c r="FE112" s="110" t="str">
        <f t="shared" si="216"/>
        <v/>
      </c>
      <c r="FG112" s="108" t="str">
        <f t="shared" si="133"/>
        <v/>
      </c>
      <c r="FH112" s="109" t="str">
        <f t="shared" si="134"/>
        <v/>
      </c>
      <c r="FI112" s="109" t="str">
        <f t="shared" si="57"/>
        <v/>
      </c>
      <c r="FJ112" s="110" t="str">
        <f t="shared" si="217"/>
        <v/>
      </c>
      <c r="FL112" s="108" t="str">
        <f t="shared" si="58"/>
        <v/>
      </c>
      <c r="FM112" s="109" t="str">
        <f t="shared" si="135"/>
        <v/>
      </c>
      <c r="FN112" s="109" t="str">
        <f t="shared" si="59"/>
        <v/>
      </c>
      <c r="FO112" s="110" t="str">
        <f t="shared" si="218"/>
        <v/>
      </c>
      <c r="FQ112" s="108" t="str">
        <f t="shared" si="137"/>
        <v/>
      </c>
      <c r="FR112" s="109" t="str">
        <f t="shared" si="138"/>
        <v/>
      </c>
      <c r="FS112" s="109" t="str">
        <f t="shared" si="60"/>
        <v/>
      </c>
      <c r="FT112" s="110" t="str">
        <f t="shared" si="219"/>
        <v/>
      </c>
      <c r="FV112" s="108" t="str">
        <f t="shared" si="61"/>
        <v/>
      </c>
      <c r="FW112" s="109" t="str">
        <f t="shared" si="139"/>
        <v/>
      </c>
      <c r="FX112" s="109" t="str">
        <f t="shared" si="62"/>
        <v/>
      </c>
      <c r="FY112" s="110" t="str">
        <f t="shared" si="220"/>
        <v/>
      </c>
      <c r="GA112" s="108" t="str">
        <f t="shared" si="141"/>
        <v/>
      </c>
      <c r="GB112" s="109" t="str">
        <f t="shared" si="142"/>
        <v/>
      </c>
      <c r="GC112" s="109" t="str">
        <f t="shared" si="63"/>
        <v/>
      </c>
      <c r="GD112" s="110" t="str">
        <f t="shared" si="221"/>
        <v/>
      </c>
      <c r="GF112" s="108" t="str">
        <f t="shared" si="64"/>
        <v/>
      </c>
      <c r="GG112" s="109" t="str">
        <f t="shared" si="143"/>
        <v/>
      </c>
      <c r="GH112" s="109" t="str">
        <f t="shared" si="65"/>
        <v/>
      </c>
      <c r="GI112" s="110" t="str">
        <f t="shared" si="222"/>
        <v/>
      </c>
      <c r="GK112" s="108" t="str">
        <f t="shared" si="145"/>
        <v/>
      </c>
      <c r="GL112" s="109" t="str">
        <f t="shared" si="146"/>
        <v/>
      </c>
      <c r="GM112" s="109" t="str">
        <f t="shared" si="147"/>
        <v/>
      </c>
      <c r="GN112" s="110" t="str">
        <f t="shared" si="223"/>
        <v/>
      </c>
      <c r="GR112" s="108" t="str">
        <f t="shared" si="66"/>
        <v/>
      </c>
      <c r="GS112" s="109" t="str">
        <f t="shared" si="67"/>
        <v/>
      </c>
      <c r="GT112" s="109" t="str">
        <f t="shared" si="68"/>
        <v/>
      </c>
      <c r="GU112" s="110" t="str">
        <f t="shared" si="69"/>
        <v/>
      </c>
      <c r="GV112" s="51"/>
      <c r="GW112" s="108" t="str">
        <f t="shared" si="70"/>
        <v/>
      </c>
      <c r="GX112" s="109" t="str">
        <f t="shared" si="148"/>
        <v/>
      </c>
      <c r="GY112" s="109" t="str">
        <f t="shared" si="71"/>
        <v/>
      </c>
      <c r="GZ112" s="110" t="str">
        <f t="shared" si="72"/>
        <v/>
      </c>
      <c r="HA112" s="51"/>
      <c r="HB112" s="108" t="str">
        <f t="shared" si="149"/>
        <v/>
      </c>
      <c r="HC112" s="109" t="str">
        <f t="shared" si="150"/>
        <v/>
      </c>
      <c r="HD112" s="109" t="str">
        <f t="shared" si="73"/>
        <v/>
      </c>
      <c r="HE112" s="110" t="str">
        <f t="shared" si="151"/>
        <v/>
      </c>
      <c r="HF112" s="51"/>
      <c r="HG112" s="108" t="str">
        <f t="shared" si="74"/>
        <v/>
      </c>
      <c r="HH112" s="109" t="str">
        <f t="shared" si="152"/>
        <v/>
      </c>
      <c r="HI112" s="109" t="str">
        <f t="shared" si="75"/>
        <v/>
      </c>
      <c r="HJ112" s="110" t="str">
        <f t="shared" si="193"/>
        <v/>
      </c>
      <c r="HK112" s="51"/>
      <c r="HL112" s="108" t="str">
        <f t="shared" si="153"/>
        <v/>
      </c>
      <c r="HM112" s="109" t="str">
        <f t="shared" si="154"/>
        <v/>
      </c>
      <c r="HN112" s="109" t="str">
        <f t="shared" si="76"/>
        <v/>
      </c>
      <c r="HO112" s="110" t="str">
        <f t="shared" si="155"/>
        <v/>
      </c>
      <c r="HP112" s="51"/>
      <c r="HQ112" s="108" t="str">
        <f t="shared" si="77"/>
        <v/>
      </c>
      <c r="HR112" s="109" t="str">
        <f t="shared" si="156"/>
        <v/>
      </c>
      <c r="HS112" s="109" t="str">
        <f t="shared" si="78"/>
        <v/>
      </c>
      <c r="HT112" s="110" t="str">
        <f t="shared" si="194"/>
        <v/>
      </c>
      <c r="HU112" s="51"/>
      <c r="HV112" s="108" t="str">
        <f t="shared" si="157"/>
        <v/>
      </c>
      <c r="HW112" s="109" t="str">
        <f t="shared" si="158"/>
        <v/>
      </c>
      <c r="HX112" s="109" t="str">
        <f t="shared" si="79"/>
        <v/>
      </c>
      <c r="HY112" s="110" t="str">
        <f t="shared" si="159"/>
        <v/>
      </c>
      <c r="HZ112" s="51"/>
      <c r="IA112" s="108" t="str">
        <f t="shared" si="80"/>
        <v/>
      </c>
      <c r="IB112" s="109" t="str">
        <f t="shared" si="160"/>
        <v/>
      </c>
      <c r="IC112" s="109" t="str">
        <f t="shared" si="81"/>
        <v/>
      </c>
      <c r="ID112" s="110" t="str">
        <f t="shared" si="195"/>
        <v/>
      </c>
      <c r="IE112" s="51"/>
      <c r="IF112" s="108" t="str">
        <f t="shared" si="161"/>
        <v/>
      </c>
      <c r="IG112" s="109" t="str">
        <f t="shared" si="162"/>
        <v/>
      </c>
      <c r="IH112" s="109" t="str">
        <f t="shared" si="82"/>
        <v/>
      </c>
      <c r="II112" s="110" t="str">
        <f t="shared" si="163"/>
        <v/>
      </c>
      <c r="IJ112" s="51"/>
      <c r="IK112" s="108" t="str">
        <f t="shared" si="83"/>
        <v/>
      </c>
      <c r="IL112" s="109" t="str">
        <f t="shared" si="164"/>
        <v/>
      </c>
      <c r="IM112" s="109" t="str">
        <f t="shared" si="84"/>
        <v/>
      </c>
      <c r="IN112" s="110" t="str">
        <f t="shared" si="196"/>
        <v/>
      </c>
      <c r="IO112" s="51"/>
      <c r="IP112" s="108" t="str">
        <f t="shared" si="165"/>
        <v/>
      </c>
      <c r="IQ112" s="109" t="str">
        <f t="shared" si="166"/>
        <v/>
      </c>
      <c r="IR112" s="109" t="str">
        <f t="shared" si="85"/>
        <v/>
      </c>
      <c r="IS112" s="110" t="str">
        <f t="shared" si="167"/>
        <v/>
      </c>
      <c r="IT112" s="51"/>
      <c r="IU112" s="108" t="str">
        <f t="shared" si="86"/>
        <v/>
      </c>
      <c r="IV112" s="109" t="str">
        <f t="shared" si="168"/>
        <v/>
      </c>
      <c r="IW112" s="109" t="str">
        <f t="shared" si="87"/>
        <v/>
      </c>
      <c r="IX112" s="110" t="str">
        <f t="shared" si="197"/>
        <v/>
      </c>
      <c r="IY112" s="51"/>
      <c r="IZ112" s="108" t="str">
        <f t="shared" si="169"/>
        <v/>
      </c>
      <c r="JA112" s="109" t="str">
        <f t="shared" si="170"/>
        <v/>
      </c>
      <c r="JB112" s="109" t="str">
        <f t="shared" si="88"/>
        <v/>
      </c>
      <c r="JC112" s="110" t="str">
        <f t="shared" si="171"/>
        <v/>
      </c>
      <c r="JD112" s="51"/>
      <c r="JE112" s="108" t="str">
        <f t="shared" si="89"/>
        <v/>
      </c>
      <c r="JF112" s="109" t="str">
        <f t="shared" si="172"/>
        <v/>
      </c>
      <c r="JG112" s="109" t="str">
        <f t="shared" si="90"/>
        <v/>
      </c>
      <c r="JH112" s="110" t="str">
        <f t="shared" si="198"/>
        <v/>
      </c>
      <c r="JI112" s="51"/>
      <c r="JJ112" s="108" t="str">
        <f t="shared" si="173"/>
        <v/>
      </c>
      <c r="JK112" s="109" t="str">
        <f t="shared" si="174"/>
        <v/>
      </c>
      <c r="JL112" s="109" t="str">
        <f t="shared" si="91"/>
        <v/>
      </c>
      <c r="JM112" s="110" t="str">
        <f t="shared" si="175"/>
        <v/>
      </c>
      <c r="JN112" s="51"/>
      <c r="JO112" s="108" t="str">
        <f t="shared" si="92"/>
        <v/>
      </c>
      <c r="JP112" s="109" t="str">
        <f t="shared" si="176"/>
        <v/>
      </c>
      <c r="JQ112" s="109" t="str">
        <f t="shared" si="93"/>
        <v/>
      </c>
      <c r="JR112" s="110" t="str">
        <f t="shared" si="199"/>
        <v/>
      </c>
      <c r="JS112" s="51"/>
      <c r="JT112" s="108" t="str">
        <f t="shared" si="177"/>
        <v/>
      </c>
      <c r="JU112" s="109" t="str">
        <f t="shared" si="178"/>
        <v/>
      </c>
      <c r="JV112" s="109" t="str">
        <f t="shared" si="94"/>
        <v/>
      </c>
      <c r="JW112" s="110" t="str">
        <f t="shared" si="179"/>
        <v/>
      </c>
      <c r="JX112" s="51"/>
      <c r="JY112" s="108" t="str">
        <f t="shared" si="95"/>
        <v/>
      </c>
      <c r="JZ112" s="109" t="str">
        <f t="shared" si="180"/>
        <v/>
      </c>
      <c r="KA112" s="109" t="str">
        <f t="shared" si="96"/>
        <v/>
      </c>
      <c r="KB112" s="110" t="str">
        <f t="shared" si="200"/>
        <v/>
      </c>
      <c r="KC112" s="51"/>
      <c r="KD112" s="108" t="str">
        <f t="shared" si="181"/>
        <v/>
      </c>
      <c r="KE112" s="109" t="str">
        <f t="shared" si="182"/>
        <v/>
      </c>
      <c r="KF112" s="109" t="str">
        <f t="shared" si="97"/>
        <v/>
      </c>
      <c r="KG112" s="110" t="str">
        <f t="shared" si="98"/>
        <v/>
      </c>
    </row>
    <row r="113" spans="1:293" ht="12" customHeight="1">
      <c r="A113" s="105">
        <f t="array" ref="A113">MAX(IF($J$80:J112&gt;0,$C$80:C112,0))</f>
        <v>43535</v>
      </c>
      <c r="B113" s="81" t="str">
        <f t="shared" si="4"/>
        <v/>
      </c>
      <c r="C113" s="82">
        <f t="shared" si="5"/>
        <v>0</v>
      </c>
      <c r="D113" s="83" t="str">
        <f t="shared" si="6"/>
        <v/>
      </c>
      <c r="E113" s="83" t="str">
        <f t="shared" si="99"/>
        <v/>
      </c>
      <c r="F113" s="83" t="str">
        <f t="shared" si="7"/>
        <v/>
      </c>
      <c r="G113" s="83" t="str">
        <f t="shared" si="8"/>
        <v/>
      </c>
      <c r="H113" s="83" t="str">
        <f t="shared" si="9"/>
        <v/>
      </c>
      <c r="I113" s="105">
        <f t="array" ref="I113">MAX(IF($R$80:R112&gt;0,$L$80:L112,0))</f>
        <v>0</v>
      </c>
      <c r="J113" s="106"/>
      <c r="K113" s="2" t="str">
        <f t="shared" si="10"/>
        <v/>
      </c>
      <c r="L113" s="82">
        <f t="shared" si="183"/>
        <v>0</v>
      </c>
      <c r="M113" s="83" t="str">
        <f t="shared" si="11"/>
        <v/>
      </c>
      <c r="N113" s="83" t="str">
        <f t="shared" si="12"/>
        <v/>
      </c>
      <c r="O113" s="83" t="str">
        <f t="shared" si="13"/>
        <v/>
      </c>
      <c r="P113" s="83" t="str">
        <f t="shared" si="14"/>
        <v/>
      </c>
      <c r="Q113" s="83" t="str">
        <f t="shared" si="15"/>
        <v/>
      </c>
      <c r="R113" s="106"/>
      <c r="S113" s="1"/>
      <c r="U113" s="85" t="e">
        <f t="shared" si="0"/>
        <v>#NUM!</v>
      </c>
      <c r="V113" s="86" t="e">
        <f t="shared" si="100"/>
        <v>#NUM!</v>
      </c>
      <c r="W113" s="87" t="e">
        <f t="shared" si="16"/>
        <v>#NUM!</v>
      </c>
      <c r="X113" s="87" t="e">
        <f t="shared" si="17"/>
        <v>#NUM!</v>
      </c>
      <c r="Y113" s="87" t="e">
        <f t="shared" si="18"/>
        <v>#NUM!</v>
      </c>
      <c r="Z113" s="88" t="e">
        <f t="shared" si="1"/>
        <v>#NUM!</v>
      </c>
      <c r="AB113" s="89">
        <f t="shared" si="101"/>
        <v>0</v>
      </c>
      <c r="AC113" s="87">
        <f t="shared" si="19"/>
        <v>0</v>
      </c>
      <c r="AD113" s="87" t="str">
        <f t="shared" si="20"/>
        <v/>
      </c>
      <c r="AE113" s="87" t="str">
        <f t="shared" si="21"/>
        <v/>
      </c>
      <c r="AF113" s="86">
        <f t="shared" si="102"/>
        <v>0</v>
      </c>
      <c r="AG113" s="87">
        <f t="shared" si="2"/>
        <v>0</v>
      </c>
      <c r="AH113" s="87">
        <f t="shared" si="103"/>
        <v>0</v>
      </c>
      <c r="AI113" s="90"/>
      <c r="AJ113" s="87" t="e">
        <f t="shared" si="22"/>
        <v>#NUM!</v>
      </c>
      <c r="AK113" s="87" t="e">
        <f t="shared" si="104"/>
        <v>#NUM!</v>
      </c>
      <c r="AL113" s="87" t="e">
        <f t="shared" si="105"/>
        <v>#NUM!</v>
      </c>
      <c r="AM113" s="87" t="e">
        <f t="shared" si="106"/>
        <v>#NUM!</v>
      </c>
      <c r="AN113" s="86">
        <f t="shared" si="23"/>
        <v>0</v>
      </c>
      <c r="AO113" s="87">
        <f t="shared" si="24"/>
        <v>0</v>
      </c>
      <c r="AP113" s="88">
        <f t="shared" si="25"/>
        <v>0</v>
      </c>
      <c r="AR113" s="91">
        <f t="shared" si="26"/>
        <v>0</v>
      </c>
      <c r="AS113" s="92">
        <f t="shared" si="27"/>
        <v>0</v>
      </c>
      <c r="AT113" s="87" t="str">
        <f t="shared" si="28"/>
        <v/>
      </c>
      <c r="AU113" s="87" t="str">
        <f t="shared" si="29"/>
        <v/>
      </c>
      <c r="AV113" s="86">
        <f t="shared" si="107"/>
        <v>0</v>
      </c>
      <c r="AW113" s="87">
        <f t="shared" si="108"/>
        <v>0</v>
      </c>
      <c r="AX113" s="87">
        <f t="shared" si="109"/>
        <v>0</v>
      </c>
      <c r="AY113" s="93"/>
      <c r="AZ113" s="87">
        <f t="shared" si="201"/>
        <v>0</v>
      </c>
      <c r="BA113" s="87">
        <f t="shared" si="110"/>
        <v>0</v>
      </c>
      <c r="BB113" s="87">
        <f t="shared" si="111"/>
        <v>0</v>
      </c>
      <c r="BC113" s="87">
        <f t="shared" si="184"/>
        <v>0</v>
      </c>
      <c r="BD113" s="86" t="e">
        <f t="shared" si="30"/>
        <v>#NUM!</v>
      </c>
      <c r="BE113" s="87" t="e">
        <f t="shared" si="3"/>
        <v>#NUM!</v>
      </c>
      <c r="BF113" s="88">
        <f t="shared" si="112"/>
        <v>0</v>
      </c>
      <c r="BH113" s="87" t="e">
        <f t="shared" si="31"/>
        <v>#NUM!</v>
      </c>
      <c r="BK113" s="95">
        <v>40240</v>
      </c>
      <c r="BL113" s="96">
        <v>34</v>
      </c>
      <c r="BX113" s="107"/>
      <c r="BY113" s="107"/>
      <c r="BZ113" s="107"/>
      <c r="CA113" s="107"/>
      <c r="CB113" s="107"/>
      <c r="CC113" s="107"/>
      <c r="CD113" s="107"/>
      <c r="CE113" s="107"/>
      <c r="CF113" s="107"/>
      <c r="CG113" s="107"/>
      <c r="CY113" s="108" t="str">
        <f t="shared" si="32"/>
        <v/>
      </c>
      <c r="CZ113" s="109" t="str">
        <f t="shared" si="33"/>
        <v/>
      </c>
      <c r="DA113" s="109" t="str">
        <f t="shared" si="34"/>
        <v/>
      </c>
      <c r="DB113" s="110" t="str">
        <f t="shared" si="205"/>
        <v/>
      </c>
      <c r="DD113" s="108" t="str">
        <f t="shared" si="36"/>
        <v/>
      </c>
      <c r="DE113" s="109" t="str">
        <f t="shared" si="114"/>
        <v/>
      </c>
      <c r="DF113" s="109" t="str">
        <f t="shared" si="37"/>
        <v/>
      </c>
      <c r="DG113" s="110" t="str">
        <f t="shared" si="206"/>
        <v/>
      </c>
      <c r="DI113" s="108" t="str">
        <f t="shared" si="115"/>
        <v/>
      </c>
      <c r="DJ113" s="109" t="str">
        <f t="shared" si="116"/>
        <v/>
      </c>
      <c r="DK113" s="109" t="str">
        <f t="shared" si="39"/>
        <v/>
      </c>
      <c r="DL113" s="110" t="str">
        <f t="shared" si="207"/>
        <v/>
      </c>
      <c r="DN113" s="108" t="str">
        <f t="shared" si="41"/>
        <v/>
      </c>
      <c r="DO113" s="109" t="str">
        <f t="shared" si="42"/>
        <v/>
      </c>
      <c r="DP113" s="109" t="str">
        <f t="shared" si="43"/>
        <v/>
      </c>
      <c r="DQ113" s="110" t="str">
        <f t="shared" si="208"/>
        <v/>
      </c>
      <c r="DS113" s="108" t="str">
        <f t="shared" si="117"/>
        <v/>
      </c>
      <c r="DT113" s="109" t="str">
        <f t="shared" si="118"/>
        <v/>
      </c>
      <c r="DU113" s="109" t="str">
        <f t="shared" si="45"/>
        <v/>
      </c>
      <c r="DV113" s="110" t="str">
        <f t="shared" si="209"/>
        <v/>
      </c>
      <c r="DX113" s="108" t="str">
        <f t="shared" si="46"/>
        <v/>
      </c>
      <c r="DY113" s="109" t="str">
        <f t="shared" si="119"/>
        <v/>
      </c>
      <c r="DZ113" s="109" t="str">
        <f t="shared" si="47"/>
        <v/>
      </c>
      <c r="EA113" s="110" t="str">
        <f t="shared" si="210"/>
        <v/>
      </c>
      <c r="EC113" s="108" t="str">
        <f t="shared" si="121"/>
        <v/>
      </c>
      <c r="ED113" s="109" t="str">
        <f t="shared" si="122"/>
        <v/>
      </c>
      <c r="EE113" s="109" t="str">
        <f t="shared" si="48"/>
        <v/>
      </c>
      <c r="EF113" s="110" t="str">
        <f t="shared" si="211"/>
        <v/>
      </c>
      <c r="EH113" s="108" t="str">
        <f t="shared" si="49"/>
        <v/>
      </c>
      <c r="EI113" s="109" t="str">
        <f t="shared" si="123"/>
        <v/>
      </c>
      <c r="EJ113" s="109" t="str">
        <f t="shared" si="50"/>
        <v/>
      </c>
      <c r="EK113" s="110" t="str">
        <f t="shared" si="212"/>
        <v/>
      </c>
      <c r="EM113" s="108" t="str">
        <f t="shared" si="125"/>
        <v/>
      </c>
      <c r="EN113" s="109" t="str">
        <f t="shared" si="126"/>
        <v/>
      </c>
      <c r="EO113" s="109" t="str">
        <f t="shared" si="51"/>
        <v/>
      </c>
      <c r="EP113" s="110" t="str">
        <f t="shared" si="213"/>
        <v/>
      </c>
      <c r="ER113" s="108" t="str">
        <f t="shared" si="52"/>
        <v/>
      </c>
      <c r="ES113" s="109" t="str">
        <f t="shared" si="127"/>
        <v/>
      </c>
      <c r="ET113" s="109" t="str">
        <f t="shared" si="53"/>
        <v/>
      </c>
      <c r="EU113" s="110" t="str">
        <f t="shared" si="214"/>
        <v/>
      </c>
      <c r="EW113" s="108" t="str">
        <f t="shared" si="129"/>
        <v/>
      </c>
      <c r="EX113" s="109" t="str">
        <f t="shared" si="130"/>
        <v/>
      </c>
      <c r="EY113" s="109" t="str">
        <f t="shared" si="54"/>
        <v/>
      </c>
      <c r="EZ113" s="110" t="str">
        <f t="shared" si="215"/>
        <v/>
      </c>
      <c r="FB113" s="108" t="str">
        <f t="shared" si="55"/>
        <v/>
      </c>
      <c r="FC113" s="109" t="str">
        <f t="shared" si="131"/>
        <v/>
      </c>
      <c r="FD113" s="109" t="str">
        <f t="shared" si="56"/>
        <v/>
      </c>
      <c r="FE113" s="110" t="str">
        <f t="shared" si="216"/>
        <v/>
      </c>
      <c r="FG113" s="108" t="str">
        <f t="shared" si="133"/>
        <v/>
      </c>
      <c r="FH113" s="109" t="str">
        <f t="shared" si="134"/>
        <v/>
      </c>
      <c r="FI113" s="109" t="str">
        <f t="shared" si="57"/>
        <v/>
      </c>
      <c r="FJ113" s="110" t="str">
        <f t="shared" si="217"/>
        <v/>
      </c>
      <c r="FL113" s="108" t="str">
        <f t="shared" si="58"/>
        <v/>
      </c>
      <c r="FM113" s="109" t="str">
        <f t="shared" si="135"/>
        <v/>
      </c>
      <c r="FN113" s="109" t="str">
        <f t="shared" si="59"/>
        <v/>
      </c>
      <c r="FO113" s="110" t="str">
        <f t="shared" si="218"/>
        <v/>
      </c>
      <c r="FQ113" s="108" t="str">
        <f t="shared" si="137"/>
        <v/>
      </c>
      <c r="FR113" s="109" t="str">
        <f t="shared" si="138"/>
        <v/>
      </c>
      <c r="FS113" s="109" t="str">
        <f t="shared" si="60"/>
        <v/>
      </c>
      <c r="FT113" s="110" t="str">
        <f t="shared" si="219"/>
        <v/>
      </c>
      <c r="FV113" s="108" t="str">
        <f t="shared" si="61"/>
        <v/>
      </c>
      <c r="FW113" s="109" t="str">
        <f t="shared" si="139"/>
        <v/>
      </c>
      <c r="FX113" s="109" t="str">
        <f t="shared" si="62"/>
        <v/>
      </c>
      <c r="FY113" s="110" t="str">
        <f t="shared" si="220"/>
        <v/>
      </c>
      <c r="GA113" s="108" t="str">
        <f t="shared" si="141"/>
        <v/>
      </c>
      <c r="GB113" s="109" t="str">
        <f t="shared" si="142"/>
        <v/>
      </c>
      <c r="GC113" s="109" t="str">
        <f t="shared" si="63"/>
        <v/>
      </c>
      <c r="GD113" s="110" t="str">
        <f t="shared" si="221"/>
        <v/>
      </c>
      <c r="GF113" s="108" t="str">
        <f t="shared" si="64"/>
        <v/>
      </c>
      <c r="GG113" s="109" t="str">
        <f t="shared" si="143"/>
        <v/>
      </c>
      <c r="GH113" s="109" t="str">
        <f t="shared" si="65"/>
        <v/>
      </c>
      <c r="GI113" s="110" t="str">
        <f t="shared" si="222"/>
        <v/>
      </c>
      <c r="GK113" s="108" t="str">
        <f t="shared" si="145"/>
        <v/>
      </c>
      <c r="GL113" s="109" t="str">
        <f t="shared" si="146"/>
        <v/>
      </c>
      <c r="GM113" s="109" t="str">
        <f t="shared" si="147"/>
        <v/>
      </c>
      <c r="GN113" s="110" t="str">
        <f t="shared" si="223"/>
        <v/>
      </c>
      <c r="GR113" s="108" t="str">
        <f t="shared" si="66"/>
        <v/>
      </c>
      <c r="GS113" s="109" t="str">
        <f t="shared" si="67"/>
        <v/>
      </c>
      <c r="GT113" s="109" t="str">
        <f t="shared" si="68"/>
        <v/>
      </c>
      <c r="GU113" s="110" t="str">
        <f t="shared" si="69"/>
        <v/>
      </c>
      <c r="GV113" s="51"/>
      <c r="GW113" s="108" t="str">
        <f t="shared" si="70"/>
        <v/>
      </c>
      <c r="GX113" s="109" t="str">
        <f t="shared" si="148"/>
        <v/>
      </c>
      <c r="GY113" s="109" t="str">
        <f t="shared" si="71"/>
        <v/>
      </c>
      <c r="GZ113" s="110" t="str">
        <f t="shared" si="72"/>
        <v/>
      </c>
      <c r="HA113" s="51"/>
      <c r="HB113" s="108" t="str">
        <f t="shared" si="149"/>
        <v/>
      </c>
      <c r="HC113" s="109" t="str">
        <f t="shared" si="150"/>
        <v/>
      </c>
      <c r="HD113" s="109" t="str">
        <f t="shared" si="73"/>
        <v/>
      </c>
      <c r="HE113" s="110" t="str">
        <f t="shared" si="151"/>
        <v/>
      </c>
      <c r="HF113" s="51"/>
      <c r="HG113" s="108" t="str">
        <f t="shared" si="74"/>
        <v/>
      </c>
      <c r="HH113" s="109" t="str">
        <f t="shared" si="152"/>
        <v/>
      </c>
      <c r="HI113" s="109" t="str">
        <f t="shared" si="75"/>
        <v/>
      </c>
      <c r="HJ113" s="110" t="str">
        <f t="shared" si="193"/>
        <v/>
      </c>
      <c r="HK113" s="51"/>
      <c r="HL113" s="108" t="str">
        <f t="shared" si="153"/>
        <v/>
      </c>
      <c r="HM113" s="109" t="str">
        <f t="shared" si="154"/>
        <v/>
      </c>
      <c r="HN113" s="109" t="str">
        <f t="shared" si="76"/>
        <v/>
      </c>
      <c r="HO113" s="110" t="str">
        <f t="shared" si="155"/>
        <v/>
      </c>
      <c r="HP113" s="51"/>
      <c r="HQ113" s="108" t="str">
        <f t="shared" si="77"/>
        <v/>
      </c>
      <c r="HR113" s="109" t="str">
        <f t="shared" si="156"/>
        <v/>
      </c>
      <c r="HS113" s="109" t="str">
        <f t="shared" si="78"/>
        <v/>
      </c>
      <c r="HT113" s="110" t="str">
        <f t="shared" si="194"/>
        <v/>
      </c>
      <c r="HU113" s="51"/>
      <c r="HV113" s="108" t="str">
        <f t="shared" si="157"/>
        <v/>
      </c>
      <c r="HW113" s="109" t="str">
        <f t="shared" si="158"/>
        <v/>
      </c>
      <c r="HX113" s="109" t="str">
        <f t="shared" si="79"/>
        <v/>
      </c>
      <c r="HY113" s="110" t="str">
        <f t="shared" si="159"/>
        <v/>
      </c>
      <c r="HZ113" s="51"/>
      <c r="IA113" s="108" t="str">
        <f t="shared" si="80"/>
        <v/>
      </c>
      <c r="IB113" s="109" t="str">
        <f t="shared" si="160"/>
        <v/>
      </c>
      <c r="IC113" s="109" t="str">
        <f t="shared" si="81"/>
        <v/>
      </c>
      <c r="ID113" s="110" t="str">
        <f t="shared" si="195"/>
        <v/>
      </c>
      <c r="IE113" s="51"/>
      <c r="IF113" s="108" t="str">
        <f t="shared" si="161"/>
        <v/>
      </c>
      <c r="IG113" s="109" t="str">
        <f t="shared" si="162"/>
        <v/>
      </c>
      <c r="IH113" s="109" t="str">
        <f t="shared" si="82"/>
        <v/>
      </c>
      <c r="II113" s="110" t="str">
        <f t="shared" si="163"/>
        <v/>
      </c>
      <c r="IJ113" s="51"/>
      <c r="IK113" s="108" t="str">
        <f t="shared" si="83"/>
        <v/>
      </c>
      <c r="IL113" s="109" t="str">
        <f t="shared" si="164"/>
        <v/>
      </c>
      <c r="IM113" s="109" t="str">
        <f t="shared" si="84"/>
        <v/>
      </c>
      <c r="IN113" s="110" t="str">
        <f t="shared" si="196"/>
        <v/>
      </c>
      <c r="IO113" s="51"/>
      <c r="IP113" s="108" t="str">
        <f t="shared" si="165"/>
        <v/>
      </c>
      <c r="IQ113" s="109" t="str">
        <f t="shared" si="166"/>
        <v/>
      </c>
      <c r="IR113" s="109" t="str">
        <f t="shared" si="85"/>
        <v/>
      </c>
      <c r="IS113" s="110" t="str">
        <f t="shared" si="167"/>
        <v/>
      </c>
      <c r="IT113" s="51"/>
      <c r="IU113" s="108" t="str">
        <f t="shared" si="86"/>
        <v/>
      </c>
      <c r="IV113" s="109" t="str">
        <f t="shared" si="168"/>
        <v/>
      </c>
      <c r="IW113" s="109" t="str">
        <f t="shared" si="87"/>
        <v/>
      </c>
      <c r="IX113" s="110" t="str">
        <f t="shared" si="197"/>
        <v/>
      </c>
      <c r="IY113" s="51"/>
      <c r="IZ113" s="108" t="str">
        <f t="shared" si="169"/>
        <v/>
      </c>
      <c r="JA113" s="109" t="str">
        <f t="shared" si="170"/>
        <v/>
      </c>
      <c r="JB113" s="109" t="str">
        <f t="shared" si="88"/>
        <v/>
      </c>
      <c r="JC113" s="110" t="str">
        <f t="shared" si="171"/>
        <v/>
      </c>
      <c r="JD113" s="51"/>
      <c r="JE113" s="108" t="str">
        <f t="shared" si="89"/>
        <v/>
      </c>
      <c r="JF113" s="109" t="str">
        <f t="shared" si="172"/>
        <v/>
      </c>
      <c r="JG113" s="109" t="str">
        <f t="shared" si="90"/>
        <v/>
      </c>
      <c r="JH113" s="110" t="str">
        <f t="shared" si="198"/>
        <v/>
      </c>
      <c r="JI113" s="51"/>
      <c r="JJ113" s="108" t="str">
        <f t="shared" si="173"/>
        <v/>
      </c>
      <c r="JK113" s="109" t="str">
        <f t="shared" si="174"/>
        <v/>
      </c>
      <c r="JL113" s="109" t="str">
        <f t="shared" si="91"/>
        <v/>
      </c>
      <c r="JM113" s="110" t="str">
        <f t="shared" si="175"/>
        <v/>
      </c>
      <c r="JN113" s="51"/>
      <c r="JO113" s="108" t="str">
        <f t="shared" si="92"/>
        <v/>
      </c>
      <c r="JP113" s="109" t="str">
        <f t="shared" si="176"/>
        <v/>
      </c>
      <c r="JQ113" s="109" t="str">
        <f t="shared" si="93"/>
        <v/>
      </c>
      <c r="JR113" s="110" t="str">
        <f t="shared" si="199"/>
        <v/>
      </c>
      <c r="JS113" s="51"/>
      <c r="JT113" s="108" t="str">
        <f t="shared" si="177"/>
        <v/>
      </c>
      <c r="JU113" s="109" t="str">
        <f t="shared" si="178"/>
        <v/>
      </c>
      <c r="JV113" s="109" t="str">
        <f t="shared" si="94"/>
        <v/>
      </c>
      <c r="JW113" s="110" t="str">
        <f t="shared" si="179"/>
        <v/>
      </c>
      <c r="JX113" s="51"/>
      <c r="JY113" s="108" t="str">
        <f t="shared" si="95"/>
        <v/>
      </c>
      <c r="JZ113" s="109" t="str">
        <f t="shared" si="180"/>
        <v/>
      </c>
      <c r="KA113" s="109" t="str">
        <f t="shared" si="96"/>
        <v/>
      </c>
      <c r="KB113" s="110" t="str">
        <f t="shared" si="200"/>
        <v/>
      </c>
      <c r="KC113" s="51"/>
      <c r="KD113" s="108" t="str">
        <f t="shared" si="181"/>
        <v/>
      </c>
      <c r="KE113" s="109" t="str">
        <f t="shared" si="182"/>
        <v/>
      </c>
      <c r="KF113" s="109" t="str">
        <f t="shared" si="97"/>
        <v/>
      </c>
      <c r="KG113" s="110" t="str">
        <f t="shared" si="98"/>
        <v/>
      </c>
    </row>
    <row r="114" spans="1:293" ht="12" customHeight="1">
      <c r="A114" s="105">
        <f t="array" ref="A114">MAX(IF($J$80:J113&gt;0,$C$80:C113,0))</f>
        <v>43535</v>
      </c>
      <c r="B114" s="81" t="str">
        <f t="shared" si="4"/>
        <v/>
      </c>
      <c r="C114" s="82">
        <f t="shared" si="5"/>
        <v>0</v>
      </c>
      <c r="D114" s="83" t="str">
        <f t="shared" si="6"/>
        <v/>
      </c>
      <c r="E114" s="83" t="str">
        <f t="shared" si="99"/>
        <v/>
      </c>
      <c r="F114" s="83" t="str">
        <f t="shared" si="7"/>
        <v/>
      </c>
      <c r="G114" s="83" t="str">
        <f t="shared" si="8"/>
        <v/>
      </c>
      <c r="H114" s="83" t="str">
        <f t="shared" si="9"/>
        <v/>
      </c>
      <c r="I114" s="105">
        <f t="array" ref="I114">MAX(IF($R$80:R113&gt;0,$L$80:L113,0))</f>
        <v>0</v>
      </c>
      <c r="J114" s="106"/>
      <c r="K114" s="2" t="str">
        <f t="shared" si="10"/>
        <v/>
      </c>
      <c r="L114" s="82">
        <f t="shared" si="183"/>
        <v>0</v>
      </c>
      <c r="M114" s="83" t="str">
        <f t="shared" si="11"/>
        <v/>
      </c>
      <c r="N114" s="83" t="str">
        <f t="shared" si="12"/>
        <v/>
      </c>
      <c r="O114" s="83" t="str">
        <f t="shared" si="13"/>
        <v/>
      </c>
      <c r="P114" s="83" t="str">
        <f t="shared" si="14"/>
        <v/>
      </c>
      <c r="Q114" s="83" t="str">
        <f t="shared" si="15"/>
        <v/>
      </c>
      <c r="R114" s="106"/>
      <c r="S114" s="1"/>
      <c r="U114" s="85" t="e">
        <f t="shared" si="0"/>
        <v>#NUM!</v>
      </c>
      <c r="V114" s="86" t="e">
        <f t="shared" si="100"/>
        <v>#NUM!</v>
      </c>
      <c r="W114" s="87" t="e">
        <f t="shared" si="16"/>
        <v>#NUM!</v>
      </c>
      <c r="X114" s="87" t="e">
        <f t="shared" si="17"/>
        <v>#NUM!</v>
      </c>
      <c r="Y114" s="87" t="e">
        <f t="shared" si="18"/>
        <v>#NUM!</v>
      </c>
      <c r="Z114" s="88" t="e">
        <f t="shared" si="1"/>
        <v>#NUM!</v>
      </c>
      <c r="AB114" s="89">
        <f t="shared" si="101"/>
        <v>0</v>
      </c>
      <c r="AC114" s="87">
        <f t="shared" si="19"/>
        <v>0</v>
      </c>
      <c r="AD114" s="87" t="str">
        <f t="shared" si="20"/>
        <v/>
      </c>
      <c r="AE114" s="87" t="str">
        <f t="shared" si="21"/>
        <v/>
      </c>
      <c r="AF114" s="86">
        <f t="shared" si="102"/>
        <v>0</v>
      </c>
      <c r="AG114" s="87">
        <f t="shared" si="2"/>
        <v>0</v>
      </c>
      <c r="AH114" s="87">
        <f t="shared" si="103"/>
        <v>0</v>
      </c>
      <c r="AI114" s="90"/>
      <c r="AJ114" s="87" t="e">
        <f t="shared" si="22"/>
        <v>#NUM!</v>
      </c>
      <c r="AK114" s="87" t="e">
        <f t="shared" si="104"/>
        <v>#NUM!</v>
      </c>
      <c r="AL114" s="87" t="e">
        <f t="shared" si="105"/>
        <v>#NUM!</v>
      </c>
      <c r="AM114" s="87" t="e">
        <f t="shared" si="106"/>
        <v>#NUM!</v>
      </c>
      <c r="AN114" s="86">
        <f t="shared" si="23"/>
        <v>0</v>
      </c>
      <c r="AO114" s="87">
        <f t="shared" si="24"/>
        <v>0</v>
      </c>
      <c r="AP114" s="88">
        <f t="shared" si="25"/>
        <v>0</v>
      </c>
      <c r="AR114" s="91">
        <f t="shared" si="26"/>
        <v>0</v>
      </c>
      <c r="AS114" s="92">
        <f t="shared" si="27"/>
        <v>0</v>
      </c>
      <c r="AT114" s="87" t="str">
        <f t="shared" si="28"/>
        <v/>
      </c>
      <c r="AU114" s="87" t="str">
        <f t="shared" si="29"/>
        <v/>
      </c>
      <c r="AV114" s="86">
        <f t="shared" si="107"/>
        <v>0</v>
      </c>
      <c r="AW114" s="87">
        <f t="shared" si="108"/>
        <v>0</v>
      </c>
      <c r="AX114" s="87">
        <f t="shared" si="109"/>
        <v>0</v>
      </c>
      <c r="AY114" s="93"/>
      <c r="AZ114" s="87">
        <f t="shared" si="201"/>
        <v>0</v>
      </c>
      <c r="BA114" s="87">
        <f t="shared" si="110"/>
        <v>0</v>
      </c>
      <c r="BB114" s="87">
        <f t="shared" si="111"/>
        <v>0</v>
      </c>
      <c r="BC114" s="87">
        <f t="shared" si="184"/>
        <v>0</v>
      </c>
      <c r="BD114" s="86" t="e">
        <f t="shared" si="30"/>
        <v>#NUM!</v>
      </c>
      <c r="BE114" s="87" t="e">
        <f t="shared" si="3"/>
        <v>#NUM!</v>
      </c>
      <c r="BF114" s="88">
        <f t="shared" si="112"/>
        <v>0</v>
      </c>
      <c r="BH114" s="87" t="e">
        <f t="shared" si="31"/>
        <v>#NUM!</v>
      </c>
      <c r="BK114" s="95">
        <v>40245</v>
      </c>
      <c r="BL114" s="96">
        <v>35</v>
      </c>
      <c r="BT114" t="s">
        <v>144</v>
      </c>
      <c r="BU114" t="s">
        <v>501</v>
      </c>
      <c r="BW114">
        <v>1</v>
      </c>
      <c r="BX114">
        <v>6</v>
      </c>
      <c r="BY114">
        <v>11</v>
      </c>
      <c r="BZ114">
        <v>15</v>
      </c>
      <c r="CA114">
        <v>24</v>
      </c>
      <c r="CB114">
        <v>36</v>
      </c>
      <c r="CC114">
        <v>48</v>
      </c>
      <c r="CD114">
        <v>60</v>
      </c>
      <c r="CE114">
        <v>61</v>
      </c>
      <c r="CY114" s="108" t="str">
        <f t="shared" si="32"/>
        <v/>
      </c>
      <c r="CZ114" s="109" t="str">
        <f t="shared" si="33"/>
        <v/>
      </c>
      <c r="DA114" s="109" t="str">
        <f t="shared" si="34"/>
        <v/>
      </c>
      <c r="DB114" s="110" t="str">
        <f t="shared" si="205"/>
        <v/>
      </c>
      <c r="DD114" s="108" t="str">
        <f t="shared" si="36"/>
        <v/>
      </c>
      <c r="DE114" s="109" t="str">
        <f t="shared" si="114"/>
        <v/>
      </c>
      <c r="DF114" s="109" t="str">
        <f t="shared" si="37"/>
        <v/>
      </c>
      <c r="DG114" s="110" t="str">
        <f t="shared" si="206"/>
        <v/>
      </c>
      <c r="DI114" s="108" t="str">
        <f t="shared" si="115"/>
        <v/>
      </c>
      <c r="DJ114" s="109" t="str">
        <f t="shared" si="116"/>
        <v/>
      </c>
      <c r="DK114" s="109" t="str">
        <f t="shared" si="39"/>
        <v/>
      </c>
      <c r="DL114" s="110" t="str">
        <f t="shared" si="207"/>
        <v/>
      </c>
      <c r="DN114" s="108" t="str">
        <f t="shared" si="41"/>
        <v/>
      </c>
      <c r="DO114" s="109" t="str">
        <f t="shared" si="42"/>
        <v/>
      </c>
      <c r="DP114" s="109" t="str">
        <f t="shared" si="43"/>
        <v/>
      </c>
      <c r="DQ114" s="110" t="str">
        <f t="shared" si="208"/>
        <v/>
      </c>
      <c r="DS114" s="108" t="str">
        <f t="shared" si="117"/>
        <v/>
      </c>
      <c r="DT114" s="109" t="str">
        <f t="shared" si="118"/>
        <v/>
      </c>
      <c r="DU114" s="109" t="str">
        <f t="shared" si="45"/>
        <v/>
      </c>
      <c r="DV114" s="110" t="str">
        <f t="shared" si="209"/>
        <v/>
      </c>
      <c r="DX114" s="108" t="str">
        <f t="shared" si="46"/>
        <v/>
      </c>
      <c r="DY114" s="109" t="str">
        <f t="shared" si="119"/>
        <v/>
      </c>
      <c r="DZ114" s="109" t="str">
        <f t="shared" si="47"/>
        <v/>
      </c>
      <c r="EA114" s="110" t="str">
        <f t="shared" si="210"/>
        <v/>
      </c>
      <c r="EC114" s="108" t="str">
        <f t="shared" si="121"/>
        <v/>
      </c>
      <c r="ED114" s="109" t="str">
        <f t="shared" si="122"/>
        <v/>
      </c>
      <c r="EE114" s="109" t="str">
        <f t="shared" si="48"/>
        <v/>
      </c>
      <c r="EF114" s="110" t="str">
        <f t="shared" si="211"/>
        <v/>
      </c>
      <c r="EH114" s="108" t="str">
        <f t="shared" si="49"/>
        <v/>
      </c>
      <c r="EI114" s="109" t="str">
        <f t="shared" si="123"/>
        <v/>
      </c>
      <c r="EJ114" s="109" t="str">
        <f t="shared" si="50"/>
        <v/>
      </c>
      <c r="EK114" s="110" t="str">
        <f t="shared" si="212"/>
        <v/>
      </c>
      <c r="EM114" s="108" t="str">
        <f t="shared" si="125"/>
        <v/>
      </c>
      <c r="EN114" s="109" t="str">
        <f t="shared" si="126"/>
        <v/>
      </c>
      <c r="EO114" s="109" t="str">
        <f t="shared" si="51"/>
        <v/>
      </c>
      <c r="EP114" s="110" t="str">
        <f t="shared" si="213"/>
        <v/>
      </c>
      <c r="ER114" s="108" t="str">
        <f t="shared" si="52"/>
        <v/>
      </c>
      <c r="ES114" s="109" t="str">
        <f t="shared" si="127"/>
        <v/>
      </c>
      <c r="ET114" s="109" t="str">
        <f t="shared" si="53"/>
        <v/>
      </c>
      <c r="EU114" s="110" t="str">
        <f t="shared" si="214"/>
        <v/>
      </c>
      <c r="EW114" s="108" t="str">
        <f t="shared" si="129"/>
        <v/>
      </c>
      <c r="EX114" s="109" t="str">
        <f t="shared" si="130"/>
        <v/>
      </c>
      <c r="EY114" s="109" t="str">
        <f t="shared" si="54"/>
        <v/>
      </c>
      <c r="EZ114" s="110" t="str">
        <f t="shared" si="215"/>
        <v/>
      </c>
      <c r="FB114" s="108" t="str">
        <f t="shared" si="55"/>
        <v/>
      </c>
      <c r="FC114" s="109" t="str">
        <f t="shared" si="131"/>
        <v/>
      </c>
      <c r="FD114" s="109" t="str">
        <f t="shared" si="56"/>
        <v/>
      </c>
      <c r="FE114" s="110" t="str">
        <f t="shared" si="216"/>
        <v/>
      </c>
      <c r="FG114" s="108" t="str">
        <f t="shared" si="133"/>
        <v/>
      </c>
      <c r="FH114" s="109" t="str">
        <f t="shared" si="134"/>
        <v/>
      </c>
      <c r="FI114" s="109" t="str">
        <f t="shared" si="57"/>
        <v/>
      </c>
      <c r="FJ114" s="110" t="str">
        <f t="shared" si="217"/>
        <v/>
      </c>
      <c r="FL114" s="108" t="str">
        <f t="shared" si="58"/>
        <v/>
      </c>
      <c r="FM114" s="109" t="str">
        <f t="shared" si="135"/>
        <v/>
      </c>
      <c r="FN114" s="109" t="str">
        <f t="shared" si="59"/>
        <v/>
      </c>
      <c r="FO114" s="110" t="str">
        <f t="shared" si="218"/>
        <v/>
      </c>
      <c r="FQ114" s="108" t="str">
        <f t="shared" si="137"/>
        <v/>
      </c>
      <c r="FR114" s="109" t="str">
        <f t="shared" si="138"/>
        <v/>
      </c>
      <c r="FS114" s="109" t="str">
        <f t="shared" si="60"/>
        <v/>
      </c>
      <c r="FT114" s="110" t="str">
        <f t="shared" si="219"/>
        <v/>
      </c>
      <c r="FV114" s="108" t="str">
        <f t="shared" si="61"/>
        <v/>
      </c>
      <c r="FW114" s="109" t="str">
        <f t="shared" si="139"/>
        <v/>
      </c>
      <c r="FX114" s="109" t="str">
        <f t="shared" si="62"/>
        <v/>
      </c>
      <c r="FY114" s="110" t="str">
        <f t="shared" si="220"/>
        <v/>
      </c>
      <c r="GA114" s="108" t="str">
        <f t="shared" si="141"/>
        <v/>
      </c>
      <c r="GB114" s="109" t="str">
        <f t="shared" si="142"/>
        <v/>
      </c>
      <c r="GC114" s="109" t="str">
        <f t="shared" si="63"/>
        <v/>
      </c>
      <c r="GD114" s="110" t="str">
        <f t="shared" si="221"/>
        <v/>
      </c>
      <c r="GF114" s="108" t="str">
        <f t="shared" si="64"/>
        <v/>
      </c>
      <c r="GG114" s="109" t="str">
        <f t="shared" si="143"/>
        <v/>
      </c>
      <c r="GH114" s="109" t="str">
        <f t="shared" si="65"/>
        <v/>
      </c>
      <c r="GI114" s="110" t="str">
        <f t="shared" si="222"/>
        <v/>
      </c>
      <c r="GK114" s="108" t="str">
        <f t="shared" si="145"/>
        <v/>
      </c>
      <c r="GL114" s="109" t="str">
        <f t="shared" si="146"/>
        <v/>
      </c>
      <c r="GM114" s="109" t="str">
        <f t="shared" si="147"/>
        <v/>
      </c>
      <c r="GN114" s="110" t="str">
        <f t="shared" si="223"/>
        <v/>
      </c>
      <c r="GR114" s="108" t="str">
        <f t="shared" si="66"/>
        <v/>
      </c>
      <c r="GS114" s="109" t="str">
        <f t="shared" si="67"/>
        <v/>
      </c>
      <c r="GT114" s="109" t="str">
        <f t="shared" si="68"/>
        <v/>
      </c>
      <c r="GU114" s="110" t="str">
        <f t="shared" si="69"/>
        <v/>
      </c>
      <c r="GV114" s="51"/>
      <c r="GW114" s="108" t="str">
        <f t="shared" si="70"/>
        <v/>
      </c>
      <c r="GX114" s="109" t="str">
        <f t="shared" si="148"/>
        <v/>
      </c>
      <c r="GY114" s="109" t="str">
        <f t="shared" si="71"/>
        <v/>
      </c>
      <c r="GZ114" s="110" t="str">
        <f t="shared" si="72"/>
        <v/>
      </c>
      <c r="HA114" s="51"/>
      <c r="HB114" s="108" t="str">
        <f t="shared" si="149"/>
        <v/>
      </c>
      <c r="HC114" s="109" t="str">
        <f t="shared" si="150"/>
        <v/>
      </c>
      <c r="HD114" s="109" t="str">
        <f t="shared" si="73"/>
        <v/>
      </c>
      <c r="HE114" s="110" t="str">
        <f t="shared" si="151"/>
        <v/>
      </c>
      <c r="HF114" s="51"/>
      <c r="HG114" s="108" t="str">
        <f t="shared" si="74"/>
        <v/>
      </c>
      <c r="HH114" s="109" t="str">
        <f t="shared" si="152"/>
        <v/>
      </c>
      <c r="HI114" s="109" t="str">
        <f t="shared" si="75"/>
        <v/>
      </c>
      <c r="HJ114" s="110" t="str">
        <f t="shared" si="193"/>
        <v/>
      </c>
      <c r="HK114" s="51"/>
      <c r="HL114" s="108" t="str">
        <f t="shared" si="153"/>
        <v/>
      </c>
      <c r="HM114" s="109" t="str">
        <f t="shared" si="154"/>
        <v/>
      </c>
      <c r="HN114" s="109" t="str">
        <f t="shared" si="76"/>
        <v/>
      </c>
      <c r="HO114" s="110" t="str">
        <f t="shared" si="155"/>
        <v/>
      </c>
      <c r="HP114" s="51"/>
      <c r="HQ114" s="108" t="str">
        <f t="shared" si="77"/>
        <v/>
      </c>
      <c r="HR114" s="109" t="str">
        <f t="shared" si="156"/>
        <v/>
      </c>
      <c r="HS114" s="109" t="str">
        <f t="shared" si="78"/>
        <v/>
      </c>
      <c r="HT114" s="110" t="str">
        <f t="shared" si="194"/>
        <v/>
      </c>
      <c r="HU114" s="51"/>
      <c r="HV114" s="108" t="str">
        <f t="shared" si="157"/>
        <v/>
      </c>
      <c r="HW114" s="109" t="str">
        <f t="shared" si="158"/>
        <v/>
      </c>
      <c r="HX114" s="109" t="str">
        <f t="shared" si="79"/>
        <v/>
      </c>
      <c r="HY114" s="110" t="str">
        <f t="shared" si="159"/>
        <v/>
      </c>
      <c r="HZ114" s="51"/>
      <c r="IA114" s="108" t="str">
        <f t="shared" si="80"/>
        <v/>
      </c>
      <c r="IB114" s="109" t="str">
        <f t="shared" si="160"/>
        <v/>
      </c>
      <c r="IC114" s="109" t="str">
        <f t="shared" si="81"/>
        <v/>
      </c>
      <c r="ID114" s="110" t="str">
        <f t="shared" si="195"/>
        <v/>
      </c>
      <c r="IE114" s="51"/>
      <c r="IF114" s="108" t="str">
        <f t="shared" si="161"/>
        <v/>
      </c>
      <c r="IG114" s="109" t="str">
        <f t="shared" si="162"/>
        <v/>
      </c>
      <c r="IH114" s="109" t="str">
        <f t="shared" si="82"/>
        <v/>
      </c>
      <c r="II114" s="110" t="str">
        <f t="shared" si="163"/>
        <v/>
      </c>
      <c r="IJ114" s="51"/>
      <c r="IK114" s="108" t="str">
        <f t="shared" si="83"/>
        <v/>
      </c>
      <c r="IL114" s="109" t="str">
        <f t="shared" si="164"/>
        <v/>
      </c>
      <c r="IM114" s="109" t="str">
        <f t="shared" si="84"/>
        <v/>
      </c>
      <c r="IN114" s="110" t="str">
        <f t="shared" si="196"/>
        <v/>
      </c>
      <c r="IO114" s="51"/>
      <c r="IP114" s="108" t="str">
        <f t="shared" si="165"/>
        <v/>
      </c>
      <c r="IQ114" s="109" t="str">
        <f t="shared" si="166"/>
        <v/>
      </c>
      <c r="IR114" s="109" t="str">
        <f t="shared" si="85"/>
        <v/>
      </c>
      <c r="IS114" s="110" t="str">
        <f t="shared" si="167"/>
        <v/>
      </c>
      <c r="IT114" s="51"/>
      <c r="IU114" s="108" t="str">
        <f t="shared" si="86"/>
        <v/>
      </c>
      <c r="IV114" s="109" t="str">
        <f t="shared" si="168"/>
        <v/>
      </c>
      <c r="IW114" s="109" t="str">
        <f t="shared" si="87"/>
        <v/>
      </c>
      <c r="IX114" s="110" t="str">
        <f t="shared" si="197"/>
        <v/>
      </c>
      <c r="IY114" s="51"/>
      <c r="IZ114" s="108" t="str">
        <f t="shared" si="169"/>
        <v/>
      </c>
      <c r="JA114" s="109" t="str">
        <f t="shared" si="170"/>
        <v/>
      </c>
      <c r="JB114" s="109" t="str">
        <f t="shared" si="88"/>
        <v/>
      </c>
      <c r="JC114" s="110" t="str">
        <f t="shared" si="171"/>
        <v/>
      </c>
      <c r="JD114" s="51"/>
      <c r="JE114" s="108" t="str">
        <f t="shared" si="89"/>
        <v/>
      </c>
      <c r="JF114" s="109" t="str">
        <f t="shared" si="172"/>
        <v/>
      </c>
      <c r="JG114" s="109" t="str">
        <f t="shared" si="90"/>
        <v/>
      </c>
      <c r="JH114" s="110" t="str">
        <f t="shared" si="198"/>
        <v/>
      </c>
      <c r="JI114" s="51"/>
      <c r="JJ114" s="108" t="str">
        <f t="shared" si="173"/>
        <v/>
      </c>
      <c r="JK114" s="109" t="str">
        <f t="shared" si="174"/>
        <v/>
      </c>
      <c r="JL114" s="109" t="str">
        <f t="shared" si="91"/>
        <v/>
      </c>
      <c r="JM114" s="110" t="str">
        <f t="shared" si="175"/>
        <v/>
      </c>
      <c r="JN114" s="51"/>
      <c r="JO114" s="108" t="str">
        <f t="shared" si="92"/>
        <v/>
      </c>
      <c r="JP114" s="109" t="str">
        <f t="shared" si="176"/>
        <v/>
      </c>
      <c r="JQ114" s="109" t="str">
        <f t="shared" si="93"/>
        <v/>
      </c>
      <c r="JR114" s="110" t="str">
        <f t="shared" si="199"/>
        <v/>
      </c>
      <c r="JS114" s="51"/>
      <c r="JT114" s="108" t="str">
        <f t="shared" si="177"/>
        <v/>
      </c>
      <c r="JU114" s="109" t="str">
        <f t="shared" si="178"/>
        <v/>
      </c>
      <c r="JV114" s="109" t="str">
        <f t="shared" si="94"/>
        <v/>
      </c>
      <c r="JW114" s="110" t="str">
        <f t="shared" si="179"/>
        <v/>
      </c>
      <c r="JX114" s="51"/>
      <c r="JY114" s="108" t="str">
        <f t="shared" si="95"/>
        <v/>
      </c>
      <c r="JZ114" s="109" t="str">
        <f t="shared" si="180"/>
        <v/>
      </c>
      <c r="KA114" s="109" t="str">
        <f t="shared" si="96"/>
        <v/>
      </c>
      <c r="KB114" s="110" t="str">
        <f t="shared" si="200"/>
        <v/>
      </c>
      <c r="KC114" s="51"/>
      <c r="KD114" s="108" t="str">
        <f t="shared" si="181"/>
        <v/>
      </c>
      <c r="KE114" s="109" t="str">
        <f t="shared" si="182"/>
        <v/>
      </c>
      <c r="KF114" s="109" t="str">
        <f t="shared" si="97"/>
        <v/>
      </c>
      <c r="KG114" s="110" t="str">
        <f t="shared" si="98"/>
        <v/>
      </c>
    </row>
    <row r="115" spans="1:293" ht="12" customHeight="1">
      <c r="A115" s="105">
        <f t="array" ref="A115">MAX(IF($J$80:J114&gt;0,$C$80:C114,0))</f>
        <v>43535</v>
      </c>
      <c r="B115" s="81" t="str">
        <f t="shared" si="4"/>
        <v/>
      </c>
      <c r="C115" s="82">
        <f t="shared" si="5"/>
        <v>0</v>
      </c>
      <c r="D115" s="83" t="str">
        <f t="shared" si="6"/>
        <v/>
      </c>
      <c r="E115" s="83" t="str">
        <f t="shared" si="99"/>
        <v/>
      </c>
      <c r="F115" s="83" t="str">
        <f t="shared" si="7"/>
        <v/>
      </c>
      <c r="G115" s="83" t="str">
        <f t="shared" si="8"/>
        <v/>
      </c>
      <c r="H115" s="83" t="str">
        <f t="shared" si="9"/>
        <v/>
      </c>
      <c r="I115" s="105">
        <f t="array" ref="I115">MAX(IF($R$80:R114&gt;0,$L$80:L114,0))</f>
        <v>0</v>
      </c>
      <c r="J115" s="106"/>
      <c r="K115" s="2" t="str">
        <f t="shared" si="10"/>
        <v/>
      </c>
      <c r="L115" s="82">
        <f t="shared" si="183"/>
        <v>0</v>
      </c>
      <c r="M115" s="83" t="str">
        <f t="shared" si="11"/>
        <v/>
      </c>
      <c r="N115" s="83" t="str">
        <f t="shared" si="12"/>
        <v/>
      </c>
      <c r="O115" s="83" t="str">
        <f t="shared" si="13"/>
        <v/>
      </c>
      <c r="P115" s="83" t="str">
        <f t="shared" si="14"/>
        <v/>
      </c>
      <c r="Q115" s="83" t="str">
        <f t="shared" si="15"/>
        <v/>
      </c>
      <c r="R115" s="106"/>
      <c r="S115" s="1"/>
      <c r="U115" s="85" t="e">
        <f t="shared" si="0"/>
        <v>#NUM!</v>
      </c>
      <c r="V115" s="86" t="e">
        <f t="shared" si="100"/>
        <v>#NUM!</v>
      </c>
      <c r="W115" s="87" t="e">
        <f t="shared" si="16"/>
        <v>#NUM!</v>
      </c>
      <c r="X115" s="87" t="e">
        <f t="shared" si="17"/>
        <v>#NUM!</v>
      </c>
      <c r="Y115" s="87" t="e">
        <f t="shared" si="18"/>
        <v>#NUM!</v>
      </c>
      <c r="Z115" s="88" t="e">
        <f t="shared" si="1"/>
        <v>#NUM!</v>
      </c>
      <c r="AB115" s="89">
        <f t="shared" si="101"/>
        <v>0</v>
      </c>
      <c r="AC115" s="87">
        <f t="shared" si="19"/>
        <v>0</v>
      </c>
      <c r="AD115" s="87" t="str">
        <f t="shared" si="20"/>
        <v/>
      </c>
      <c r="AE115" s="87" t="str">
        <f t="shared" si="21"/>
        <v/>
      </c>
      <c r="AF115" s="86">
        <f t="shared" si="102"/>
        <v>0</v>
      </c>
      <c r="AG115" s="87">
        <f t="shared" si="2"/>
        <v>0</v>
      </c>
      <c r="AH115" s="87">
        <f t="shared" si="103"/>
        <v>0</v>
      </c>
      <c r="AI115" s="90"/>
      <c r="AJ115" s="87" t="e">
        <f t="shared" si="22"/>
        <v>#NUM!</v>
      </c>
      <c r="AK115" s="87" t="e">
        <f t="shared" si="104"/>
        <v>#NUM!</v>
      </c>
      <c r="AL115" s="87" t="e">
        <f t="shared" si="105"/>
        <v>#NUM!</v>
      </c>
      <c r="AM115" s="87" t="e">
        <f t="shared" si="106"/>
        <v>#NUM!</v>
      </c>
      <c r="AN115" s="86">
        <f t="shared" si="23"/>
        <v>0</v>
      </c>
      <c r="AO115" s="87">
        <f t="shared" si="24"/>
        <v>0</v>
      </c>
      <c r="AP115" s="88">
        <f t="shared" si="25"/>
        <v>0</v>
      </c>
      <c r="AR115" s="91">
        <f t="shared" si="26"/>
        <v>0</v>
      </c>
      <c r="AS115" s="92">
        <f t="shared" si="27"/>
        <v>0</v>
      </c>
      <c r="AT115" s="87" t="str">
        <f t="shared" si="28"/>
        <v/>
      </c>
      <c r="AU115" s="87" t="str">
        <f t="shared" si="29"/>
        <v/>
      </c>
      <c r="AV115" s="86">
        <f t="shared" si="107"/>
        <v>0</v>
      </c>
      <c r="AW115" s="87">
        <f t="shared" si="108"/>
        <v>0</v>
      </c>
      <c r="AX115" s="87">
        <f t="shared" si="109"/>
        <v>0</v>
      </c>
      <c r="AY115" s="93"/>
      <c r="AZ115" s="87">
        <f t="shared" si="201"/>
        <v>0</v>
      </c>
      <c r="BA115" s="87">
        <f t="shared" si="110"/>
        <v>0</v>
      </c>
      <c r="BB115" s="87">
        <f t="shared" si="111"/>
        <v>0</v>
      </c>
      <c r="BC115" s="87">
        <f t="shared" si="184"/>
        <v>0</v>
      </c>
      <c r="BD115" s="86" t="e">
        <f t="shared" si="30"/>
        <v>#NUM!</v>
      </c>
      <c r="BE115" s="87" t="e">
        <f t="shared" si="3"/>
        <v>#NUM!</v>
      </c>
      <c r="BF115" s="88">
        <f t="shared" si="112"/>
        <v>0</v>
      </c>
      <c r="BH115" s="87" t="e">
        <f t="shared" si="31"/>
        <v>#NUM!</v>
      </c>
      <c r="BK115" s="95">
        <v>40270</v>
      </c>
      <c r="BL115" s="96">
        <v>36</v>
      </c>
      <c r="BT115" s="51"/>
      <c r="BU115" s="51"/>
      <c r="BV115" s="30"/>
      <c r="BW115">
        <v>5</v>
      </c>
      <c r="BX115">
        <v>10</v>
      </c>
      <c r="BY115">
        <v>14</v>
      </c>
      <c r="BZ115">
        <v>23</v>
      </c>
      <c r="CA115">
        <v>35</v>
      </c>
      <c r="CB115">
        <v>47</v>
      </c>
      <c r="CC115">
        <v>59</v>
      </c>
      <c r="CD115">
        <v>60</v>
      </c>
      <c r="CF115" s="107"/>
      <c r="CG115" s="107"/>
      <c r="CY115" s="108" t="str">
        <f t="shared" si="32"/>
        <v/>
      </c>
      <c r="CZ115" s="109" t="str">
        <f t="shared" si="33"/>
        <v/>
      </c>
      <c r="DA115" s="109" t="str">
        <f t="shared" si="34"/>
        <v/>
      </c>
      <c r="DB115" s="110" t="str">
        <f t="shared" si="205"/>
        <v/>
      </c>
      <c r="DD115" s="108" t="str">
        <f t="shared" si="36"/>
        <v/>
      </c>
      <c r="DE115" s="109" t="str">
        <f t="shared" si="114"/>
        <v/>
      </c>
      <c r="DF115" s="109" t="str">
        <f t="shared" si="37"/>
        <v/>
      </c>
      <c r="DG115" s="110" t="str">
        <f t="shared" si="206"/>
        <v/>
      </c>
      <c r="DI115" s="108" t="str">
        <f t="shared" si="115"/>
        <v/>
      </c>
      <c r="DJ115" s="109" t="str">
        <f t="shared" si="116"/>
        <v/>
      </c>
      <c r="DK115" s="109" t="str">
        <f t="shared" si="39"/>
        <v/>
      </c>
      <c r="DL115" s="110" t="str">
        <f t="shared" si="207"/>
        <v/>
      </c>
      <c r="DN115" s="108" t="str">
        <f t="shared" si="41"/>
        <v/>
      </c>
      <c r="DO115" s="109" t="str">
        <f t="shared" si="42"/>
        <v/>
      </c>
      <c r="DP115" s="109" t="str">
        <f t="shared" si="43"/>
        <v/>
      </c>
      <c r="DQ115" s="110" t="str">
        <f t="shared" si="208"/>
        <v/>
      </c>
      <c r="DS115" s="108" t="str">
        <f t="shared" si="117"/>
        <v/>
      </c>
      <c r="DT115" s="109" t="str">
        <f t="shared" si="118"/>
        <v/>
      </c>
      <c r="DU115" s="109" t="str">
        <f t="shared" si="45"/>
        <v/>
      </c>
      <c r="DV115" s="110" t="str">
        <f t="shared" si="209"/>
        <v/>
      </c>
      <c r="DX115" s="108" t="str">
        <f t="shared" si="46"/>
        <v/>
      </c>
      <c r="DY115" s="109" t="str">
        <f t="shared" si="119"/>
        <v/>
      </c>
      <c r="DZ115" s="109" t="str">
        <f t="shared" si="47"/>
        <v/>
      </c>
      <c r="EA115" s="110" t="str">
        <f t="shared" si="210"/>
        <v/>
      </c>
      <c r="EC115" s="108" t="str">
        <f t="shared" si="121"/>
        <v/>
      </c>
      <c r="ED115" s="109" t="str">
        <f t="shared" si="122"/>
        <v/>
      </c>
      <c r="EE115" s="109" t="str">
        <f t="shared" si="48"/>
        <v/>
      </c>
      <c r="EF115" s="110" t="str">
        <f t="shared" si="211"/>
        <v/>
      </c>
      <c r="EH115" s="108" t="str">
        <f t="shared" si="49"/>
        <v/>
      </c>
      <c r="EI115" s="109" t="str">
        <f t="shared" si="123"/>
        <v/>
      </c>
      <c r="EJ115" s="109" t="str">
        <f t="shared" si="50"/>
        <v/>
      </c>
      <c r="EK115" s="110" t="str">
        <f t="shared" si="212"/>
        <v/>
      </c>
      <c r="EM115" s="108" t="str">
        <f t="shared" si="125"/>
        <v/>
      </c>
      <c r="EN115" s="109" t="str">
        <f t="shared" si="126"/>
        <v/>
      </c>
      <c r="EO115" s="109" t="str">
        <f t="shared" si="51"/>
        <v/>
      </c>
      <c r="EP115" s="110" t="str">
        <f t="shared" si="213"/>
        <v/>
      </c>
      <c r="ER115" s="108" t="str">
        <f t="shared" si="52"/>
        <v/>
      </c>
      <c r="ES115" s="109" t="str">
        <f t="shared" si="127"/>
        <v/>
      </c>
      <c r="ET115" s="109" t="str">
        <f t="shared" si="53"/>
        <v/>
      </c>
      <c r="EU115" s="110" t="str">
        <f t="shared" si="214"/>
        <v/>
      </c>
      <c r="EW115" s="108" t="str">
        <f t="shared" si="129"/>
        <v/>
      </c>
      <c r="EX115" s="109" t="str">
        <f t="shared" si="130"/>
        <v/>
      </c>
      <c r="EY115" s="109" t="str">
        <f t="shared" si="54"/>
        <v/>
      </c>
      <c r="EZ115" s="110" t="str">
        <f t="shared" si="215"/>
        <v/>
      </c>
      <c r="FB115" s="108" t="str">
        <f t="shared" si="55"/>
        <v/>
      </c>
      <c r="FC115" s="109" t="str">
        <f t="shared" si="131"/>
        <v/>
      </c>
      <c r="FD115" s="109" t="str">
        <f t="shared" si="56"/>
        <v/>
      </c>
      <c r="FE115" s="110" t="str">
        <f t="shared" si="216"/>
        <v/>
      </c>
      <c r="FG115" s="108" t="str">
        <f t="shared" si="133"/>
        <v/>
      </c>
      <c r="FH115" s="109" t="str">
        <f t="shared" si="134"/>
        <v/>
      </c>
      <c r="FI115" s="109" t="str">
        <f t="shared" si="57"/>
        <v/>
      </c>
      <c r="FJ115" s="110" t="str">
        <f t="shared" si="217"/>
        <v/>
      </c>
      <c r="FL115" s="108" t="str">
        <f t="shared" si="58"/>
        <v/>
      </c>
      <c r="FM115" s="109" t="str">
        <f t="shared" si="135"/>
        <v/>
      </c>
      <c r="FN115" s="109" t="str">
        <f t="shared" si="59"/>
        <v/>
      </c>
      <c r="FO115" s="110" t="str">
        <f t="shared" si="218"/>
        <v/>
      </c>
      <c r="FQ115" s="108" t="str">
        <f t="shared" si="137"/>
        <v/>
      </c>
      <c r="FR115" s="109" t="str">
        <f t="shared" si="138"/>
        <v/>
      </c>
      <c r="FS115" s="109" t="str">
        <f t="shared" si="60"/>
        <v/>
      </c>
      <c r="FT115" s="110" t="str">
        <f t="shared" si="219"/>
        <v/>
      </c>
      <c r="FV115" s="108" t="str">
        <f t="shared" si="61"/>
        <v/>
      </c>
      <c r="FW115" s="109" t="str">
        <f t="shared" si="139"/>
        <v/>
      </c>
      <c r="FX115" s="109" t="str">
        <f t="shared" si="62"/>
        <v/>
      </c>
      <c r="FY115" s="110" t="str">
        <f t="shared" si="220"/>
        <v/>
      </c>
      <c r="GA115" s="108" t="str">
        <f t="shared" si="141"/>
        <v/>
      </c>
      <c r="GB115" s="109" t="str">
        <f t="shared" si="142"/>
        <v/>
      </c>
      <c r="GC115" s="109" t="str">
        <f t="shared" si="63"/>
        <v/>
      </c>
      <c r="GD115" s="110" t="str">
        <f t="shared" si="221"/>
        <v/>
      </c>
      <c r="GF115" s="108" t="str">
        <f t="shared" si="64"/>
        <v/>
      </c>
      <c r="GG115" s="109" t="str">
        <f t="shared" si="143"/>
        <v/>
      </c>
      <c r="GH115" s="109" t="str">
        <f t="shared" si="65"/>
        <v/>
      </c>
      <c r="GI115" s="110" t="str">
        <f t="shared" si="222"/>
        <v/>
      </c>
      <c r="GK115" s="108" t="str">
        <f t="shared" si="145"/>
        <v/>
      </c>
      <c r="GL115" s="109" t="str">
        <f t="shared" si="146"/>
        <v/>
      </c>
      <c r="GM115" s="109" t="str">
        <f t="shared" si="147"/>
        <v/>
      </c>
      <c r="GN115" s="110" t="str">
        <f t="shared" si="223"/>
        <v/>
      </c>
      <c r="GR115" s="108" t="str">
        <f t="shared" si="66"/>
        <v/>
      </c>
      <c r="GS115" s="109" t="str">
        <f t="shared" si="67"/>
        <v/>
      </c>
      <c r="GT115" s="109" t="str">
        <f t="shared" si="68"/>
        <v/>
      </c>
      <c r="GU115" s="110" t="str">
        <f t="shared" si="69"/>
        <v/>
      </c>
      <c r="GV115" s="51"/>
      <c r="GW115" s="108" t="str">
        <f t="shared" si="70"/>
        <v/>
      </c>
      <c r="GX115" s="109" t="str">
        <f t="shared" si="148"/>
        <v/>
      </c>
      <c r="GY115" s="109" t="str">
        <f t="shared" si="71"/>
        <v/>
      </c>
      <c r="GZ115" s="110" t="str">
        <f t="shared" si="72"/>
        <v/>
      </c>
      <c r="HA115" s="51"/>
      <c r="HB115" s="108" t="str">
        <f t="shared" si="149"/>
        <v/>
      </c>
      <c r="HC115" s="109" t="str">
        <f t="shared" si="150"/>
        <v/>
      </c>
      <c r="HD115" s="109" t="str">
        <f t="shared" si="73"/>
        <v/>
      </c>
      <c r="HE115" s="110" t="str">
        <f t="shared" si="151"/>
        <v/>
      </c>
      <c r="HF115" s="51"/>
      <c r="HG115" s="108" t="str">
        <f t="shared" si="74"/>
        <v/>
      </c>
      <c r="HH115" s="109" t="str">
        <f t="shared" si="152"/>
        <v/>
      </c>
      <c r="HI115" s="109" t="str">
        <f t="shared" si="75"/>
        <v/>
      </c>
      <c r="HJ115" s="110" t="str">
        <f t="shared" si="193"/>
        <v/>
      </c>
      <c r="HK115" s="51"/>
      <c r="HL115" s="108" t="str">
        <f t="shared" si="153"/>
        <v/>
      </c>
      <c r="HM115" s="109" t="str">
        <f t="shared" si="154"/>
        <v/>
      </c>
      <c r="HN115" s="109" t="str">
        <f t="shared" si="76"/>
        <v/>
      </c>
      <c r="HO115" s="110" t="str">
        <f t="shared" si="155"/>
        <v/>
      </c>
      <c r="HP115" s="51"/>
      <c r="HQ115" s="108" t="str">
        <f t="shared" si="77"/>
        <v/>
      </c>
      <c r="HR115" s="109" t="str">
        <f t="shared" si="156"/>
        <v/>
      </c>
      <c r="HS115" s="109" t="str">
        <f t="shared" si="78"/>
        <v/>
      </c>
      <c r="HT115" s="110" t="str">
        <f t="shared" si="194"/>
        <v/>
      </c>
      <c r="HU115" s="51"/>
      <c r="HV115" s="108" t="str">
        <f t="shared" si="157"/>
        <v/>
      </c>
      <c r="HW115" s="109" t="str">
        <f t="shared" si="158"/>
        <v/>
      </c>
      <c r="HX115" s="109" t="str">
        <f t="shared" si="79"/>
        <v/>
      </c>
      <c r="HY115" s="110" t="str">
        <f t="shared" si="159"/>
        <v/>
      </c>
      <c r="HZ115" s="51"/>
      <c r="IA115" s="108" t="str">
        <f t="shared" si="80"/>
        <v/>
      </c>
      <c r="IB115" s="109" t="str">
        <f t="shared" si="160"/>
        <v/>
      </c>
      <c r="IC115" s="109" t="str">
        <f t="shared" si="81"/>
        <v/>
      </c>
      <c r="ID115" s="110" t="str">
        <f t="shared" si="195"/>
        <v/>
      </c>
      <c r="IE115" s="51"/>
      <c r="IF115" s="108" t="str">
        <f t="shared" si="161"/>
        <v/>
      </c>
      <c r="IG115" s="109" t="str">
        <f t="shared" si="162"/>
        <v/>
      </c>
      <c r="IH115" s="109" t="str">
        <f t="shared" si="82"/>
        <v/>
      </c>
      <c r="II115" s="110" t="str">
        <f t="shared" si="163"/>
        <v/>
      </c>
      <c r="IJ115" s="51"/>
      <c r="IK115" s="108" t="str">
        <f t="shared" si="83"/>
        <v/>
      </c>
      <c r="IL115" s="109" t="str">
        <f t="shared" si="164"/>
        <v/>
      </c>
      <c r="IM115" s="109" t="str">
        <f t="shared" si="84"/>
        <v/>
      </c>
      <c r="IN115" s="110" t="str">
        <f t="shared" si="196"/>
        <v/>
      </c>
      <c r="IO115" s="51"/>
      <c r="IP115" s="108" t="str">
        <f t="shared" si="165"/>
        <v/>
      </c>
      <c r="IQ115" s="109" t="str">
        <f t="shared" si="166"/>
        <v/>
      </c>
      <c r="IR115" s="109" t="str">
        <f t="shared" si="85"/>
        <v/>
      </c>
      <c r="IS115" s="110" t="str">
        <f t="shared" si="167"/>
        <v/>
      </c>
      <c r="IT115" s="51"/>
      <c r="IU115" s="108" t="str">
        <f t="shared" si="86"/>
        <v/>
      </c>
      <c r="IV115" s="109" t="str">
        <f t="shared" si="168"/>
        <v/>
      </c>
      <c r="IW115" s="109" t="str">
        <f t="shared" si="87"/>
        <v/>
      </c>
      <c r="IX115" s="110" t="str">
        <f t="shared" si="197"/>
        <v/>
      </c>
      <c r="IY115" s="51"/>
      <c r="IZ115" s="108" t="str">
        <f t="shared" si="169"/>
        <v/>
      </c>
      <c r="JA115" s="109" t="str">
        <f t="shared" si="170"/>
        <v/>
      </c>
      <c r="JB115" s="109" t="str">
        <f t="shared" si="88"/>
        <v/>
      </c>
      <c r="JC115" s="110" t="str">
        <f t="shared" si="171"/>
        <v/>
      </c>
      <c r="JD115" s="51"/>
      <c r="JE115" s="108" t="str">
        <f t="shared" si="89"/>
        <v/>
      </c>
      <c r="JF115" s="109" t="str">
        <f t="shared" si="172"/>
        <v/>
      </c>
      <c r="JG115" s="109" t="str">
        <f t="shared" si="90"/>
        <v/>
      </c>
      <c r="JH115" s="110" t="str">
        <f t="shared" si="198"/>
        <v/>
      </c>
      <c r="JI115" s="51"/>
      <c r="JJ115" s="108" t="str">
        <f t="shared" si="173"/>
        <v/>
      </c>
      <c r="JK115" s="109" t="str">
        <f t="shared" si="174"/>
        <v/>
      </c>
      <c r="JL115" s="109" t="str">
        <f t="shared" si="91"/>
        <v/>
      </c>
      <c r="JM115" s="110" t="str">
        <f t="shared" si="175"/>
        <v/>
      </c>
      <c r="JN115" s="51"/>
      <c r="JO115" s="108" t="str">
        <f t="shared" si="92"/>
        <v/>
      </c>
      <c r="JP115" s="109" t="str">
        <f t="shared" si="176"/>
        <v/>
      </c>
      <c r="JQ115" s="109" t="str">
        <f t="shared" si="93"/>
        <v/>
      </c>
      <c r="JR115" s="110" t="str">
        <f t="shared" si="199"/>
        <v/>
      </c>
      <c r="JS115" s="51"/>
      <c r="JT115" s="108" t="str">
        <f t="shared" si="177"/>
        <v/>
      </c>
      <c r="JU115" s="109" t="str">
        <f t="shared" si="178"/>
        <v/>
      </c>
      <c r="JV115" s="109" t="str">
        <f t="shared" si="94"/>
        <v/>
      </c>
      <c r="JW115" s="110" t="str">
        <f t="shared" si="179"/>
        <v/>
      </c>
      <c r="JX115" s="51"/>
      <c r="JY115" s="108" t="str">
        <f t="shared" si="95"/>
        <v/>
      </c>
      <c r="JZ115" s="109" t="str">
        <f t="shared" si="180"/>
        <v/>
      </c>
      <c r="KA115" s="109" t="str">
        <f t="shared" si="96"/>
        <v/>
      </c>
      <c r="KB115" s="110" t="str">
        <f t="shared" si="200"/>
        <v/>
      </c>
      <c r="KC115" s="51"/>
      <c r="KD115" s="108" t="str">
        <f t="shared" si="181"/>
        <v/>
      </c>
      <c r="KE115" s="109" t="str">
        <f t="shared" si="182"/>
        <v/>
      </c>
      <c r="KF115" s="109" t="str">
        <f t="shared" si="97"/>
        <v/>
      </c>
      <c r="KG115" s="110" t="str">
        <f t="shared" si="98"/>
        <v/>
      </c>
    </row>
    <row r="116" spans="1:293" ht="12" customHeight="1">
      <c r="A116" s="105">
        <f t="array" ref="A116">MAX(IF($J$80:J115&gt;0,$C$80:C115,0))</f>
        <v>43535</v>
      </c>
      <c r="B116" s="81" t="str">
        <f t="shared" si="4"/>
        <v/>
      </c>
      <c r="C116" s="82">
        <f t="shared" si="5"/>
        <v>0</v>
      </c>
      <c r="D116" s="83" t="str">
        <f t="shared" si="6"/>
        <v/>
      </c>
      <c r="E116" s="83" t="str">
        <f t="shared" si="99"/>
        <v/>
      </c>
      <c r="F116" s="83" t="str">
        <f t="shared" si="7"/>
        <v/>
      </c>
      <c r="G116" s="83" t="str">
        <f t="shared" si="8"/>
        <v/>
      </c>
      <c r="H116" s="83" t="str">
        <f t="shared" si="9"/>
        <v/>
      </c>
      <c r="I116" s="105">
        <f t="array" ref="I116">MAX(IF($R$80:R115&gt;0,$L$80:L115,0))</f>
        <v>0</v>
      </c>
      <c r="J116" s="106"/>
      <c r="K116" s="2" t="str">
        <f t="shared" si="10"/>
        <v/>
      </c>
      <c r="L116" s="82">
        <f t="shared" si="183"/>
        <v>0</v>
      </c>
      <c r="M116" s="83" t="str">
        <f t="shared" si="11"/>
        <v/>
      </c>
      <c r="N116" s="83" t="str">
        <f t="shared" si="12"/>
        <v/>
      </c>
      <c r="O116" s="83" t="str">
        <f t="shared" si="13"/>
        <v/>
      </c>
      <c r="P116" s="83" t="str">
        <f t="shared" si="14"/>
        <v/>
      </c>
      <c r="Q116" s="83" t="str">
        <f t="shared" si="15"/>
        <v/>
      </c>
      <c r="R116" s="106"/>
      <c r="S116" s="1"/>
      <c r="U116" s="85" t="e">
        <f t="shared" si="0"/>
        <v>#NUM!</v>
      </c>
      <c r="V116" s="86" t="e">
        <f t="shared" si="100"/>
        <v>#NUM!</v>
      </c>
      <c r="W116" s="87" t="e">
        <f t="shared" si="16"/>
        <v>#NUM!</v>
      </c>
      <c r="X116" s="87" t="e">
        <f t="shared" si="17"/>
        <v>#NUM!</v>
      </c>
      <c r="Y116" s="87" t="e">
        <f t="shared" si="18"/>
        <v>#NUM!</v>
      </c>
      <c r="Z116" s="88" t="e">
        <f t="shared" si="1"/>
        <v>#NUM!</v>
      </c>
      <c r="AB116" s="89">
        <f t="shared" si="101"/>
        <v>0</v>
      </c>
      <c r="AC116" s="87">
        <f t="shared" si="19"/>
        <v>0</v>
      </c>
      <c r="AD116" s="87" t="str">
        <f t="shared" si="20"/>
        <v/>
      </c>
      <c r="AE116" s="87" t="str">
        <f t="shared" si="21"/>
        <v/>
      </c>
      <c r="AF116" s="86">
        <f t="shared" si="102"/>
        <v>0</v>
      </c>
      <c r="AG116" s="87">
        <f t="shared" si="2"/>
        <v>0</v>
      </c>
      <c r="AH116" s="87">
        <f t="shared" si="103"/>
        <v>0</v>
      </c>
      <c r="AI116" s="90"/>
      <c r="AJ116" s="87" t="e">
        <f t="shared" si="22"/>
        <v>#NUM!</v>
      </c>
      <c r="AK116" s="87" t="e">
        <f t="shared" si="104"/>
        <v>#NUM!</v>
      </c>
      <c r="AL116" s="87" t="e">
        <f t="shared" si="105"/>
        <v>#NUM!</v>
      </c>
      <c r="AM116" s="87" t="e">
        <f t="shared" si="106"/>
        <v>#NUM!</v>
      </c>
      <c r="AN116" s="86">
        <f t="shared" si="23"/>
        <v>0</v>
      </c>
      <c r="AO116" s="87">
        <f t="shared" si="24"/>
        <v>0</v>
      </c>
      <c r="AP116" s="88">
        <f t="shared" si="25"/>
        <v>0</v>
      </c>
      <c r="AR116" s="91">
        <f t="shared" si="26"/>
        <v>0</v>
      </c>
      <c r="AS116" s="92">
        <f t="shared" si="27"/>
        <v>0</v>
      </c>
      <c r="AT116" s="87" t="str">
        <f t="shared" si="28"/>
        <v/>
      </c>
      <c r="AU116" s="87" t="str">
        <f t="shared" si="29"/>
        <v/>
      </c>
      <c r="AV116" s="86">
        <f t="shared" si="107"/>
        <v>0</v>
      </c>
      <c r="AW116" s="87">
        <f t="shared" si="108"/>
        <v>0</v>
      </c>
      <c r="AX116" s="87">
        <f t="shared" si="109"/>
        <v>0</v>
      </c>
      <c r="AY116" s="93"/>
      <c r="AZ116" s="87">
        <f t="shared" si="201"/>
        <v>0</v>
      </c>
      <c r="BA116" s="87">
        <f t="shared" si="110"/>
        <v>0</v>
      </c>
      <c r="BB116" s="87">
        <f t="shared" si="111"/>
        <v>0</v>
      </c>
      <c r="BC116" s="87">
        <f t="shared" si="184"/>
        <v>0</v>
      </c>
      <c r="BD116" s="86" t="e">
        <f t="shared" si="30"/>
        <v>#NUM!</v>
      </c>
      <c r="BE116" s="87" t="e">
        <f t="shared" si="3"/>
        <v>#NUM!</v>
      </c>
      <c r="BF116" s="88">
        <f t="shared" si="112"/>
        <v>0</v>
      </c>
      <c r="BH116" s="87" t="e">
        <f t="shared" si="31"/>
        <v>#NUM!</v>
      </c>
      <c r="BK116" s="95">
        <v>40273</v>
      </c>
      <c r="BL116" s="96">
        <v>37</v>
      </c>
      <c r="BT116" s="51"/>
      <c r="BU116" s="51"/>
      <c r="BV116" s="30"/>
      <c r="BW116" s="107" t="str">
        <f>CONCATENATE(BW114,"&gt;&gt;",BW115)</f>
        <v>1&gt;&gt;5</v>
      </c>
      <c r="BX116" s="107" t="str">
        <f t="shared" ref="BX116:CE116" si="224">CONCATENATE(BX114,"&gt;&gt;",BX115)</f>
        <v>6&gt;&gt;10</v>
      </c>
      <c r="BY116" s="107" t="str">
        <f t="shared" si="224"/>
        <v>11&gt;&gt;14</v>
      </c>
      <c r="BZ116" s="107" t="str">
        <f t="shared" si="224"/>
        <v>15&gt;&gt;23</v>
      </c>
      <c r="CA116" s="107" t="str">
        <f t="shared" si="224"/>
        <v>24&gt;&gt;35</v>
      </c>
      <c r="CB116" s="107" t="str">
        <f t="shared" si="224"/>
        <v>36&gt;&gt;47</v>
      </c>
      <c r="CC116" s="107" t="str">
        <f t="shared" si="224"/>
        <v>48&gt;&gt;59</v>
      </c>
      <c r="CD116" s="107" t="str">
        <f t="shared" si="224"/>
        <v>60&gt;&gt;60</v>
      </c>
      <c r="CE116" s="107" t="str">
        <f t="shared" si="224"/>
        <v>61&gt;&gt;</v>
      </c>
      <c r="CF116" s="107"/>
      <c r="CG116" s="107"/>
      <c r="CY116" s="108" t="str">
        <f t="shared" si="32"/>
        <v/>
      </c>
      <c r="CZ116" s="109" t="str">
        <f t="shared" si="33"/>
        <v/>
      </c>
      <c r="DA116" s="109" t="str">
        <f t="shared" si="34"/>
        <v/>
      </c>
      <c r="DB116" s="110" t="str">
        <f t="shared" si="205"/>
        <v/>
      </c>
      <c r="DD116" s="108" t="str">
        <f t="shared" si="36"/>
        <v/>
      </c>
      <c r="DE116" s="109" t="str">
        <f t="shared" si="114"/>
        <v/>
      </c>
      <c r="DF116" s="109" t="str">
        <f t="shared" si="37"/>
        <v/>
      </c>
      <c r="DG116" s="110" t="str">
        <f t="shared" si="206"/>
        <v/>
      </c>
      <c r="DI116" s="108" t="str">
        <f t="shared" si="115"/>
        <v/>
      </c>
      <c r="DJ116" s="109" t="str">
        <f t="shared" si="116"/>
        <v/>
      </c>
      <c r="DK116" s="109" t="str">
        <f t="shared" si="39"/>
        <v/>
      </c>
      <c r="DL116" s="110" t="str">
        <f t="shared" si="207"/>
        <v/>
      </c>
      <c r="DN116" s="108" t="str">
        <f t="shared" si="41"/>
        <v/>
      </c>
      <c r="DO116" s="109" t="str">
        <f t="shared" si="42"/>
        <v/>
      </c>
      <c r="DP116" s="109" t="str">
        <f t="shared" si="43"/>
        <v/>
      </c>
      <c r="DQ116" s="110" t="str">
        <f t="shared" si="208"/>
        <v/>
      </c>
      <c r="DS116" s="108" t="str">
        <f t="shared" si="117"/>
        <v/>
      </c>
      <c r="DT116" s="109" t="str">
        <f t="shared" si="118"/>
        <v/>
      </c>
      <c r="DU116" s="109" t="str">
        <f t="shared" si="45"/>
        <v/>
      </c>
      <c r="DV116" s="110" t="str">
        <f t="shared" si="209"/>
        <v/>
      </c>
      <c r="DX116" s="108" t="str">
        <f t="shared" si="46"/>
        <v/>
      </c>
      <c r="DY116" s="109" t="str">
        <f t="shared" si="119"/>
        <v/>
      </c>
      <c r="DZ116" s="109" t="str">
        <f t="shared" si="47"/>
        <v/>
      </c>
      <c r="EA116" s="110" t="str">
        <f t="shared" si="210"/>
        <v/>
      </c>
      <c r="EC116" s="108" t="str">
        <f t="shared" si="121"/>
        <v/>
      </c>
      <c r="ED116" s="109" t="str">
        <f t="shared" si="122"/>
        <v/>
      </c>
      <c r="EE116" s="109" t="str">
        <f t="shared" si="48"/>
        <v/>
      </c>
      <c r="EF116" s="110" t="str">
        <f t="shared" si="211"/>
        <v/>
      </c>
      <c r="EH116" s="108" t="str">
        <f t="shared" si="49"/>
        <v/>
      </c>
      <c r="EI116" s="109" t="str">
        <f t="shared" si="123"/>
        <v/>
      </c>
      <c r="EJ116" s="109" t="str">
        <f t="shared" si="50"/>
        <v/>
      </c>
      <c r="EK116" s="110" t="str">
        <f t="shared" si="212"/>
        <v/>
      </c>
      <c r="EM116" s="108" t="str">
        <f t="shared" si="125"/>
        <v/>
      </c>
      <c r="EN116" s="109" t="str">
        <f t="shared" si="126"/>
        <v/>
      </c>
      <c r="EO116" s="109" t="str">
        <f t="shared" si="51"/>
        <v/>
      </c>
      <c r="EP116" s="110" t="str">
        <f t="shared" si="213"/>
        <v/>
      </c>
      <c r="ER116" s="108" t="str">
        <f t="shared" si="52"/>
        <v/>
      </c>
      <c r="ES116" s="109" t="str">
        <f t="shared" si="127"/>
        <v/>
      </c>
      <c r="ET116" s="109" t="str">
        <f t="shared" si="53"/>
        <v/>
      </c>
      <c r="EU116" s="110" t="str">
        <f t="shared" si="214"/>
        <v/>
      </c>
      <c r="EW116" s="108" t="str">
        <f t="shared" si="129"/>
        <v/>
      </c>
      <c r="EX116" s="109" t="str">
        <f t="shared" si="130"/>
        <v/>
      </c>
      <c r="EY116" s="109" t="str">
        <f t="shared" si="54"/>
        <v/>
      </c>
      <c r="EZ116" s="110" t="str">
        <f t="shared" si="215"/>
        <v/>
      </c>
      <c r="FB116" s="108" t="str">
        <f t="shared" si="55"/>
        <v/>
      </c>
      <c r="FC116" s="109" t="str">
        <f t="shared" si="131"/>
        <v/>
      </c>
      <c r="FD116" s="109" t="str">
        <f t="shared" si="56"/>
        <v/>
      </c>
      <c r="FE116" s="110" t="str">
        <f t="shared" si="216"/>
        <v/>
      </c>
      <c r="FG116" s="108" t="str">
        <f t="shared" si="133"/>
        <v/>
      </c>
      <c r="FH116" s="109" t="str">
        <f t="shared" si="134"/>
        <v/>
      </c>
      <c r="FI116" s="109" t="str">
        <f t="shared" si="57"/>
        <v/>
      </c>
      <c r="FJ116" s="110" t="str">
        <f t="shared" si="217"/>
        <v/>
      </c>
      <c r="FL116" s="108" t="str">
        <f t="shared" si="58"/>
        <v/>
      </c>
      <c r="FM116" s="109" t="str">
        <f t="shared" si="135"/>
        <v/>
      </c>
      <c r="FN116" s="109" t="str">
        <f t="shared" si="59"/>
        <v/>
      </c>
      <c r="FO116" s="110" t="str">
        <f t="shared" si="218"/>
        <v/>
      </c>
      <c r="FQ116" s="108" t="str">
        <f t="shared" si="137"/>
        <v/>
      </c>
      <c r="FR116" s="109" t="str">
        <f t="shared" si="138"/>
        <v/>
      </c>
      <c r="FS116" s="109" t="str">
        <f t="shared" si="60"/>
        <v/>
      </c>
      <c r="FT116" s="110" t="str">
        <f t="shared" si="219"/>
        <v/>
      </c>
      <c r="FV116" s="108" t="str">
        <f t="shared" si="61"/>
        <v/>
      </c>
      <c r="FW116" s="109" t="str">
        <f t="shared" si="139"/>
        <v/>
      </c>
      <c r="FX116" s="109" t="str">
        <f t="shared" si="62"/>
        <v/>
      </c>
      <c r="FY116" s="110" t="str">
        <f t="shared" si="220"/>
        <v/>
      </c>
      <c r="GA116" s="108" t="str">
        <f t="shared" si="141"/>
        <v/>
      </c>
      <c r="GB116" s="109" t="str">
        <f t="shared" si="142"/>
        <v/>
      </c>
      <c r="GC116" s="109" t="str">
        <f t="shared" si="63"/>
        <v/>
      </c>
      <c r="GD116" s="110" t="str">
        <f t="shared" si="221"/>
        <v/>
      </c>
      <c r="GF116" s="108" t="str">
        <f t="shared" si="64"/>
        <v/>
      </c>
      <c r="GG116" s="109" t="str">
        <f t="shared" si="143"/>
        <v/>
      </c>
      <c r="GH116" s="109" t="str">
        <f t="shared" si="65"/>
        <v/>
      </c>
      <c r="GI116" s="110" t="str">
        <f t="shared" si="222"/>
        <v/>
      </c>
      <c r="GK116" s="108" t="str">
        <f t="shared" si="145"/>
        <v/>
      </c>
      <c r="GL116" s="109" t="str">
        <f t="shared" si="146"/>
        <v/>
      </c>
      <c r="GM116" s="109" t="str">
        <f t="shared" si="147"/>
        <v/>
      </c>
      <c r="GN116" s="110" t="str">
        <f t="shared" si="223"/>
        <v/>
      </c>
      <c r="GR116" s="108" t="str">
        <f t="shared" si="66"/>
        <v/>
      </c>
      <c r="GS116" s="109" t="str">
        <f t="shared" si="67"/>
        <v/>
      </c>
      <c r="GT116" s="109" t="str">
        <f t="shared" si="68"/>
        <v/>
      </c>
      <c r="GU116" s="110" t="str">
        <f t="shared" si="69"/>
        <v/>
      </c>
      <c r="GV116" s="51"/>
      <c r="GW116" s="108" t="str">
        <f t="shared" si="70"/>
        <v/>
      </c>
      <c r="GX116" s="109" t="str">
        <f t="shared" si="148"/>
        <v/>
      </c>
      <c r="GY116" s="109" t="str">
        <f t="shared" si="71"/>
        <v/>
      </c>
      <c r="GZ116" s="110" t="str">
        <f t="shared" si="72"/>
        <v/>
      </c>
      <c r="HA116" s="51"/>
      <c r="HB116" s="108" t="str">
        <f t="shared" si="149"/>
        <v/>
      </c>
      <c r="HC116" s="109" t="str">
        <f t="shared" si="150"/>
        <v/>
      </c>
      <c r="HD116" s="109" t="str">
        <f t="shared" si="73"/>
        <v/>
      </c>
      <c r="HE116" s="110" t="str">
        <f t="shared" si="151"/>
        <v/>
      </c>
      <c r="HF116" s="51"/>
      <c r="HG116" s="108" t="str">
        <f t="shared" si="74"/>
        <v/>
      </c>
      <c r="HH116" s="109" t="str">
        <f t="shared" si="152"/>
        <v/>
      </c>
      <c r="HI116" s="109" t="str">
        <f t="shared" si="75"/>
        <v/>
      </c>
      <c r="HJ116" s="110" t="str">
        <f t="shared" si="193"/>
        <v/>
      </c>
      <c r="HK116" s="51"/>
      <c r="HL116" s="108" t="str">
        <f t="shared" si="153"/>
        <v/>
      </c>
      <c r="HM116" s="109" t="str">
        <f t="shared" si="154"/>
        <v/>
      </c>
      <c r="HN116" s="109" t="str">
        <f t="shared" si="76"/>
        <v/>
      </c>
      <c r="HO116" s="110" t="str">
        <f t="shared" si="155"/>
        <v/>
      </c>
      <c r="HP116" s="51"/>
      <c r="HQ116" s="108" t="str">
        <f t="shared" si="77"/>
        <v/>
      </c>
      <c r="HR116" s="109" t="str">
        <f t="shared" si="156"/>
        <v/>
      </c>
      <c r="HS116" s="109" t="str">
        <f t="shared" si="78"/>
        <v/>
      </c>
      <c r="HT116" s="110" t="str">
        <f t="shared" si="194"/>
        <v/>
      </c>
      <c r="HU116" s="51"/>
      <c r="HV116" s="108" t="str">
        <f t="shared" si="157"/>
        <v/>
      </c>
      <c r="HW116" s="109" t="str">
        <f t="shared" si="158"/>
        <v/>
      </c>
      <c r="HX116" s="109" t="str">
        <f t="shared" si="79"/>
        <v/>
      </c>
      <c r="HY116" s="110" t="str">
        <f t="shared" si="159"/>
        <v/>
      </c>
      <c r="HZ116" s="51"/>
      <c r="IA116" s="108" t="str">
        <f t="shared" si="80"/>
        <v/>
      </c>
      <c r="IB116" s="109" t="str">
        <f t="shared" si="160"/>
        <v/>
      </c>
      <c r="IC116" s="109" t="str">
        <f t="shared" si="81"/>
        <v/>
      </c>
      <c r="ID116" s="110" t="str">
        <f t="shared" si="195"/>
        <v/>
      </c>
      <c r="IE116" s="51"/>
      <c r="IF116" s="108" t="str">
        <f t="shared" si="161"/>
        <v/>
      </c>
      <c r="IG116" s="109" t="str">
        <f t="shared" si="162"/>
        <v/>
      </c>
      <c r="IH116" s="109" t="str">
        <f t="shared" si="82"/>
        <v/>
      </c>
      <c r="II116" s="110" t="str">
        <f t="shared" si="163"/>
        <v/>
      </c>
      <c r="IJ116" s="51"/>
      <c r="IK116" s="108" t="str">
        <f t="shared" si="83"/>
        <v/>
      </c>
      <c r="IL116" s="109" t="str">
        <f t="shared" si="164"/>
        <v/>
      </c>
      <c r="IM116" s="109" t="str">
        <f t="shared" si="84"/>
        <v/>
      </c>
      <c r="IN116" s="110" t="str">
        <f t="shared" si="196"/>
        <v/>
      </c>
      <c r="IO116" s="51"/>
      <c r="IP116" s="108" t="str">
        <f t="shared" si="165"/>
        <v/>
      </c>
      <c r="IQ116" s="109" t="str">
        <f t="shared" si="166"/>
        <v/>
      </c>
      <c r="IR116" s="109" t="str">
        <f t="shared" si="85"/>
        <v/>
      </c>
      <c r="IS116" s="110" t="str">
        <f t="shared" si="167"/>
        <v/>
      </c>
      <c r="IT116" s="51"/>
      <c r="IU116" s="108" t="str">
        <f t="shared" si="86"/>
        <v/>
      </c>
      <c r="IV116" s="109" t="str">
        <f t="shared" si="168"/>
        <v/>
      </c>
      <c r="IW116" s="109" t="str">
        <f t="shared" si="87"/>
        <v/>
      </c>
      <c r="IX116" s="110" t="str">
        <f t="shared" si="197"/>
        <v/>
      </c>
      <c r="IY116" s="51"/>
      <c r="IZ116" s="108" t="str">
        <f t="shared" si="169"/>
        <v/>
      </c>
      <c r="JA116" s="109" t="str">
        <f t="shared" si="170"/>
        <v/>
      </c>
      <c r="JB116" s="109" t="str">
        <f t="shared" si="88"/>
        <v/>
      </c>
      <c r="JC116" s="110" t="str">
        <f t="shared" si="171"/>
        <v/>
      </c>
      <c r="JD116" s="51"/>
      <c r="JE116" s="108" t="str">
        <f t="shared" si="89"/>
        <v/>
      </c>
      <c r="JF116" s="109" t="str">
        <f t="shared" si="172"/>
        <v/>
      </c>
      <c r="JG116" s="109" t="str">
        <f t="shared" si="90"/>
        <v/>
      </c>
      <c r="JH116" s="110" t="str">
        <f t="shared" si="198"/>
        <v/>
      </c>
      <c r="JI116" s="51"/>
      <c r="JJ116" s="108" t="str">
        <f t="shared" si="173"/>
        <v/>
      </c>
      <c r="JK116" s="109" t="str">
        <f t="shared" si="174"/>
        <v/>
      </c>
      <c r="JL116" s="109" t="str">
        <f t="shared" si="91"/>
        <v/>
      </c>
      <c r="JM116" s="110" t="str">
        <f t="shared" si="175"/>
        <v/>
      </c>
      <c r="JN116" s="51"/>
      <c r="JO116" s="108" t="str">
        <f t="shared" si="92"/>
        <v/>
      </c>
      <c r="JP116" s="109" t="str">
        <f t="shared" si="176"/>
        <v/>
      </c>
      <c r="JQ116" s="109" t="str">
        <f t="shared" si="93"/>
        <v/>
      </c>
      <c r="JR116" s="110" t="str">
        <f t="shared" si="199"/>
        <v/>
      </c>
      <c r="JS116" s="51"/>
      <c r="JT116" s="108" t="str">
        <f t="shared" si="177"/>
        <v/>
      </c>
      <c r="JU116" s="109" t="str">
        <f t="shared" si="178"/>
        <v/>
      </c>
      <c r="JV116" s="109" t="str">
        <f t="shared" si="94"/>
        <v/>
      </c>
      <c r="JW116" s="110" t="str">
        <f t="shared" si="179"/>
        <v/>
      </c>
      <c r="JX116" s="51"/>
      <c r="JY116" s="108" t="str">
        <f t="shared" si="95"/>
        <v/>
      </c>
      <c r="JZ116" s="109" t="str">
        <f t="shared" si="180"/>
        <v/>
      </c>
      <c r="KA116" s="109" t="str">
        <f t="shared" si="96"/>
        <v/>
      </c>
      <c r="KB116" s="110" t="str">
        <f t="shared" si="200"/>
        <v/>
      </c>
      <c r="KC116" s="51"/>
      <c r="KD116" s="108" t="str">
        <f t="shared" si="181"/>
        <v/>
      </c>
      <c r="KE116" s="109" t="str">
        <f t="shared" si="182"/>
        <v/>
      </c>
      <c r="KF116" s="109" t="str">
        <f t="shared" si="97"/>
        <v/>
      </c>
      <c r="KG116" s="110" t="str">
        <f t="shared" si="98"/>
        <v/>
      </c>
    </row>
    <row r="117" spans="1:293" ht="12" customHeight="1">
      <c r="A117" s="105">
        <f t="array" ref="A117">MAX(IF($J$80:J116&gt;0,$C$80:C116,0))</f>
        <v>43535</v>
      </c>
      <c r="B117" s="81" t="str">
        <f t="shared" si="4"/>
        <v/>
      </c>
      <c r="C117" s="82">
        <f t="shared" si="5"/>
        <v>0</v>
      </c>
      <c r="D117" s="83" t="str">
        <f t="shared" si="6"/>
        <v/>
      </c>
      <c r="E117" s="83" t="str">
        <f t="shared" si="99"/>
        <v/>
      </c>
      <c r="F117" s="83" t="str">
        <f t="shared" si="7"/>
        <v/>
      </c>
      <c r="G117" s="83" t="str">
        <f t="shared" si="8"/>
        <v/>
      </c>
      <c r="H117" s="83" t="str">
        <f t="shared" si="9"/>
        <v/>
      </c>
      <c r="I117" s="105">
        <f t="array" ref="I117">MAX(IF($R$80:R116&gt;0,$L$80:L116,0))</f>
        <v>0</v>
      </c>
      <c r="J117" s="106"/>
      <c r="K117" s="2" t="str">
        <f t="shared" si="10"/>
        <v/>
      </c>
      <c r="L117" s="82">
        <f t="shared" si="183"/>
        <v>0</v>
      </c>
      <c r="M117" s="83" t="str">
        <f t="shared" si="11"/>
        <v/>
      </c>
      <c r="N117" s="83" t="str">
        <f t="shared" si="12"/>
        <v/>
      </c>
      <c r="O117" s="83" t="str">
        <f t="shared" si="13"/>
        <v/>
      </c>
      <c r="P117" s="83" t="str">
        <f t="shared" si="14"/>
        <v/>
      </c>
      <c r="Q117" s="83" t="str">
        <f t="shared" si="15"/>
        <v/>
      </c>
      <c r="R117" s="106"/>
      <c r="S117" s="1"/>
      <c r="U117" s="85" t="e">
        <f t="shared" si="0"/>
        <v>#NUM!</v>
      </c>
      <c r="V117" s="86" t="e">
        <f t="shared" si="100"/>
        <v>#NUM!</v>
      </c>
      <c r="W117" s="87" t="e">
        <f t="shared" si="16"/>
        <v>#NUM!</v>
      </c>
      <c r="X117" s="87" t="e">
        <f t="shared" si="17"/>
        <v>#NUM!</v>
      </c>
      <c r="Y117" s="87" t="e">
        <f t="shared" si="18"/>
        <v>#NUM!</v>
      </c>
      <c r="Z117" s="88" t="e">
        <f t="shared" si="1"/>
        <v>#NUM!</v>
      </c>
      <c r="AA117" t="s">
        <v>282</v>
      </c>
      <c r="AB117" s="89">
        <f t="shared" si="101"/>
        <v>0</v>
      </c>
      <c r="AC117" s="87">
        <f t="shared" si="19"/>
        <v>0</v>
      </c>
      <c r="AD117" s="87" t="str">
        <f t="shared" si="20"/>
        <v/>
      </c>
      <c r="AE117" s="87" t="str">
        <f t="shared" si="21"/>
        <v/>
      </c>
      <c r="AF117" s="86">
        <f t="shared" si="102"/>
        <v>0</v>
      </c>
      <c r="AG117" s="87">
        <f t="shared" si="2"/>
        <v>0</v>
      </c>
      <c r="AH117" s="87">
        <f t="shared" si="103"/>
        <v>0</v>
      </c>
      <c r="AI117" s="90"/>
      <c r="AJ117" s="87" t="e">
        <f t="shared" si="22"/>
        <v>#NUM!</v>
      </c>
      <c r="AK117" s="87" t="e">
        <f t="shared" si="104"/>
        <v>#NUM!</v>
      </c>
      <c r="AL117" s="87" t="e">
        <f t="shared" si="105"/>
        <v>#NUM!</v>
      </c>
      <c r="AM117" s="87" t="e">
        <f t="shared" si="106"/>
        <v>#NUM!</v>
      </c>
      <c r="AN117" s="86">
        <f t="shared" si="23"/>
        <v>0</v>
      </c>
      <c r="AO117" s="87">
        <f t="shared" si="24"/>
        <v>0</v>
      </c>
      <c r="AP117" s="88">
        <f t="shared" si="25"/>
        <v>0</v>
      </c>
      <c r="AR117" s="91">
        <f t="shared" si="26"/>
        <v>0</v>
      </c>
      <c r="AS117" s="92">
        <f t="shared" si="27"/>
        <v>0</v>
      </c>
      <c r="AT117" s="87" t="str">
        <f t="shared" si="28"/>
        <v/>
      </c>
      <c r="AU117" s="87" t="str">
        <f t="shared" si="29"/>
        <v/>
      </c>
      <c r="AV117" s="86">
        <f t="shared" si="107"/>
        <v>0</v>
      </c>
      <c r="AW117" s="87">
        <f t="shared" si="108"/>
        <v>0</v>
      </c>
      <c r="AX117" s="87">
        <f t="shared" si="109"/>
        <v>0</v>
      </c>
      <c r="AY117" s="93"/>
      <c r="AZ117" s="87">
        <f t="shared" si="201"/>
        <v>0</v>
      </c>
      <c r="BA117" s="87">
        <f t="shared" si="110"/>
        <v>0</v>
      </c>
      <c r="BB117" s="87">
        <f t="shared" si="111"/>
        <v>0</v>
      </c>
      <c r="BC117" s="87">
        <f t="shared" si="184"/>
        <v>0</v>
      </c>
      <c r="BD117" s="86" t="e">
        <f t="shared" si="30"/>
        <v>#NUM!</v>
      </c>
      <c r="BE117" s="87" t="e">
        <f t="shared" si="3"/>
        <v>#NUM!</v>
      </c>
      <c r="BF117" s="88">
        <f t="shared" si="112"/>
        <v>0</v>
      </c>
      <c r="BH117" s="87" t="e">
        <f t="shared" si="31"/>
        <v>#NUM!</v>
      </c>
      <c r="BI117" s="116"/>
      <c r="BK117" s="95">
        <v>40277</v>
      </c>
      <c r="BL117" s="96">
        <v>38</v>
      </c>
      <c r="BT117">
        <v>0</v>
      </c>
      <c r="BU117">
        <v>999.99</v>
      </c>
      <c r="BV117" s="51" t="str">
        <f>CONCATENATE(BT117,"-",BU117)</f>
        <v>0-999.99</v>
      </c>
      <c r="BW117" s="30" t="s">
        <v>497</v>
      </c>
      <c r="BX117" s="30" t="s">
        <v>497</v>
      </c>
      <c r="BY117" s="30" t="s">
        <v>497</v>
      </c>
      <c r="BZ117" s="30" t="s">
        <v>497</v>
      </c>
      <c r="CA117" s="30" t="s">
        <v>497</v>
      </c>
      <c r="CB117" s="30" t="s">
        <v>497</v>
      </c>
      <c r="CC117" s="30" t="s">
        <v>497</v>
      </c>
      <c r="CD117" s="30" t="s">
        <v>497</v>
      </c>
      <c r="CE117" s="30" t="s">
        <v>497</v>
      </c>
      <c r="CF117" s="30" t="s">
        <v>497</v>
      </c>
      <c r="CG117" s="30" t="s">
        <v>497</v>
      </c>
      <c r="CY117" s="108" t="str">
        <f t="shared" si="32"/>
        <v/>
      </c>
      <c r="CZ117" s="109" t="str">
        <f t="shared" si="33"/>
        <v/>
      </c>
      <c r="DA117" s="109" t="str">
        <f t="shared" si="34"/>
        <v/>
      </c>
      <c r="DB117" s="110" t="str">
        <f t="shared" si="205"/>
        <v/>
      </c>
      <c r="DD117" s="108" t="str">
        <f t="shared" si="36"/>
        <v/>
      </c>
      <c r="DE117" s="109" t="str">
        <f t="shared" si="114"/>
        <v/>
      </c>
      <c r="DF117" s="109" t="str">
        <f t="shared" si="37"/>
        <v/>
      </c>
      <c r="DG117" s="110" t="str">
        <f t="shared" si="206"/>
        <v/>
      </c>
      <c r="DI117" s="108" t="str">
        <f t="shared" si="115"/>
        <v/>
      </c>
      <c r="DJ117" s="109" t="str">
        <f t="shared" si="116"/>
        <v/>
      </c>
      <c r="DK117" s="109" t="str">
        <f t="shared" si="39"/>
        <v/>
      </c>
      <c r="DL117" s="110" t="str">
        <f t="shared" si="207"/>
        <v/>
      </c>
      <c r="DN117" s="108" t="str">
        <f t="shared" si="41"/>
        <v/>
      </c>
      <c r="DO117" s="109" t="str">
        <f t="shared" si="42"/>
        <v/>
      </c>
      <c r="DP117" s="109" t="str">
        <f t="shared" si="43"/>
        <v/>
      </c>
      <c r="DQ117" s="110" t="str">
        <f t="shared" si="208"/>
        <v/>
      </c>
      <c r="DS117" s="108" t="str">
        <f t="shared" si="117"/>
        <v/>
      </c>
      <c r="DT117" s="109" t="str">
        <f t="shared" si="118"/>
        <v/>
      </c>
      <c r="DU117" s="109" t="str">
        <f t="shared" si="45"/>
        <v/>
      </c>
      <c r="DV117" s="110" t="str">
        <f t="shared" si="209"/>
        <v/>
      </c>
      <c r="DX117" s="108" t="str">
        <f t="shared" si="46"/>
        <v/>
      </c>
      <c r="DY117" s="109" t="str">
        <f t="shared" si="119"/>
        <v/>
      </c>
      <c r="DZ117" s="109" t="str">
        <f t="shared" si="47"/>
        <v/>
      </c>
      <c r="EA117" s="110" t="str">
        <f t="shared" si="210"/>
        <v/>
      </c>
      <c r="EC117" s="108" t="str">
        <f t="shared" si="121"/>
        <v/>
      </c>
      <c r="ED117" s="109" t="str">
        <f t="shared" si="122"/>
        <v/>
      </c>
      <c r="EE117" s="109" t="str">
        <f t="shared" si="48"/>
        <v/>
      </c>
      <c r="EF117" s="110" t="str">
        <f t="shared" si="211"/>
        <v/>
      </c>
      <c r="EH117" s="108" t="str">
        <f t="shared" si="49"/>
        <v/>
      </c>
      <c r="EI117" s="109" t="str">
        <f t="shared" si="123"/>
        <v/>
      </c>
      <c r="EJ117" s="109" t="str">
        <f t="shared" si="50"/>
        <v/>
      </c>
      <c r="EK117" s="110" t="str">
        <f t="shared" si="212"/>
        <v/>
      </c>
      <c r="EM117" s="108" t="str">
        <f t="shared" si="125"/>
        <v/>
      </c>
      <c r="EN117" s="109" t="str">
        <f t="shared" si="126"/>
        <v/>
      </c>
      <c r="EO117" s="109" t="str">
        <f t="shared" si="51"/>
        <v/>
      </c>
      <c r="EP117" s="110" t="str">
        <f t="shared" si="213"/>
        <v/>
      </c>
      <c r="ER117" s="108" t="str">
        <f t="shared" si="52"/>
        <v/>
      </c>
      <c r="ES117" s="109" t="str">
        <f t="shared" si="127"/>
        <v/>
      </c>
      <c r="ET117" s="109" t="str">
        <f t="shared" si="53"/>
        <v/>
      </c>
      <c r="EU117" s="110" t="str">
        <f t="shared" si="214"/>
        <v/>
      </c>
      <c r="EW117" s="108" t="str">
        <f t="shared" si="129"/>
        <v/>
      </c>
      <c r="EX117" s="109" t="str">
        <f t="shared" si="130"/>
        <v/>
      </c>
      <c r="EY117" s="109" t="str">
        <f t="shared" si="54"/>
        <v/>
      </c>
      <c r="EZ117" s="110" t="str">
        <f t="shared" si="215"/>
        <v/>
      </c>
      <c r="FB117" s="108" t="str">
        <f t="shared" si="55"/>
        <v/>
      </c>
      <c r="FC117" s="109" t="str">
        <f t="shared" si="131"/>
        <v/>
      </c>
      <c r="FD117" s="109" t="str">
        <f t="shared" si="56"/>
        <v/>
      </c>
      <c r="FE117" s="110" t="str">
        <f t="shared" si="216"/>
        <v/>
      </c>
      <c r="FG117" s="108" t="str">
        <f t="shared" si="133"/>
        <v/>
      </c>
      <c r="FH117" s="109" t="str">
        <f t="shared" si="134"/>
        <v/>
      </c>
      <c r="FI117" s="109" t="str">
        <f t="shared" si="57"/>
        <v/>
      </c>
      <c r="FJ117" s="110" t="str">
        <f t="shared" si="217"/>
        <v/>
      </c>
      <c r="FL117" s="108" t="str">
        <f t="shared" si="58"/>
        <v/>
      </c>
      <c r="FM117" s="109" t="str">
        <f t="shared" si="135"/>
        <v/>
      </c>
      <c r="FN117" s="109" t="str">
        <f t="shared" si="59"/>
        <v/>
      </c>
      <c r="FO117" s="110" t="str">
        <f t="shared" si="218"/>
        <v/>
      </c>
      <c r="FQ117" s="108" t="str">
        <f t="shared" si="137"/>
        <v/>
      </c>
      <c r="FR117" s="109" t="str">
        <f t="shared" si="138"/>
        <v/>
      </c>
      <c r="FS117" s="109" t="str">
        <f t="shared" si="60"/>
        <v/>
      </c>
      <c r="FT117" s="110" t="str">
        <f t="shared" si="219"/>
        <v/>
      </c>
      <c r="FV117" s="108" t="str">
        <f t="shared" si="61"/>
        <v/>
      </c>
      <c r="FW117" s="109" t="str">
        <f t="shared" si="139"/>
        <v/>
      </c>
      <c r="FX117" s="109" t="str">
        <f t="shared" si="62"/>
        <v/>
      </c>
      <c r="FY117" s="110" t="str">
        <f t="shared" si="220"/>
        <v/>
      </c>
      <c r="GA117" s="108" t="str">
        <f t="shared" si="141"/>
        <v/>
      </c>
      <c r="GB117" s="109" t="str">
        <f t="shared" si="142"/>
        <v/>
      </c>
      <c r="GC117" s="109" t="str">
        <f t="shared" si="63"/>
        <v/>
      </c>
      <c r="GD117" s="110" t="str">
        <f t="shared" si="221"/>
        <v/>
      </c>
      <c r="GF117" s="108" t="str">
        <f t="shared" si="64"/>
        <v/>
      </c>
      <c r="GG117" s="109" t="str">
        <f t="shared" si="143"/>
        <v/>
      </c>
      <c r="GH117" s="109" t="str">
        <f t="shared" si="65"/>
        <v/>
      </c>
      <c r="GI117" s="110" t="str">
        <f t="shared" si="222"/>
        <v/>
      </c>
      <c r="GK117" s="108" t="str">
        <f t="shared" si="145"/>
        <v/>
      </c>
      <c r="GL117" s="109" t="str">
        <f t="shared" si="146"/>
        <v/>
      </c>
      <c r="GM117" s="109" t="str">
        <f t="shared" si="147"/>
        <v/>
      </c>
      <c r="GN117" s="110" t="str">
        <f t="shared" si="223"/>
        <v/>
      </c>
      <c r="GR117" s="108" t="str">
        <f t="shared" si="66"/>
        <v/>
      </c>
      <c r="GS117" s="109" t="str">
        <f t="shared" si="67"/>
        <v/>
      </c>
      <c r="GT117" s="109" t="str">
        <f t="shared" si="68"/>
        <v/>
      </c>
      <c r="GU117" s="110" t="str">
        <f t="shared" si="69"/>
        <v/>
      </c>
      <c r="GV117" s="51"/>
      <c r="GW117" s="108" t="str">
        <f t="shared" si="70"/>
        <v/>
      </c>
      <c r="GX117" s="109" t="str">
        <f t="shared" si="148"/>
        <v/>
      </c>
      <c r="GY117" s="109" t="str">
        <f t="shared" si="71"/>
        <v/>
      </c>
      <c r="GZ117" s="110" t="str">
        <f t="shared" si="72"/>
        <v/>
      </c>
      <c r="HA117" s="51"/>
      <c r="HB117" s="108" t="str">
        <f t="shared" si="149"/>
        <v/>
      </c>
      <c r="HC117" s="109" t="str">
        <f t="shared" si="150"/>
        <v/>
      </c>
      <c r="HD117" s="109" t="str">
        <f t="shared" si="73"/>
        <v/>
      </c>
      <c r="HE117" s="110" t="str">
        <f t="shared" si="151"/>
        <v/>
      </c>
      <c r="HF117" s="51"/>
      <c r="HG117" s="108" t="str">
        <f t="shared" si="74"/>
        <v/>
      </c>
      <c r="HH117" s="109" t="str">
        <f t="shared" si="152"/>
        <v/>
      </c>
      <c r="HI117" s="109" t="str">
        <f t="shared" si="75"/>
        <v/>
      </c>
      <c r="HJ117" s="110" t="str">
        <f t="shared" si="193"/>
        <v/>
      </c>
      <c r="HK117" s="51"/>
      <c r="HL117" s="108" t="str">
        <f t="shared" si="153"/>
        <v/>
      </c>
      <c r="HM117" s="109" t="str">
        <f t="shared" si="154"/>
        <v/>
      </c>
      <c r="HN117" s="109" t="str">
        <f t="shared" si="76"/>
        <v/>
      </c>
      <c r="HO117" s="110" t="str">
        <f t="shared" si="155"/>
        <v/>
      </c>
      <c r="HP117" s="51"/>
      <c r="HQ117" s="108" t="str">
        <f t="shared" si="77"/>
        <v/>
      </c>
      <c r="HR117" s="109" t="str">
        <f t="shared" si="156"/>
        <v/>
      </c>
      <c r="HS117" s="109" t="str">
        <f t="shared" si="78"/>
        <v/>
      </c>
      <c r="HT117" s="110" t="str">
        <f t="shared" si="194"/>
        <v/>
      </c>
      <c r="HU117" s="51"/>
      <c r="HV117" s="108" t="str">
        <f t="shared" si="157"/>
        <v/>
      </c>
      <c r="HW117" s="109" t="str">
        <f t="shared" si="158"/>
        <v/>
      </c>
      <c r="HX117" s="109" t="str">
        <f t="shared" si="79"/>
        <v/>
      </c>
      <c r="HY117" s="110" t="str">
        <f t="shared" si="159"/>
        <v/>
      </c>
      <c r="HZ117" s="51"/>
      <c r="IA117" s="108" t="str">
        <f t="shared" si="80"/>
        <v/>
      </c>
      <c r="IB117" s="109" t="str">
        <f t="shared" si="160"/>
        <v/>
      </c>
      <c r="IC117" s="109" t="str">
        <f t="shared" si="81"/>
        <v/>
      </c>
      <c r="ID117" s="110" t="str">
        <f t="shared" si="195"/>
        <v/>
      </c>
      <c r="IE117" s="51"/>
      <c r="IF117" s="108" t="str">
        <f t="shared" si="161"/>
        <v/>
      </c>
      <c r="IG117" s="109" t="str">
        <f t="shared" si="162"/>
        <v/>
      </c>
      <c r="IH117" s="109" t="str">
        <f t="shared" si="82"/>
        <v/>
      </c>
      <c r="II117" s="110" t="str">
        <f t="shared" si="163"/>
        <v/>
      </c>
      <c r="IJ117" s="51"/>
      <c r="IK117" s="108" t="str">
        <f t="shared" si="83"/>
        <v/>
      </c>
      <c r="IL117" s="109" t="str">
        <f t="shared" si="164"/>
        <v/>
      </c>
      <c r="IM117" s="109" t="str">
        <f t="shared" si="84"/>
        <v/>
      </c>
      <c r="IN117" s="110" t="str">
        <f t="shared" si="196"/>
        <v/>
      </c>
      <c r="IO117" s="51"/>
      <c r="IP117" s="108" t="str">
        <f t="shared" si="165"/>
        <v/>
      </c>
      <c r="IQ117" s="109" t="str">
        <f t="shared" si="166"/>
        <v/>
      </c>
      <c r="IR117" s="109" t="str">
        <f t="shared" si="85"/>
        <v/>
      </c>
      <c r="IS117" s="110" t="str">
        <f t="shared" si="167"/>
        <v/>
      </c>
      <c r="IT117" s="51"/>
      <c r="IU117" s="108" t="str">
        <f t="shared" si="86"/>
        <v/>
      </c>
      <c r="IV117" s="109" t="str">
        <f t="shared" si="168"/>
        <v/>
      </c>
      <c r="IW117" s="109" t="str">
        <f t="shared" si="87"/>
        <v/>
      </c>
      <c r="IX117" s="110" t="str">
        <f t="shared" si="197"/>
        <v/>
      </c>
      <c r="IY117" s="51"/>
      <c r="IZ117" s="108" t="str">
        <f t="shared" si="169"/>
        <v/>
      </c>
      <c r="JA117" s="109" t="str">
        <f t="shared" si="170"/>
        <v/>
      </c>
      <c r="JB117" s="109" t="str">
        <f t="shared" si="88"/>
        <v/>
      </c>
      <c r="JC117" s="110" t="str">
        <f t="shared" si="171"/>
        <v/>
      </c>
      <c r="JD117" s="51"/>
      <c r="JE117" s="108" t="str">
        <f t="shared" si="89"/>
        <v/>
      </c>
      <c r="JF117" s="109" t="str">
        <f t="shared" si="172"/>
        <v/>
      </c>
      <c r="JG117" s="109" t="str">
        <f t="shared" si="90"/>
        <v/>
      </c>
      <c r="JH117" s="110" t="str">
        <f t="shared" si="198"/>
        <v/>
      </c>
      <c r="JI117" s="51"/>
      <c r="JJ117" s="108" t="str">
        <f t="shared" si="173"/>
        <v/>
      </c>
      <c r="JK117" s="109" t="str">
        <f t="shared" si="174"/>
        <v/>
      </c>
      <c r="JL117" s="109" t="str">
        <f t="shared" si="91"/>
        <v/>
      </c>
      <c r="JM117" s="110" t="str">
        <f t="shared" si="175"/>
        <v/>
      </c>
      <c r="JN117" s="51"/>
      <c r="JO117" s="108" t="str">
        <f t="shared" si="92"/>
        <v/>
      </c>
      <c r="JP117" s="109" t="str">
        <f t="shared" si="176"/>
        <v/>
      </c>
      <c r="JQ117" s="109" t="str">
        <f t="shared" si="93"/>
        <v/>
      </c>
      <c r="JR117" s="110" t="str">
        <f t="shared" si="199"/>
        <v/>
      </c>
      <c r="JS117" s="51"/>
      <c r="JT117" s="108" t="str">
        <f t="shared" si="177"/>
        <v/>
      </c>
      <c r="JU117" s="109" t="str">
        <f t="shared" si="178"/>
        <v/>
      </c>
      <c r="JV117" s="109" t="str">
        <f t="shared" si="94"/>
        <v/>
      </c>
      <c r="JW117" s="110" t="str">
        <f t="shared" si="179"/>
        <v/>
      </c>
      <c r="JX117" s="51"/>
      <c r="JY117" s="108" t="str">
        <f t="shared" si="95"/>
        <v/>
      </c>
      <c r="JZ117" s="109" t="str">
        <f t="shared" si="180"/>
        <v/>
      </c>
      <c r="KA117" s="109" t="str">
        <f t="shared" si="96"/>
        <v/>
      </c>
      <c r="KB117" s="110" t="str">
        <f t="shared" si="200"/>
        <v/>
      </c>
      <c r="KC117" s="51"/>
      <c r="KD117" s="108" t="str">
        <f t="shared" si="181"/>
        <v/>
      </c>
      <c r="KE117" s="109" t="str">
        <f t="shared" si="182"/>
        <v/>
      </c>
      <c r="KF117" s="109" t="str">
        <f t="shared" si="97"/>
        <v/>
      </c>
      <c r="KG117" s="110" t="str">
        <f t="shared" si="98"/>
        <v/>
      </c>
    </row>
    <row r="118" spans="1:293" ht="12" customHeight="1">
      <c r="A118" s="105">
        <f t="array" ref="A118">MAX(IF($J$80:J117&gt;0,$C$80:C117,0))</f>
        <v>43535</v>
      </c>
      <c r="B118" s="81" t="str">
        <f t="shared" si="4"/>
        <v/>
      </c>
      <c r="C118" s="82">
        <f t="shared" si="5"/>
        <v>0</v>
      </c>
      <c r="D118" s="83" t="str">
        <f t="shared" si="6"/>
        <v/>
      </c>
      <c r="E118" s="83" t="str">
        <f t="shared" si="99"/>
        <v/>
      </c>
      <c r="F118" s="83" t="str">
        <f t="shared" si="7"/>
        <v/>
      </c>
      <c r="G118" s="83" t="str">
        <f t="shared" si="8"/>
        <v/>
      </c>
      <c r="H118" s="83" t="str">
        <f t="shared" si="9"/>
        <v/>
      </c>
      <c r="I118" s="105">
        <f t="array" ref="I118">MAX(IF($R$80:R117&gt;0,$L$80:L117,0))</f>
        <v>0</v>
      </c>
      <c r="J118" s="106"/>
      <c r="K118" s="2" t="str">
        <f t="shared" si="10"/>
        <v/>
      </c>
      <c r="L118" s="82">
        <f t="shared" si="183"/>
        <v>0</v>
      </c>
      <c r="M118" s="83" t="str">
        <f t="shared" si="11"/>
        <v/>
      </c>
      <c r="N118" s="83" t="str">
        <f t="shared" si="12"/>
        <v/>
      </c>
      <c r="O118" s="83" t="str">
        <f t="shared" si="13"/>
        <v/>
      </c>
      <c r="P118" s="83" t="str">
        <f t="shared" si="14"/>
        <v/>
      </c>
      <c r="Q118" s="83" t="str">
        <f t="shared" si="15"/>
        <v/>
      </c>
      <c r="R118" s="106"/>
      <c r="S118" s="1"/>
      <c r="U118" s="85" t="e">
        <f t="shared" si="0"/>
        <v>#NUM!</v>
      </c>
      <c r="V118" s="86" t="e">
        <f t="shared" si="100"/>
        <v>#NUM!</v>
      </c>
      <c r="W118" s="87" t="e">
        <f t="shared" si="16"/>
        <v>#NUM!</v>
      </c>
      <c r="X118" s="87" t="e">
        <f t="shared" si="17"/>
        <v>#NUM!</v>
      </c>
      <c r="Y118" s="87" t="e">
        <f t="shared" si="18"/>
        <v>#NUM!</v>
      </c>
      <c r="Z118" s="88" t="e">
        <f t="shared" si="1"/>
        <v>#NUM!</v>
      </c>
      <c r="AA118" t="s">
        <v>282</v>
      </c>
      <c r="AB118" s="89">
        <f t="shared" si="101"/>
        <v>0</v>
      </c>
      <c r="AC118" s="87">
        <f t="shared" si="19"/>
        <v>0</v>
      </c>
      <c r="AD118" s="87" t="str">
        <f t="shared" si="20"/>
        <v/>
      </c>
      <c r="AE118" s="87" t="str">
        <f t="shared" si="21"/>
        <v/>
      </c>
      <c r="AF118" s="86">
        <f t="shared" si="102"/>
        <v>0</v>
      </c>
      <c r="AG118" s="87">
        <f t="shared" si="2"/>
        <v>0</v>
      </c>
      <c r="AH118" s="87">
        <f t="shared" si="103"/>
        <v>0</v>
      </c>
      <c r="AI118" s="90"/>
      <c r="AJ118" s="87" t="e">
        <f t="shared" si="22"/>
        <v>#NUM!</v>
      </c>
      <c r="AK118" s="87" t="e">
        <f t="shared" si="104"/>
        <v>#NUM!</v>
      </c>
      <c r="AL118" s="87" t="e">
        <f t="shared" si="105"/>
        <v>#NUM!</v>
      </c>
      <c r="AM118" s="87" t="e">
        <f t="shared" si="106"/>
        <v>#NUM!</v>
      </c>
      <c r="AN118" s="86">
        <f t="shared" si="23"/>
        <v>0</v>
      </c>
      <c r="AO118" s="87">
        <f t="shared" si="24"/>
        <v>0</v>
      </c>
      <c r="AP118" s="88">
        <f t="shared" si="25"/>
        <v>0</v>
      </c>
      <c r="AR118" s="91">
        <f t="shared" si="26"/>
        <v>0</v>
      </c>
      <c r="AS118" s="92">
        <f t="shared" si="27"/>
        <v>0</v>
      </c>
      <c r="AT118" s="87" t="str">
        <f t="shared" si="28"/>
        <v/>
      </c>
      <c r="AU118" s="87" t="str">
        <f t="shared" si="29"/>
        <v/>
      </c>
      <c r="AV118" s="86">
        <f t="shared" si="107"/>
        <v>0</v>
      </c>
      <c r="AW118" s="87">
        <f t="shared" si="108"/>
        <v>0</v>
      </c>
      <c r="AX118" s="87">
        <f t="shared" si="109"/>
        <v>0</v>
      </c>
      <c r="AY118" s="93"/>
      <c r="AZ118" s="87">
        <f t="shared" si="201"/>
        <v>0</v>
      </c>
      <c r="BA118" s="87">
        <f t="shared" si="110"/>
        <v>0</v>
      </c>
      <c r="BB118" s="87">
        <f t="shared" si="111"/>
        <v>0</v>
      </c>
      <c r="BC118" s="87">
        <f t="shared" si="184"/>
        <v>0</v>
      </c>
      <c r="BD118" s="86" t="e">
        <f t="shared" si="30"/>
        <v>#NUM!</v>
      </c>
      <c r="BE118" s="87" t="e">
        <f t="shared" si="3"/>
        <v>#NUM!</v>
      </c>
      <c r="BF118" s="88">
        <f t="shared" si="112"/>
        <v>0</v>
      </c>
      <c r="BH118" s="87" t="e">
        <f t="shared" si="31"/>
        <v>#NUM!</v>
      </c>
      <c r="BK118" s="95">
        <v>40307</v>
      </c>
      <c r="BL118" s="96">
        <v>39</v>
      </c>
      <c r="BT118" s="51">
        <v>1000</v>
      </c>
      <c r="BU118" s="51">
        <v>10000</v>
      </c>
      <c r="BV118" s="51" t="str">
        <f>CONCATENATE(BT118,"-",BU118)</f>
        <v>1000-10000</v>
      </c>
      <c r="BW118" s="30" t="s">
        <v>497</v>
      </c>
      <c r="BX118" s="30" t="s">
        <v>497</v>
      </c>
      <c r="BY118" s="107">
        <v>0.27</v>
      </c>
      <c r="BZ118" s="107">
        <v>0.29499999999999998</v>
      </c>
      <c r="CA118" s="107">
        <v>0.32</v>
      </c>
      <c r="CB118" s="107">
        <v>0.33</v>
      </c>
      <c r="CC118" s="107">
        <v>0.33500000000000002</v>
      </c>
      <c r="CD118" s="107">
        <v>0.33999999999999997</v>
      </c>
      <c r="CE118" s="30" t="s">
        <v>497</v>
      </c>
      <c r="CF118" s="107">
        <v>0.04</v>
      </c>
      <c r="CG118" s="107">
        <v>6.0000000000000001E-3</v>
      </c>
      <c r="CY118" s="108" t="str">
        <f t="shared" si="32"/>
        <v/>
      </c>
      <c r="CZ118" s="109" t="str">
        <f t="shared" si="33"/>
        <v/>
      </c>
      <c r="DA118" s="109" t="str">
        <f t="shared" si="34"/>
        <v/>
      </c>
      <c r="DB118" s="110" t="str">
        <f t="shared" si="205"/>
        <v/>
      </c>
      <c r="DD118" s="108" t="str">
        <f t="shared" si="36"/>
        <v/>
      </c>
      <c r="DE118" s="109" t="str">
        <f t="shared" si="114"/>
        <v/>
      </c>
      <c r="DF118" s="109" t="str">
        <f t="shared" si="37"/>
        <v/>
      </c>
      <c r="DG118" s="110" t="str">
        <f t="shared" si="206"/>
        <v/>
      </c>
      <c r="DI118" s="108" t="str">
        <f t="shared" si="115"/>
        <v/>
      </c>
      <c r="DJ118" s="109" t="str">
        <f t="shared" si="116"/>
        <v/>
      </c>
      <c r="DK118" s="109" t="str">
        <f t="shared" si="39"/>
        <v/>
      </c>
      <c r="DL118" s="110" t="str">
        <f t="shared" si="207"/>
        <v/>
      </c>
      <c r="DN118" s="108" t="str">
        <f t="shared" si="41"/>
        <v/>
      </c>
      <c r="DO118" s="109" t="str">
        <f t="shared" si="42"/>
        <v/>
      </c>
      <c r="DP118" s="109" t="str">
        <f t="shared" si="43"/>
        <v/>
      </c>
      <c r="DQ118" s="110" t="str">
        <f t="shared" si="208"/>
        <v/>
      </c>
      <c r="DS118" s="108" t="str">
        <f t="shared" si="117"/>
        <v/>
      </c>
      <c r="DT118" s="109" t="str">
        <f t="shared" si="118"/>
        <v/>
      </c>
      <c r="DU118" s="109" t="str">
        <f t="shared" si="45"/>
        <v/>
      </c>
      <c r="DV118" s="110" t="str">
        <f t="shared" si="209"/>
        <v/>
      </c>
      <c r="DX118" s="108" t="str">
        <f t="shared" si="46"/>
        <v/>
      </c>
      <c r="DY118" s="109" t="str">
        <f t="shared" si="119"/>
        <v/>
      </c>
      <c r="DZ118" s="109" t="str">
        <f t="shared" si="47"/>
        <v/>
      </c>
      <c r="EA118" s="110" t="str">
        <f t="shared" si="210"/>
        <v/>
      </c>
      <c r="EC118" s="108" t="str">
        <f t="shared" si="121"/>
        <v/>
      </c>
      <c r="ED118" s="109" t="str">
        <f t="shared" si="122"/>
        <v/>
      </c>
      <c r="EE118" s="109" t="str">
        <f t="shared" si="48"/>
        <v/>
      </c>
      <c r="EF118" s="110" t="str">
        <f t="shared" si="211"/>
        <v/>
      </c>
      <c r="EH118" s="108" t="str">
        <f t="shared" si="49"/>
        <v/>
      </c>
      <c r="EI118" s="109" t="str">
        <f t="shared" si="123"/>
        <v/>
      </c>
      <c r="EJ118" s="109" t="str">
        <f t="shared" si="50"/>
        <v/>
      </c>
      <c r="EK118" s="110" t="str">
        <f t="shared" si="212"/>
        <v/>
      </c>
      <c r="EM118" s="108" t="str">
        <f t="shared" si="125"/>
        <v/>
      </c>
      <c r="EN118" s="109" t="str">
        <f t="shared" si="126"/>
        <v/>
      </c>
      <c r="EO118" s="109" t="str">
        <f t="shared" si="51"/>
        <v/>
      </c>
      <c r="EP118" s="110" t="str">
        <f t="shared" si="213"/>
        <v/>
      </c>
      <c r="ER118" s="108" t="str">
        <f t="shared" si="52"/>
        <v/>
      </c>
      <c r="ES118" s="109" t="str">
        <f t="shared" si="127"/>
        <v/>
      </c>
      <c r="ET118" s="109" t="str">
        <f t="shared" si="53"/>
        <v/>
      </c>
      <c r="EU118" s="110" t="str">
        <f t="shared" si="214"/>
        <v/>
      </c>
      <c r="EW118" s="108" t="str">
        <f t="shared" si="129"/>
        <v/>
      </c>
      <c r="EX118" s="109" t="str">
        <f t="shared" si="130"/>
        <v/>
      </c>
      <c r="EY118" s="109" t="str">
        <f t="shared" si="54"/>
        <v/>
      </c>
      <c r="EZ118" s="110" t="str">
        <f t="shared" si="215"/>
        <v/>
      </c>
      <c r="FB118" s="108" t="str">
        <f t="shared" si="55"/>
        <v/>
      </c>
      <c r="FC118" s="109" t="str">
        <f t="shared" si="131"/>
        <v/>
      </c>
      <c r="FD118" s="109" t="str">
        <f t="shared" si="56"/>
        <v/>
      </c>
      <c r="FE118" s="110" t="str">
        <f t="shared" si="216"/>
        <v/>
      </c>
      <c r="FG118" s="108" t="str">
        <f t="shared" si="133"/>
        <v/>
      </c>
      <c r="FH118" s="109" t="str">
        <f t="shared" si="134"/>
        <v/>
      </c>
      <c r="FI118" s="109" t="str">
        <f t="shared" si="57"/>
        <v/>
      </c>
      <c r="FJ118" s="110" t="str">
        <f t="shared" si="217"/>
        <v/>
      </c>
      <c r="FL118" s="108" t="str">
        <f t="shared" si="58"/>
        <v/>
      </c>
      <c r="FM118" s="109" t="str">
        <f t="shared" si="135"/>
        <v/>
      </c>
      <c r="FN118" s="109" t="str">
        <f t="shared" si="59"/>
        <v/>
      </c>
      <c r="FO118" s="110" t="str">
        <f t="shared" si="218"/>
        <v/>
      </c>
      <c r="FQ118" s="108" t="str">
        <f t="shared" si="137"/>
        <v/>
      </c>
      <c r="FR118" s="109" t="str">
        <f t="shared" si="138"/>
        <v/>
      </c>
      <c r="FS118" s="109" t="str">
        <f t="shared" si="60"/>
        <v/>
      </c>
      <c r="FT118" s="110" t="str">
        <f t="shared" si="219"/>
        <v/>
      </c>
      <c r="FV118" s="108" t="str">
        <f t="shared" si="61"/>
        <v/>
      </c>
      <c r="FW118" s="109" t="str">
        <f t="shared" si="139"/>
        <v/>
      </c>
      <c r="FX118" s="109" t="str">
        <f t="shared" si="62"/>
        <v/>
      </c>
      <c r="FY118" s="110" t="str">
        <f t="shared" si="220"/>
        <v/>
      </c>
      <c r="GA118" s="108" t="str">
        <f t="shared" si="141"/>
        <v/>
      </c>
      <c r="GB118" s="109" t="str">
        <f t="shared" si="142"/>
        <v/>
      </c>
      <c r="GC118" s="109" t="str">
        <f t="shared" si="63"/>
        <v/>
      </c>
      <c r="GD118" s="110" t="str">
        <f t="shared" si="221"/>
        <v/>
      </c>
      <c r="GF118" s="108" t="str">
        <f t="shared" si="64"/>
        <v/>
      </c>
      <c r="GG118" s="109" t="str">
        <f t="shared" si="143"/>
        <v/>
      </c>
      <c r="GH118" s="109" t="str">
        <f t="shared" si="65"/>
        <v/>
      </c>
      <c r="GI118" s="110" t="str">
        <f t="shared" si="222"/>
        <v/>
      </c>
      <c r="GK118" s="108" t="str">
        <f t="shared" si="145"/>
        <v/>
      </c>
      <c r="GL118" s="109" t="str">
        <f t="shared" si="146"/>
        <v/>
      </c>
      <c r="GM118" s="109" t="str">
        <f t="shared" si="147"/>
        <v/>
      </c>
      <c r="GN118" s="110" t="str">
        <f t="shared" si="223"/>
        <v/>
      </c>
      <c r="GR118" s="108" t="str">
        <f t="shared" si="66"/>
        <v/>
      </c>
      <c r="GS118" s="109" t="str">
        <f t="shared" si="67"/>
        <v/>
      </c>
      <c r="GT118" s="109" t="str">
        <f t="shared" si="68"/>
        <v/>
      </c>
      <c r="GU118" s="110" t="str">
        <f t="shared" si="69"/>
        <v/>
      </c>
      <c r="GV118" s="51"/>
      <c r="GW118" s="108" t="str">
        <f t="shared" si="70"/>
        <v/>
      </c>
      <c r="GX118" s="109" t="str">
        <f t="shared" si="148"/>
        <v/>
      </c>
      <c r="GY118" s="109" t="str">
        <f t="shared" si="71"/>
        <v/>
      </c>
      <c r="GZ118" s="110" t="str">
        <f t="shared" si="72"/>
        <v/>
      </c>
      <c r="HA118" s="51"/>
      <c r="HB118" s="108" t="str">
        <f t="shared" si="149"/>
        <v/>
      </c>
      <c r="HC118" s="109" t="str">
        <f t="shared" si="150"/>
        <v/>
      </c>
      <c r="HD118" s="109" t="str">
        <f t="shared" si="73"/>
        <v/>
      </c>
      <c r="HE118" s="110" t="str">
        <f t="shared" si="151"/>
        <v/>
      </c>
      <c r="HF118" s="51"/>
      <c r="HG118" s="108" t="str">
        <f t="shared" si="74"/>
        <v/>
      </c>
      <c r="HH118" s="109" t="str">
        <f t="shared" si="152"/>
        <v/>
      </c>
      <c r="HI118" s="109" t="str">
        <f t="shared" si="75"/>
        <v/>
      </c>
      <c r="HJ118" s="110" t="str">
        <f t="shared" si="193"/>
        <v/>
      </c>
      <c r="HK118" s="51"/>
      <c r="HL118" s="108" t="str">
        <f t="shared" si="153"/>
        <v/>
      </c>
      <c r="HM118" s="109" t="str">
        <f t="shared" si="154"/>
        <v/>
      </c>
      <c r="HN118" s="109" t="str">
        <f t="shared" si="76"/>
        <v/>
      </c>
      <c r="HO118" s="110" t="str">
        <f t="shared" si="155"/>
        <v/>
      </c>
      <c r="HP118" s="51"/>
      <c r="HQ118" s="108" t="str">
        <f t="shared" si="77"/>
        <v/>
      </c>
      <c r="HR118" s="109" t="str">
        <f t="shared" si="156"/>
        <v/>
      </c>
      <c r="HS118" s="109" t="str">
        <f t="shared" si="78"/>
        <v/>
      </c>
      <c r="HT118" s="110" t="str">
        <f t="shared" si="194"/>
        <v/>
      </c>
      <c r="HU118" s="51"/>
      <c r="HV118" s="108" t="str">
        <f t="shared" si="157"/>
        <v/>
      </c>
      <c r="HW118" s="109" t="str">
        <f t="shared" si="158"/>
        <v/>
      </c>
      <c r="HX118" s="109" t="str">
        <f t="shared" si="79"/>
        <v/>
      </c>
      <c r="HY118" s="110" t="str">
        <f t="shared" si="159"/>
        <v/>
      </c>
      <c r="HZ118" s="51"/>
      <c r="IA118" s="108" t="str">
        <f t="shared" si="80"/>
        <v/>
      </c>
      <c r="IB118" s="109" t="str">
        <f t="shared" si="160"/>
        <v/>
      </c>
      <c r="IC118" s="109" t="str">
        <f t="shared" si="81"/>
        <v/>
      </c>
      <c r="ID118" s="110" t="str">
        <f t="shared" si="195"/>
        <v/>
      </c>
      <c r="IE118" s="51"/>
      <c r="IF118" s="108" t="str">
        <f t="shared" si="161"/>
        <v/>
      </c>
      <c r="IG118" s="109" t="str">
        <f t="shared" si="162"/>
        <v/>
      </c>
      <c r="IH118" s="109" t="str">
        <f t="shared" si="82"/>
        <v/>
      </c>
      <c r="II118" s="110" t="str">
        <f t="shared" si="163"/>
        <v/>
      </c>
      <c r="IJ118" s="51"/>
      <c r="IK118" s="108" t="str">
        <f t="shared" si="83"/>
        <v/>
      </c>
      <c r="IL118" s="109" t="str">
        <f t="shared" si="164"/>
        <v/>
      </c>
      <c r="IM118" s="109" t="str">
        <f t="shared" si="84"/>
        <v/>
      </c>
      <c r="IN118" s="110" t="str">
        <f t="shared" si="196"/>
        <v/>
      </c>
      <c r="IO118" s="51"/>
      <c r="IP118" s="108" t="str">
        <f t="shared" si="165"/>
        <v/>
      </c>
      <c r="IQ118" s="109" t="str">
        <f t="shared" si="166"/>
        <v/>
      </c>
      <c r="IR118" s="109" t="str">
        <f t="shared" si="85"/>
        <v/>
      </c>
      <c r="IS118" s="110" t="str">
        <f t="shared" si="167"/>
        <v/>
      </c>
      <c r="IT118" s="51"/>
      <c r="IU118" s="108" t="str">
        <f t="shared" si="86"/>
        <v/>
      </c>
      <c r="IV118" s="109" t="str">
        <f t="shared" si="168"/>
        <v/>
      </c>
      <c r="IW118" s="109" t="str">
        <f t="shared" si="87"/>
        <v/>
      </c>
      <c r="IX118" s="110" t="str">
        <f t="shared" si="197"/>
        <v/>
      </c>
      <c r="IY118" s="51"/>
      <c r="IZ118" s="108" t="str">
        <f t="shared" si="169"/>
        <v/>
      </c>
      <c r="JA118" s="109" t="str">
        <f t="shared" si="170"/>
        <v/>
      </c>
      <c r="JB118" s="109" t="str">
        <f t="shared" si="88"/>
        <v/>
      </c>
      <c r="JC118" s="110" t="str">
        <f t="shared" si="171"/>
        <v/>
      </c>
      <c r="JD118" s="51"/>
      <c r="JE118" s="108" t="str">
        <f t="shared" si="89"/>
        <v/>
      </c>
      <c r="JF118" s="109" t="str">
        <f t="shared" si="172"/>
        <v/>
      </c>
      <c r="JG118" s="109" t="str">
        <f t="shared" si="90"/>
        <v/>
      </c>
      <c r="JH118" s="110" t="str">
        <f t="shared" si="198"/>
        <v/>
      </c>
      <c r="JI118" s="51"/>
      <c r="JJ118" s="108" t="str">
        <f t="shared" si="173"/>
        <v/>
      </c>
      <c r="JK118" s="109" t="str">
        <f t="shared" si="174"/>
        <v/>
      </c>
      <c r="JL118" s="109" t="str">
        <f t="shared" si="91"/>
        <v/>
      </c>
      <c r="JM118" s="110" t="str">
        <f t="shared" si="175"/>
        <v/>
      </c>
      <c r="JN118" s="51"/>
      <c r="JO118" s="108" t="str">
        <f t="shared" si="92"/>
        <v/>
      </c>
      <c r="JP118" s="109" t="str">
        <f t="shared" si="176"/>
        <v/>
      </c>
      <c r="JQ118" s="109" t="str">
        <f t="shared" si="93"/>
        <v/>
      </c>
      <c r="JR118" s="110" t="str">
        <f t="shared" si="199"/>
        <v/>
      </c>
      <c r="JS118" s="51"/>
      <c r="JT118" s="108" t="str">
        <f t="shared" si="177"/>
        <v/>
      </c>
      <c r="JU118" s="109" t="str">
        <f t="shared" si="178"/>
        <v/>
      </c>
      <c r="JV118" s="109" t="str">
        <f t="shared" si="94"/>
        <v/>
      </c>
      <c r="JW118" s="110" t="str">
        <f t="shared" si="179"/>
        <v/>
      </c>
      <c r="JX118" s="51"/>
      <c r="JY118" s="108" t="str">
        <f t="shared" si="95"/>
        <v/>
      </c>
      <c r="JZ118" s="109" t="str">
        <f t="shared" si="180"/>
        <v/>
      </c>
      <c r="KA118" s="109" t="str">
        <f t="shared" si="96"/>
        <v/>
      </c>
      <c r="KB118" s="110" t="str">
        <f t="shared" si="200"/>
        <v/>
      </c>
      <c r="KC118" s="51"/>
      <c r="KD118" s="108" t="str">
        <f t="shared" si="181"/>
        <v/>
      </c>
      <c r="KE118" s="109" t="str">
        <f t="shared" si="182"/>
        <v/>
      </c>
      <c r="KF118" s="109" t="str">
        <f t="shared" si="97"/>
        <v/>
      </c>
      <c r="KG118" s="110" t="str">
        <f t="shared" si="98"/>
        <v/>
      </c>
    </row>
    <row r="119" spans="1:293" ht="12" customHeight="1">
      <c r="A119" s="105">
        <f t="array" ref="A119">MAX(IF($J$80:J118&gt;0,$C$80:C118,0))</f>
        <v>43535</v>
      </c>
      <c r="B119" s="81" t="str">
        <f t="shared" si="4"/>
        <v/>
      </c>
      <c r="C119" s="82">
        <f t="shared" si="5"/>
        <v>0</v>
      </c>
      <c r="D119" s="83" t="str">
        <f t="shared" si="6"/>
        <v/>
      </c>
      <c r="E119" s="83" t="str">
        <f t="shared" si="99"/>
        <v/>
      </c>
      <c r="F119" s="83" t="str">
        <f t="shared" si="7"/>
        <v/>
      </c>
      <c r="G119" s="83" t="str">
        <f t="shared" si="8"/>
        <v/>
      </c>
      <c r="H119" s="83" t="str">
        <f t="shared" si="9"/>
        <v/>
      </c>
      <c r="I119" s="105">
        <f t="array" ref="I119">MAX(IF($R$80:R118&gt;0,$L$80:L118,0))</f>
        <v>0</v>
      </c>
      <c r="J119" s="106"/>
      <c r="K119" s="2" t="str">
        <f t="shared" si="10"/>
        <v/>
      </c>
      <c r="L119" s="82">
        <f t="shared" si="183"/>
        <v>0</v>
      </c>
      <c r="M119" s="83" t="str">
        <f t="shared" si="11"/>
        <v/>
      </c>
      <c r="N119" s="83" t="str">
        <f t="shared" si="12"/>
        <v/>
      </c>
      <c r="O119" s="83" t="str">
        <f t="shared" si="13"/>
        <v/>
      </c>
      <c r="P119" s="83" t="str">
        <f t="shared" si="14"/>
        <v/>
      </c>
      <c r="Q119" s="83" t="str">
        <f t="shared" si="15"/>
        <v/>
      </c>
      <c r="R119" s="106"/>
      <c r="S119" s="1"/>
      <c r="U119" s="85" t="e">
        <f t="shared" si="0"/>
        <v>#NUM!</v>
      </c>
      <c r="V119" s="86" t="e">
        <f t="shared" si="100"/>
        <v>#NUM!</v>
      </c>
      <c r="W119" s="87" t="e">
        <f t="shared" si="16"/>
        <v>#NUM!</v>
      </c>
      <c r="X119" s="87" t="e">
        <f t="shared" si="17"/>
        <v>#NUM!</v>
      </c>
      <c r="Y119" s="87" t="e">
        <f t="shared" si="18"/>
        <v>#NUM!</v>
      </c>
      <c r="Z119" s="88" t="e">
        <f t="shared" si="1"/>
        <v>#NUM!</v>
      </c>
      <c r="AA119" t="s">
        <v>282</v>
      </c>
      <c r="AB119" s="89">
        <f t="shared" si="101"/>
        <v>0</v>
      </c>
      <c r="AC119" s="87">
        <f t="shared" si="19"/>
        <v>0</v>
      </c>
      <c r="AD119" s="87" t="str">
        <f t="shared" si="20"/>
        <v/>
      </c>
      <c r="AE119" s="87" t="str">
        <f t="shared" si="21"/>
        <v/>
      </c>
      <c r="AF119" s="86">
        <f t="shared" si="102"/>
        <v>0</v>
      </c>
      <c r="AG119" s="87">
        <f t="shared" si="2"/>
        <v>0</v>
      </c>
      <c r="AH119" s="87">
        <f t="shared" si="103"/>
        <v>0</v>
      </c>
      <c r="AI119" s="90"/>
      <c r="AJ119" s="87" t="e">
        <f t="shared" si="22"/>
        <v>#NUM!</v>
      </c>
      <c r="AK119" s="87" t="e">
        <f t="shared" si="104"/>
        <v>#NUM!</v>
      </c>
      <c r="AL119" s="87" t="e">
        <f t="shared" si="105"/>
        <v>#NUM!</v>
      </c>
      <c r="AM119" s="87" t="e">
        <f t="shared" si="106"/>
        <v>#NUM!</v>
      </c>
      <c r="AN119" s="86">
        <f t="shared" si="23"/>
        <v>0</v>
      </c>
      <c r="AO119" s="87">
        <f t="shared" si="24"/>
        <v>0</v>
      </c>
      <c r="AP119" s="88">
        <f t="shared" si="25"/>
        <v>0</v>
      </c>
      <c r="AR119" s="91">
        <f t="shared" si="26"/>
        <v>0</v>
      </c>
      <c r="AS119" s="92">
        <f t="shared" si="27"/>
        <v>0</v>
      </c>
      <c r="AT119" s="87" t="str">
        <f t="shared" si="28"/>
        <v/>
      </c>
      <c r="AU119" s="87" t="str">
        <f t="shared" si="29"/>
        <v/>
      </c>
      <c r="AV119" s="86">
        <f t="shared" si="107"/>
        <v>0</v>
      </c>
      <c r="AW119" s="87">
        <f t="shared" si="108"/>
        <v>0</v>
      </c>
      <c r="AX119" s="87">
        <f t="shared" si="109"/>
        <v>0</v>
      </c>
      <c r="AY119" s="93"/>
      <c r="AZ119" s="87">
        <f t="shared" si="201"/>
        <v>0</v>
      </c>
      <c r="BA119" s="87">
        <f t="shared" si="110"/>
        <v>0</v>
      </c>
      <c r="BB119" s="87">
        <f t="shared" si="111"/>
        <v>0</v>
      </c>
      <c r="BC119" s="87">
        <f t="shared" si="184"/>
        <v>0</v>
      </c>
      <c r="BD119" s="86" t="e">
        <f t="shared" si="30"/>
        <v>#NUM!</v>
      </c>
      <c r="BE119" s="87" t="e">
        <f t="shared" si="3"/>
        <v>#NUM!</v>
      </c>
      <c r="BF119" s="88">
        <f t="shared" si="112"/>
        <v>0</v>
      </c>
      <c r="BH119" s="87" t="e">
        <f t="shared" si="31"/>
        <v>#NUM!</v>
      </c>
      <c r="BK119" s="95">
        <v>40310</v>
      </c>
      <c r="BL119" s="96">
        <v>40</v>
      </c>
      <c r="BT119" s="51">
        <v>10000.01</v>
      </c>
      <c r="BU119" s="51">
        <v>20000</v>
      </c>
      <c r="BV119" s="51" t="str">
        <f>CONCATENATE(BT119,"-",BU119)</f>
        <v>10000.01-20000</v>
      </c>
      <c r="BW119" s="30" t="s">
        <v>497</v>
      </c>
      <c r="BX119" s="107">
        <v>0.20499999999999999</v>
      </c>
      <c r="BY119" s="107">
        <v>0.20500000000000002</v>
      </c>
      <c r="BZ119" s="107">
        <v>0.20500000000000002</v>
      </c>
      <c r="CA119" s="107">
        <v>0.24500000000000002</v>
      </c>
      <c r="CB119" s="107">
        <v>0.253</v>
      </c>
      <c r="CC119" s="107">
        <v>0.26</v>
      </c>
      <c r="CD119" s="107">
        <v>0.26500000000000001</v>
      </c>
      <c r="CE119" s="30" t="s">
        <v>497</v>
      </c>
      <c r="CF119" s="107">
        <v>0.03</v>
      </c>
      <c r="CG119" s="107">
        <v>2.1000000000000001E-2</v>
      </c>
      <c r="CY119" s="108" t="str">
        <f t="shared" si="32"/>
        <v/>
      </c>
      <c r="CZ119" s="109" t="str">
        <f t="shared" si="33"/>
        <v/>
      </c>
      <c r="DA119" s="109" t="str">
        <f t="shared" si="34"/>
        <v/>
      </c>
      <c r="DB119" s="110" t="str">
        <f>IF($B119="","",IF(OR($F$10="ანუიტეტური",$F$10="სამომხმარებლო"),DB118-CZ119,IF($F$10="საშეღავათო",DB118-CZ119,IF($F$10="ნულოვანი საშეღავათო",DB118-CZ119))))</f>
        <v/>
      </c>
      <c r="DD119" s="108" t="str">
        <f t="shared" si="36"/>
        <v/>
      </c>
      <c r="DE119" s="109" t="str">
        <f t="shared" si="114"/>
        <v/>
      </c>
      <c r="DF119" s="109" t="str">
        <f t="shared" si="37"/>
        <v/>
      </c>
      <c r="DG119" s="110" t="str">
        <f>IF($B119="","",DG118-DE119)</f>
        <v/>
      </c>
      <c r="DI119" s="108" t="str">
        <f t="shared" si="115"/>
        <v/>
      </c>
      <c r="DJ119" s="109" t="str">
        <f t="shared" si="116"/>
        <v/>
      </c>
      <c r="DK119" s="109" t="str">
        <f t="shared" si="39"/>
        <v/>
      </c>
      <c r="DL119" s="110" t="str">
        <f>IF($B119="","",DL118-DJ119)</f>
        <v/>
      </c>
      <c r="DN119" s="108" t="str">
        <f t="shared" si="41"/>
        <v/>
      </c>
      <c r="DO119" s="109" t="str">
        <f t="shared" si="42"/>
        <v/>
      </c>
      <c r="DP119" s="109" t="str">
        <f t="shared" si="43"/>
        <v/>
      </c>
      <c r="DQ119" s="110" t="str">
        <f>IF($B119="","",DQ118-DO119)</f>
        <v/>
      </c>
      <c r="DS119" s="108" t="str">
        <f t="shared" si="117"/>
        <v/>
      </c>
      <c r="DT119" s="109" t="str">
        <f t="shared" si="118"/>
        <v/>
      </c>
      <c r="DU119" s="109" t="str">
        <f t="shared" si="45"/>
        <v/>
      </c>
      <c r="DV119" s="110" t="str">
        <f>IF($B119="","",DV118-DT119)</f>
        <v/>
      </c>
      <c r="DX119" s="108" t="str">
        <f t="shared" si="46"/>
        <v/>
      </c>
      <c r="DY119" s="109" t="str">
        <f t="shared" si="119"/>
        <v/>
      </c>
      <c r="DZ119" s="109" t="str">
        <f t="shared" si="47"/>
        <v/>
      </c>
      <c r="EA119" s="110" t="str">
        <f>IF($B119="","",EA118-DY119)</f>
        <v/>
      </c>
      <c r="EC119" s="108" t="str">
        <f t="shared" si="121"/>
        <v/>
      </c>
      <c r="ED119" s="109" t="str">
        <f t="shared" si="122"/>
        <v/>
      </c>
      <c r="EE119" s="109" t="str">
        <f t="shared" si="48"/>
        <v/>
      </c>
      <c r="EF119" s="110" t="str">
        <f>IF($B119="","",EF118-ED119)</f>
        <v/>
      </c>
      <c r="EH119" s="108" t="str">
        <f t="shared" si="49"/>
        <v/>
      </c>
      <c r="EI119" s="109" t="str">
        <f t="shared" si="123"/>
        <v/>
      </c>
      <c r="EJ119" s="109" t="str">
        <f t="shared" si="50"/>
        <v/>
      </c>
      <c r="EK119" s="110" t="str">
        <f>IF($B119="","",EK118-EI119)</f>
        <v/>
      </c>
      <c r="EM119" s="108" t="str">
        <f t="shared" si="125"/>
        <v/>
      </c>
      <c r="EN119" s="109" t="str">
        <f t="shared" si="126"/>
        <v/>
      </c>
      <c r="EO119" s="109" t="str">
        <f t="shared" si="51"/>
        <v/>
      </c>
      <c r="EP119" s="110" t="str">
        <f>IF($B119="","",EP118-EN119)</f>
        <v/>
      </c>
      <c r="ER119" s="108" t="str">
        <f t="shared" si="52"/>
        <v/>
      </c>
      <c r="ES119" s="109" t="str">
        <f t="shared" si="127"/>
        <v/>
      </c>
      <c r="ET119" s="109" t="str">
        <f t="shared" si="53"/>
        <v/>
      </c>
      <c r="EU119" s="110" t="str">
        <f>IF($B119="","",EU118-ES119)</f>
        <v/>
      </c>
      <c r="EW119" s="108" t="str">
        <f t="shared" si="129"/>
        <v/>
      </c>
      <c r="EX119" s="109" t="str">
        <f t="shared" si="130"/>
        <v/>
      </c>
      <c r="EY119" s="109" t="str">
        <f t="shared" si="54"/>
        <v/>
      </c>
      <c r="EZ119" s="110" t="str">
        <f>IF($B119="","",EZ118-EX119)</f>
        <v/>
      </c>
      <c r="FB119" s="108" t="str">
        <f t="shared" si="55"/>
        <v/>
      </c>
      <c r="FC119" s="109" t="str">
        <f t="shared" si="131"/>
        <v/>
      </c>
      <c r="FD119" s="109" t="str">
        <f t="shared" si="56"/>
        <v/>
      </c>
      <c r="FE119" s="110" t="str">
        <f>IF($B119="","",FE118-FC119)</f>
        <v/>
      </c>
      <c r="FG119" s="108" t="str">
        <f t="shared" si="133"/>
        <v/>
      </c>
      <c r="FH119" s="109" t="str">
        <f t="shared" si="134"/>
        <v/>
      </c>
      <c r="FI119" s="109" t="str">
        <f t="shared" si="57"/>
        <v/>
      </c>
      <c r="FJ119" s="110" t="str">
        <f>IF($B119="","",FJ118-FH119)</f>
        <v/>
      </c>
      <c r="FL119" s="108" t="str">
        <f t="shared" si="58"/>
        <v/>
      </c>
      <c r="FM119" s="109" t="str">
        <f t="shared" si="135"/>
        <v/>
      </c>
      <c r="FN119" s="109" t="str">
        <f t="shared" si="59"/>
        <v/>
      </c>
      <c r="FO119" s="110" t="str">
        <f>IF($B119="","",FO118-FM119)</f>
        <v/>
      </c>
      <c r="FQ119" s="108" t="str">
        <f t="shared" si="137"/>
        <v/>
      </c>
      <c r="FR119" s="109" t="str">
        <f t="shared" si="138"/>
        <v/>
      </c>
      <c r="FS119" s="109" t="str">
        <f t="shared" si="60"/>
        <v/>
      </c>
      <c r="FT119" s="110" t="str">
        <f>IF($B119="","",FT118-FR119)</f>
        <v/>
      </c>
      <c r="FV119" s="108" t="str">
        <f t="shared" si="61"/>
        <v/>
      </c>
      <c r="FW119" s="109" t="str">
        <f t="shared" si="139"/>
        <v/>
      </c>
      <c r="FX119" s="109" t="str">
        <f t="shared" si="62"/>
        <v/>
      </c>
      <c r="FY119" s="110" t="str">
        <f>IF($B119="","",FY118-FW119)</f>
        <v/>
      </c>
      <c r="GA119" s="108" t="str">
        <f t="shared" si="141"/>
        <v/>
      </c>
      <c r="GB119" s="109" t="str">
        <f t="shared" si="142"/>
        <v/>
      </c>
      <c r="GC119" s="109" t="str">
        <f t="shared" si="63"/>
        <v/>
      </c>
      <c r="GD119" s="110" t="str">
        <f>IF($B119="","",GD118-GB119)</f>
        <v/>
      </c>
      <c r="GF119" s="108" t="str">
        <f t="shared" si="64"/>
        <v/>
      </c>
      <c r="GG119" s="109" t="str">
        <f t="shared" si="143"/>
        <v/>
      </c>
      <c r="GH119" s="109" t="str">
        <f t="shared" si="65"/>
        <v/>
      </c>
      <c r="GI119" s="110" t="str">
        <f>IF($B119="","",GI118-GG119)</f>
        <v/>
      </c>
      <c r="GK119" s="108" t="str">
        <f t="shared" si="145"/>
        <v/>
      </c>
      <c r="GL119" s="109" t="str">
        <f t="shared" si="146"/>
        <v/>
      </c>
      <c r="GM119" s="109" t="str">
        <f t="shared" si="147"/>
        <v/>
      </c>
      <c r="GN119" s="110" t="str">
        <f>IF($B119="","",GN118-GL119)</f>
        <v/>
      </c>
      <c r="GR119" s="108" t="str">
        <f t="shared" si="66"/>
        <v/>
      </c>
      <c r="GS119" s="109" t="str">
        <f t="shared" si="67"/>
        <v/>
      </c>
      <c r="GT119" s="109" t="str">
        <f t="shared" si="68"/>
        <v/>
      </c>
      <c r="GU119" s="110" t="str">
        <f t="shared" si="69"/>
        <v/>
      </c>
      <c r="GV119" s="51"/>
      <c r="GW119" s="108" t="str">
        <f t="shared" si="70"/>
        <v/>
      </c>
      <c r="GX119" s="109" t="str">
        <f t="shared" si="148"/>
        <v/>
      </c>
      <c r="GY119" s="109" t="str">
        <f t="shared" si="71"/>
        <v/>
      </c>
      <c r="GZ119" s="110" t="str">
        <f t="shared" si="72"/>
        <v/>
      </c>
      <c r="HA119" s="51"/>
      <c r="HB119" s="108" t="str">
        <f t="shared" si="149"/>
        <v/>
      </c>
      <c r="HC119" s="109" t="str">
        <f t="shared" si="150"/>
        <v/>
      </c>
      <c r="HD119" s="109" t="str">
        <f t="shared" si="73"/>
        <v/>
      </c>
      <c r="HE119" s="110" t="str">
        <f t="shared" si="151"/>
        <v/>
      </c>
      <c r="HF119" s="51"/>
      <c r="HG119" s="108" t="str">
        <f t="shared" si="74"/>
        <v/>
      </c>
      <c r="HH119" s="109" t="str">
        <f t="shared" si="152"/>
        <v/>
      </c>
      <c r="HI119" s="109" t="str">
        <f t="shared" si="75"/>
        <v/>
      </c>
      <c r="HJ119" s="110" t="str">
        <f t="shared" si="193"/>
        <v/>
      </c>
      <c r="HK119" s="51"/>
      <c r="HL119" s="108" t="str">
        <f t="shared" si="153"/>
        <v/>
      </c>
      <c r="HM119" s="109" t="str">
        <f t="shared" si="154"/>
        <v/>
      </c>
      <c r="HN119" s="109" t="str">
        <f t="shared" si="76"/>
        <v/>
      </c>
      <c r="HO119" s="110" t="str">
        <f t="shared" si="155"/>
        <v/>
      </c>
      <c r="HP119" s="51"/>
      <c r="HQ119" s="108" t="str">
        <f t="shared" si="77"/>
        <v/>
      </c>
      <c r="HR119" s="109" t="str">
        <f t="shared" si="156"/>
        <v/>
      </c>
      <c r="HS119" s="109" t="str">
        <f t="shared" si="78"/>
        <v/>
      </c>
      <c r="HT119" s="110" t="str">
        <f t="shared" si="194"/>
        <v/>
      </c>
      <c r="HU119" s="51"/>
      <c r="HV119" s="108" t="str">
        <f t="shared" si="157"/>
        <v/>
      </c>
      <c r="HW119" s="109" t="str">
        <f t="shared" si="158"/>
        <v/>
      </c>
      <c r="HX119" s="109" t="str">
        <f t="shared" si="79"/>
        <v/>
      </c>
      <c r="HY119" s="110" t="str">
        <f t="shared" si="159"/>
        <v/>
      </c>
      <c r="HZ119" s="51"/>
      <c r="IA119" s="108" t="str">
        <f t="shared" si="80"/>
        <v/>
      </c>
      <c r="IB119" s="109" t="str">
        <f t="shared" si="160"/>
        <v/>
      </c>
      <c r="IC119" s="109" t="str">
        <f t="shared" si="81"/>
        <v/>
      </c>
      <c r="ID119" s="110" t="str">
        <f t="shared" si="195"/>
        <v/>
      </c>
      <c r="IE119" s="51"/>
      <c r="IF119" s="108" t="str">
        <f t="shared" si="161"/>
        <v/>
      </c>
      <c r="IG119" s="109" t="str">
        <f t="shared" si="162"/>
        <v/>
      </c>
      <c r="IH119" s="109" t="str">
        <f t="shared" si="82"/>
        <v/>
      </c>
      <c r="II119" s="110" t="str">
        <f t="shared" si="163"/>
        <v/>
      </c>
      <c r="IJ119" s="51"/>
      <c r="IK119" s="108" t="str">
        <f t="shared" si="83"/>
        <v/>
      </c>
      <c r="IL119" s="109" t="str">
        <f t="shared" si="164"/>
        <v/>
      </c>
      <c r="IM119" s="109" t="str">
        <f t="shared" si="84"/>
        <v/>
      </c>
      <c r="IN119" s="110" t="str">
        <f t="shared" si="196"/>
        <v/>
      </c>
      <c r="IO119" s="51"/>
      <c r="IP119" s="108" t="str">
        <f t="shared" si="165"/>
        <v/>
      </c>
      <c r="IQ119" s="109" t="str">
        <f t="shared" si="166"/>
        <v/>
      </c>
      <c r="IR119" s="109" t="str">
        <f t="shared" si="85"/>
        <v/>
      </c>
      <c r="IS119" s="110" t="str">
        <f t="shared" si="167"/>
        <v/>
      </c>
      <c r="IT119" s="51"/>
      <c r="IU119" s="108" t="str">
        <f t="shared" si="86"/>
        <v/>
      </c>
      <c r="IV119" s="109" t="str">
        <f t="shared" si="168"/>
        <v/>
      </c>
      <c r="IW119" s="109" t="str">
        <f t="shared" si="87"/>
        <v/>
      </c>
      <c r="IX119" s="110" t="str">
        <f t="shared" si="197"/>
        <v/>
      </c>
      <c r="IY119" s="51"/>
      <c r="IZ119" s="108" t="str">
        <f t="shared" si="169"/>
        <v/>
      </c>
      <c r="JA119" s="109" t="str">
        <f t="shared" si="170"/>
        <v/>
      </c>
      <c r="JB119" s="109" t="str">
        <f t="shared" si="88"/>
        <v/>
      </c>
      <c r="JC119" s="110" t="str">
        <f t="shared" si="171"/>
        <v/>
      </c>
      <c r="JD119" s="51"/>
      <c r="JE119" s="108" t="str">
        <f t="shared" si="89"/>
        <v/>
      </c>
      <c r="JF119" s="109" t="str">
        <f t="shared" si="172"/>
        <v/>
      </c>
      <c r="JG119" s="109" t="str">
        <f t="shared" si="90"/>
        <v/>
      </c>
      <c r="JH119" s="110" t="str">
        <f t="shared" si="198"/>
        <v/>
      </c>
      <c r="JI119" s="51"/>
      <c r="JJ119" s="108" t="str">
        <f t="shared" si="173"/>
        <v/>
      </c>
      <c r="JK119" s="109" t="str">
        <f t="shared" si="174"/>
        <v/>
      </c>
      <c r="JL119" s="109" t="str">
        <f t="shared" si="91"/>
        <v/>
      </c>
      <c r="JM119" s="110" t="str">
        <f t="shared" si="175"/>
        <v/>
      </c>
      <c r="JN119" s="51"/>
      <c r="JO119" s="108" t="str">
        <f t="shared" si="92"/>
        <v/>
      </c>
      <c r="JP119" s="109" t="str">
        <f t="shared" si="176"/>
        <v/>
      </c>
      <c r="JQ119" s="109" t="str">
        <f t="shared" si="93"/>
        <v/>
      </c>
      <c r="JR119" s="110" t="str">
        <f t="shared" si="199"/>
        <v/>
      </c>
      <c r="JS119" s="51"/>
      <c r="JT119" s="108" t="str">
        <f t="shared" si="177"/>
        <v/>
      </c>
      <c r="JU119" s="109" t="str">
        <f t="shared" si="178"/>
        <v/>
      </c>
      <c r="JV119" s="109" t="str">
        <f t="shared" si="94"/>
        <v/>
      </c>
      <c r="JW119" s="110" t="str">
        <f t="shared" si="179"/>
        <v/>
      </c>
      <c r="JX119" s="51"/>
      <c r="JY119" s="108" t="str">
        <f t="shared" si="95"/>
        <v/>
      </c>
      <c r="JZ119" s="109" t="str">
        <f t="shared" si="180"/>
        <v/>
      </c>
      <c r="KA119" s="109" t="str">
        <f t="shared" si="96"/>
        <v/>
      </c>
      <c r="KB119" s="110" t="str">
        <f t="shared" si="200"/>
        <v/>
      </c>
      <c r="KC119" s="51"/>
      <c r="KD119" s="108" t="str">
        <f t="shared" si="181"/>
        <v/>
      </c>
      <c r="KE119" s="109" t="str">
        <f t="shared" si="182"/>
        <v/>
      </c>
      <c r="KF119" s="109" t="str">
        <f t="shared" si="97"/>
        <v/>
      </c>
      <c r="KG119" s="110" t="str">
        <f t="shared" si="98"/>
        <v/>
      </c>
    </row>
    <row r="120" spans="1:293" ht="12" customHeight="1">
      <c r="A120" s="105">
        <f t="array" ref="A120">MAX(IF($J$80:J119&gt;0,$C$80:C119,0))</f>
        <v>43535</v>
      </c>
      <c r="B120" s="81" t="str">
        <f t="shared" si="4"/>
        <v/>
      </c>
      <c r="C120" s="82">
        <f t="shared" si="5"/>
        <v>0</v>
      </c>
      <c r="D120" s="83" t="str">
        <f t="shared" si="6"/>
        <v/>
      </c>
      <c r="E120" s="83" t="str">
        <f t="shared" si="99"/>
        <v/>
      </c>
      <c r="F120" s="83" t="str">
        <f t="shared" si="7"/>
        <v/>
      </c>
      <c r="G120" s="83" t="str">
        <f t="shared" si="8"/>
        <v/>
      </c>
      <c r="H120" s="83" t="str">
        <f t="shared" si="9"/>
        <v/>
      </c>
      <c r="I120" s="105">
        <f t="array" ref="I120">MAX(IF($R$80:R119&gt;0,$L$80:L119,0))</f>
        <v>0</v>
      </c>
      <c r="J120" s="106"/>
      <c r="K120" s="2" t="str">
        <f t="shared" si="10"/>
        <v/>
      </c>
      <c r="L120" s="82">
        <f t="shared" si="183"/>
        <v>0</v>
      </c>
      <c r="M120" s="83" t="str">
        <f t="shared" si="11"/>
        <v/>
      </c>
      <c r="N120" s="83" t="str">
        <f t="shared" si="12"/>
        <v/>
      </c>
      <c r="O120" s="83" t="str">
        <f t="shared" si="13"/>
        <v/>
      </c>
      <c r="P120" s="83" t="str">
        <f t="shared" si="14"/>
        <v/>
      </c>
      <c r="Q120" s="83" t="str">
        <f t="shared" si="15"/>
        <v/>
      </c>
      <c r="R120" s="106"/>
      <c r="S120" s="1"/>
      <c r="U120" s="85" t="e">
        <f t="shared" si="0"/>
        <v>#NUM!</v>
      </c>
      <c r="V120" s="86" t="e">
        <f t="shared" si="100"/>
        <v>#NUM!</v>
      </c>
      <c r="W120" s="87" t="e">
        <f t="shared" si="16"/>
        <v>#NUM!</v>
      </c>
      <c r="X120" s="87" t="e">
        <f t="shared" si="17"/>
        <v>#NUM!</v>
      </c>
      <c r="Y120" s="87" t="e">
        <f t="shared" si="18"/>
        <v>#NUM!</v>
      </c>
      <c r="Z120" s="88" t="e">
        <f t="shared" si="1"/>
        <v>#NUM!</v>
      </c>
      <c r="AA120" t="s">
        <v>282</v>
      </c>
      <c r="AB120" s="89">
        <f t="shared" si="101"/>
        <v>0</v>
      </c>
      <c r="AC120" s="87">
        <f t="shared" si="19"/>
        <v>0</v>
      </c>
      <c r="AD120" s="87" t="str">
        <f t="shared" si="20"/>
        <v/>
      </c>
      <c r="AE120" s="87" t="str">
        <f t="shared" si="21"/>
        <v/>
      </c>
      <c r="AF120" s="86">
        <f t="shared" si="102"/>
        <v>0</v>
      </c>
      <c r="AG120" s="87">
        <f t="shared" si="2"/>
        <v>0</v>
      </c>
      <c r="AH120" s="87">
        <f t="shared" si="103"/>
        <v>0</v>
      </c>
      <c r="AI120" s="90"/>
      <c r="AJ120" s="87" t="e">
        <f t="shared" si="22"/>
        <v>#NUM!</v>
      </c>
      <c r="AK120" s="87" t="e">
        <f t="shared" si="104"/>
        <v>#NUM!</v>
      </c>
      <c r="AL120" s="87" t="e">
        <f t="shared" si="105"/>
        <v>#NUM!</v>
      </c>
      <c r="AM120" s="87" t="e">
        <f t="shared" si="106"/>
        <v>#NUM!</v>
      </c>
      <c r="AN120" s="86">
        <f t="shared" si="23"/>
        <v>0</v>
      </c>
      <c r="AO120" s="87">
        <f t="shared" si="24"/>
        <v>0</v>
      </c>
      <c r="AP120" s="88">
        <f t="shared" si="25"/>
        <v>0</v>
      </c>
      <c r="AR120" s="91">
        <f t="shared" si="26"/>
        <v>0</v>
      </c>
      <c r="AS120" s="92">
        <f t="shared" si="27"/>
        <v>0</v>
      </c>
      <c r="AT120" s="87" t="str">
        <f t="shared" si="28"/>
        <v/>
      </c>
      <c r="AU120" s="87" t="str">
        <f t="shared" si="29"/>
        <v/>
      </c>
      <c r="AV120" s="86">
        <f t="shared" si="107"/>
        <v>0</v>
      </c>
      <c r="AW120" s="87">
        <f t="shared" si="108"/>
        <v>0</v>
      </c>
      <c r="AX120" s="87">
        <f t="shared" si="109"/>
        <v>0</v>
      </c>
      <c r="AY120" s="93"/>
      <c r="AZ120" s="87">
        <f t="shared" si="201"/>
        <v>0</v>
      </c>
      <c r="BA120" s="87">
        <f t="shared" si="110"/>
        <v>0</v>
      </c>
      <c r="BB120" s="87">
        <f t="shared" si="111"/>
        <v>0</v>
      </c>
      <c r="BC120" s="87">
        <f t="shared" si="184"/>
        <v>0</v>
      </c>
      <c r="BD120" s="86" t="e">
        <f t="shared" si="30"/>
        <v>#NUM!</v>
      </c>
      <c r="BE120" s="87" t="e">
        <f t="shared" si="3"/>
        <v>#NUM!</v>
      </c>
      <c r="BF120" s="88">
        <f t="shared" si="112"/>
        <v>0</v>
      </c>
      <c r="BH120" s="87" t="e">
        <f t="shared" si="31"/>
        <v>#NUM!</v>
      </c>
      <c r="BK120" s="95">
        <v>40324</v>
      </c>
      <c r="BL120" s="96">
        <v>41</v>
      </c>
      <c r="BT120" s="51">
        <v>20000.009999999998</v>
      </c>
      <c r="BU120" s="51">
        <v>30000</v>
      </c>
      <c r="BV120" s="51" t="str">
        <f>CONCATENATE(BT120,"-",BU120)</f>
        <v>20000.01-30000</v>
      </c>
      <c r="BW120" s="30" t="s">
        <v>497</v>
      </c>
      <c r="BX120" s="30">
        <v>0.2</v>
      </c>
      <c r="BY120" s="107">
        <v>0.2</v>
      </c>
      <c r="BZ120" s="107">
        <v>0.2</v>
      </c>
      <c r="CA120" s="107">
        <v>0.23499999999999999</v>
      </c>
      <c r="CB120" s="107">
        <v>0.24</v>
      </c>
      <c r="CC120" s="107">
        <v>0.245</v>
      </c>
      <c r="CD120" s="107">
        <v>0.25</v>
      </c>
      <c r="CE120" s="30" t="s">
        <v>497</v>
      </c>
      <c r="CF120" s="107">
        <v>2.5000000000000001E-2</v>
      </c>
      <c r="CG120" s="107">
        <v>1.6E-2</v>
      </c>
      <c r="CY120" s="108" t="str">
        <f t="shared" si="32"/>
        <v/>
      </c>
      <c r="CZ120" s="109" t="str">
        <f t="shared" si="33"/>
        <v/>
      </c>
      <c r="DA120" s="109" t="str">
        <f t="shared" si="34"/>
        <v/>
      </c>
      <c r="DB120" s="110" t="str">
        <f t="shared" ref="DB120:DB183" si="225">IF($B120="","",IF(OR($F$10="ანუიტეტური",$F$10="სამომხმარებლო"),DB119-CZ120,IF($F$10="საშეღავათო",DB119-CZ120,IF($F$10="ნულოვანი საშეღავათო",DB119-CZ120))))</f>
        <v/>
      </c>
      <c r="DD120" s="108" t="str">
        <f t="shared" si="36"/>
        <v/>
      </c>
      <c r="DE120" s="109" t="str">
        <f t="shared" si="114"/>
        <v/>
      </c>
      <c r="DF120" s="109" t="str">
        <f t="shared" si="37"/>
        <v/>
      </c>
      <c r="DG120" s="110" t="str">
        <f t="shared" ref="DG120:DG183" si="226">IF($B120="","",DG119-DE120)</f>
        <v/>
      </c>
      <c r="DI120" s="108" t="str">
        <f t="shared" si="115"/>
        <v/>
      </c>
      <c r="DJ120" s="109" t="str">
        <f t="shared" si="116"/>
        <v/>
      </c>
      <c r="DK120" s="109" t="str">
        <f t="shared" si="39"/>
        <v/>
      </c>
      <c r="DL120" s="110" t="str">
        <f t="shared" ref="DL120:DL183" si="227">IF($B120="","",DL119-DJ120)</f>
        <v/>
      </c>
      <c r="DN120" s="108" t="str">
        <f t="shared" si="41"/>
        <v/>
      </c>
      <c r="DO120" s="109" t="str">
        <f t="shared" si="42"/>
        <v/>
      </c>
      <c r="DP120" s="109" t="str">
        <f t="shared" si="43"/>
        <v/>
      </c>
      <c r="DQ120" s="110" t="str">
        <f t="shared" ref="DQ120:DQ183" si="228">IF($B120="","",DQ119-DO120)</f>
        <v/>
      </c>
      <c r="DS120" s="108" t="str">
        <f t="shared" si="117"/>
        <v/>
      </c>
      <c r="DT120" s="109" t="str">
        <f t="shared" si="118"/>
        <v/>
      </c>
      <c r="DU120" s="109" t="str">
        <f t="shared" si="45"/>
        <v/>
      </c>
      <c r="DV120" s="110" t="str">
        <f t="shared" ref="DV120:DV183" si="229">IF($B120="","",DV119-DT120)</f>
        <v/>
      </c>
      <c r="DX120" s="108" t="str">
        <f t="shared" si="46"/>
        <v/>
      </c>
      <c r="DY120" s="109" t="str">
        <f t="shared" si="119"/>
        <v/>
      </c>
      <c r="DZ120" s="109" t="str">
        <f t="shared" si="47"/>
        <v/>
      </c>
      <c r="EA120" s="110" t="str">
        <f t="shared" ref="EA120:EA183" si="230">IF($B120="","",EA119-DY120)</f>
        <v/>
      </c>
      <c r="EC120" s="108" t="str">
        <f t="shared" si="121"/>
        <v/>
      </c>
      <c r="ED120" s="109" t="str">
        <f t="shared" si="122"/>
        <v/>
      </c>
      <c r="EE120" s="109" t="str">
        <f t="shared" si="48"/>
        <v/>
      </c>
      <c r="EF120" s="110" t="str">
        <f t="shared" ref="EF120:EF183" si="231">IF($B120="","",EF119-ED120)</f>
        <v/>
      </c>
      <c r="EH120" s="108" t="str">
        <f t="shared" si="49"/>
        <v/>
      </c>
      <c r="EI120" s="109" t="str">
        <f t="shared" si="123"/>
        <v/>
      </c>
      <c r="EJ120" s="109" t="str">
        <f t="shared" si="50"/>
        <v/>
      </c>
      <c r="EK120" s="110" t="str">
        <f t="shared" ref="EK120:EK183" si="232">IF($B120="","",EK119-EI120)</f>
        <v/>
      </c>
      <c r="EM120" s="108" t="str">
        <f t="shared" si="125"/>
        <v/>
      </c>
      <c r="EN120" s="109" t="str">
        <f t="shared" si="126"/>
        <v/>
      </c>
      <c r="EO120" s="109" t="str">
        <f t="shared" si="51"/>
        <v/>
      </c>
      <c r="EP120" s="110" t="str">
        <f t="shared" ref="EP120:EP183" si="233">IF($B120="","",EP119-EN120)</f>
        <v/>
      </c>
      <c r="ER120" s="108" t="str">
        <f t="shared" si="52"/>
        <v/>
      </c>
      <c r="ES120" s="109" t="str">
        <f t="shared" si="127"/>
        <v/>
      </c>
      <c r="ET120" s="109" t="str">
        <f t="shared" si="53"/>
        <v/>
      </c>
      <c r="EU120" s="110" t="str">
        <f t="shared" ref="EU120:EU183" si="234">IF($B120="","",EU119-ES120)</f>
        <v/>
      </c>
      <c r="EW120" s="108" t="str">
        <f t="shared" si="129"/>
        <v/>
      </c>
      <c r="EX120" s="109" t="str">
        <f t="shared" si="130"/>
        <v/>
      </c>
      <c r="EY120" s="109" t="str">
        <f t="shared" si="54"/>
        <v/>
      </c>
      <c r="EZ120" s="110" t="str">
        <f t="shared" ref="EZ120:EZ183" si="235">IF($B120="","",EZ119-EX120)</f>
        <v/>
      </c>
      <c r="FB120" s="108" t="str">
        <f t="shared" si="55"/>
        <v/>
      </c>
      <c r="FC120" s="109" t="str">
        <f t="shared" si="131"/>
        <v/>
      </c>
      <c r="FD120" s="109" t="str">
        <f t="shared" si="56"/>
        <v/>
      </c>
      <c r="FE120" s="110" t="str">
        <f t="shared" ref="FE120:FE183" si="236">IF($B120="","",FE119-FC120)</f>
        <v/>
      </c>
      <c r="FG120" s="108" t="str">
        <f t="shared" si="133"/>
        <v/>
      </c>
      <c r="FH120" s="109" t="str">
        <f t="shared" si="134"/>
        <v/>
      </c>
      <c r="FI120" s="109" t="str">
        <f t="shared" si="57"/>
        <v/>
      </c>
      <c r="FJ120" s="110" t="str">
        <f t="shared" ref="FJ120:FJ183" si="237">IF($B120="","",FJ119-FH120)</f>
        <v/>
      </c>
      <c r="FL120" s="108" t="str">
        <f t="shared" si="58"/>
        <v/>
      </c>
      <c r="FM120" s="109" t="str">
        <f t="shared" si="135"/>
        <v/>
      </c>
      <c r="FN120" s="109" t="str">
        <f t="shared" si="59"/>
        <v/>
      </c>
      <c r="FO120" s="110" t="str">
        <f t="shared" ref="FO120:FO183" si="238">IF($B120="","",FO119-FM120)</f>
        <v/>
      </c>
      <c r="FQ120" s="108" t="str">
        <f t="shared" si="137"/>
        <v/>
      </c>
      <c r="FR120" s="109" t="str">
        <f t="shared" si="138"/>
        <v/>
      </c>
      <c r="FS120" s="109" t="str">
        <f t="shared" si="60"/>
        <v/>
      </c>
      <c r="FT120" s="110" t="str">
        <f t="shared" ref="FT120:FT183" si="239">IF($B120="","",FT119-FR120)</f>
        <v/>
      </c>
      <c r="FV120" s="108" t="str">
        <f t="shared" si="61"/>
        <v/>
      </c>
      <c r="FW120" s="109" t="str">
        <f t="shared" si="139"/>
        <v/>
      </c>
      <c r="FX120" s="109" t="str">
        <f t="shared" si="62"/>
        <v/>
      </c>
      <c r="FY120" s="110" t="str">
        <f t="shared" ref="FY120:FY183" si="240">IF($B120="","",FY119-FW120)</f>
        <v/>
      </c>
      <c r="GA120" s="108" t="str">
        <f t="shared" si="141"/>
        <v/>
      </c>
      <c r="GB120" s="109" t="str">
        <f t="shared" si="142"/>
        <v/>
      </c>
      <c r="GC120" s="109" t="str">
        <f t="shared" si="63"/>
        <v/>
      </c>
      <c r="GD120" s="110" t="str">
        <f t="shared" ref="GD120:GD183" si="241">IF($B120="","",GD119-GB120)</f>
        <v/>
      </c>
      <c r="GF120" s="108" t="str">
        <f t="shared" si="64"/>
        <v/>
      </c>
      <c r="GG120" s="109" t="str">
        <f t="shared" si="143"/>
        <v/>
      </c>
      <c r="GH120" s="109" t="str">
        <f t="shared" si="65"/>
        <v/>
      </c>
      <c r="GI120" s="110" t="str">
        <f t="shared" ref="GI120:GI183" si="242">IF($B120="","",GI119-GG120)</f>
        <v/>
      </c>
      <c r="GK120" s="108" t="str">
        <f t="shared" si="145"/>
        <v/>
      </c>
      <c r="GL120" s="109" t="str">
        <f t="shared" si="146"/>
        <v/>
      </c>
      <c r="GM120" s="109" t="str">
        <f t="shared" si="147"/>
        <v/>
      </c>
      <c r="GN120" s="110" t="str">
        <f t="shared" ref="GN120:GN183" si="243">IF($B120="","",GN119-GL120)</f>
        <v/>
      </c>
      <c r="GR120" s="108" t="str">
        <f t="shared" si="66"/>
        <v/>
      </c>
      <c r="GS120" s="109" t="str">
        <f t="shared" si="67"/>
        <v/>
      </c>
      <c r="GT120" s="109" t="str">
        <f t="shared" si="68"/>
        <v/>
      </c>
      <c r="GU120" s="110" t="str">
        <f t="shared" si="69"/>
        <v/>
      </c>
      <c r="GV120" s="51"/>
      <c r="GW120" s="108" t="str">
        <f t="shared" si="70"/>
        <v/>
      </c>
      <c r="GX120" s="109" t="str">
        <f t="shared" si="148"/>
        <v/>
      </c>
      <c r="GY120" s="109" t="str">
        <f t="shared" si="71"/>
        <v/>
      </c>
      <c r="GZ120" s="110" t="str">
        <f t="shared" si="72"/>
        <v/>
      </c>
      <c r="HA120" s="51"/>
      <c r="HB120" s="108" t="str">
        <f t="shared" si="149"/>
        <v/>
      </c>
      <c r="HC120" s="109" t="str">
        <f t="shared" si="150"/>
        <v/>
      </c>
      <c r="HD120" s="109" t="str">
        <f t="shared" si="73"/>
        <v/>
      </c>
      <c r="HE120" s="110" t="str">
        <f t="shared" si="151"/>
        <v/>
      </c>
      <c r="HF120" s="51"/>
      <c r="HG120" s="108" t="str">
        <f t="shared" si="74"/>
        <v/>
      </c>
      <c r="HH120" s="109" t="str">
        <f t="shared" si="152"/>
        <v/>
      </c>
      <c r="HI120" s="109" t="str">
        <f t="shared" si="75"/>
        <v/>
      </c>
      <c r="HJ120" s="110" t="str">
        <f t="shared" si="193"/>
        <v/>
      </c>
      <c r="HK120" s="51"/>
      <c r="HL120" s="108" t="str">
        <f t="shared" si="153"/>
        <v/>
      </c>
      <c r="HM120" s="109" t="str">
        <f t="shared" si="154"/>
        <v/>
      </c>
      <c r="HN120" s="109" t="str">
        <f t="shared" si="76"/>
        <v/>
      </c>
      <c r="HO120" s="110" t="str">
        <f t="shared" si="155"/>
        <v/>
      </c>
      <c r="HP120" s="51"/>
      <c r="HQ120" s="108" t="str">
        <f t="shared" si="77"/>
        <v/>
      </c>
      <c r="HR120" s="109" t="str">
        <f t="shared" si="156"/>
        <v/>
      </c>
      <c r="HS120" s="109" t="str">
        <f t="shared" si="78"/>
        <v/>
      </c>
      <c r="HT120" s="110" t="str">
        <f t="shared" si="194"/>
        <v/>
      </c>
      <c r="HU120" s="51"/>
      <c r="HV120" s="108" t="str">
        <f t="shared" si="157"/>
        <v/>
      </c>
      <c r="HW120" s="109" t="str">
        <f t="shared" si="158"/>
        <v/>
      </c>
      <c r="HX120" s="109" t="str">
        <f t="shared" si="79"/>
        <v/>
      </c>
      <c r="HY120" s="110" t="str">
        <f t="shared" si="159"/>
        <v/>
      </c>
      <c r="HZ120" s="51"/>
      <c r="IA120" s="108" t="str">
        <f t="shared" si="80"/>
        <v/>
      </c>
      <c r="IB120" s="109" t="str">
        <f t="shared" si="160"/>
        <v/>
      </c>
      <c r="IC120" s="109" t="str">
        <f t="shared" si="81"/>
        <v/>
      </c>
      <c r="ID120" s="110" t="str">
        <f t="shared" si="195"/>
        <v/>
      </c>
      <c r="IE120" s="51"/>
      <c r="IF120" s="108" t="str">
        <f t="shared" si="161"/>
        <v/>
      </c>
      <c r="IG120" s="109" t="str">
        <f t="shared" si="162"/>
        <v/>
      </c>
      <c r="IH120" s="109" t="str">
        <f t="shared" si="82"/>
        <v/>
      </c>
      <c r="II120" s="110" t="str">
        <f t="shared" si="163"/>
        <v/>
      </c>
      <c r="IJ120" s="51"/>
      <c r="IK120" s="108" t="str">
        <f t="shared" si="83"/>
        <v/>
      </c>
      <c r="IL120" s="109" t="str">
        <f t="shared" si="164"/>
        <v/>
      </c>
      <c r="IM120" s="109" t="str">
        <f t="shared" si="84"/>
        <v/>
      </c>
      <c r="IN120" s="110" t="str">
        <f t="shared" si="196"/>
        <v/>
      </c>
      <c r="IO120" s="51"/>
      <c r="IP120" s="108" t="str">
        <f t="shared" si="165"/>
        <v/>
      </c>
      <c r="IQ120" s="109" t="str">
        <f t="shared" si="166"/>
        <v/>
      </c>
      <c r="IR120" s="109" t="str">
        <f t="shared" si="85"/>
        <v/>
      </c>
      <c r="IS120" s="110" t="str">
        <f t="shared" si="167"/>
        <v/>
      </c>
      <c r="IT120" s="51"/>
      <c r="IU120" s="108" t="str">
        <f t="shared" si="86"/>
        <v/>
      </c>
      <c r="IV120" s="109" t="str">
        <f t="shared" si="168"/>
        <v/>
      </c>
      <c r="IW120" s="109" t="str">
        <f t="shared" si="87"/>
        <v/>
      </c>
      <c r="IX120" s="110" t="str">
        <f t="shared" si="197"/>
        <v/>
      </c>
      <c r="IY120" s="51"/>
      <c r="IZ120" s="108" t="str">
        <f t="shared" si="169"/>
        <v/>
      </c>
      <c r="JA120" s="109" t="str">
        <f t="shared" si="170"/>
        <v/>
      </c>
      <c r="JB120" s="109" t="str">
        <f t="shared" si="88"/>
        <v/>
      </c>
      <c r="JC120" s="110" t="str">
        <f t="shared" si="171"/>
        <v/>
      </c>
      <c r="JD120" s="51"/>
      <c r="JE120" s="108" t="str">
        <f t="shared" si="89"/>
        <v/>
      </c>
      <c r="JF120" s="109" t="str">
        <f t="shared" si="172"/>
        <v/>
      </c>
      <c r="JG120" s="109" t="str">
        <f t="shared" si="90"/>
        <v/>
      </c>
      <c r="JH120" s="110" t="str">
        <f t="shared" si="198"/>
        <v/>
      </c>
      <c r="JI120" s="51"/>
      <c r="JJ120" s="108" t="str">
        <f t="shared" si="173"/>
        <v/>
      </c>
      <c r="JK120" s="109" t="str">
        <f t="shared" si="174"/>
        <v/>
      </c>
      <c r="JL120" s="109" t="str">
        <f t="shared" si="91"/>
        <v/>
      </c>
      <c r="JM120" s="110" t="str">
        <f t="shared" si="175"/>
        <v/>
      </c>
      <c r="JN120" s="51"/>
      <c r="JO120" s="108" t="str">
        <f t="shared" si="92"/>
        <v/>
      </c>
      <c r="JP120" s="109" t="str">
        <f t="shared" si="176"/>
        <v/>
      </c>
      <c r="JQ120" s="109" t="str">
        <f t="shared" si="93"/>
        <v/>
      </c>
      <c r="JR120" s="110" t="str">
        <f t="shared" si="199"/>
        <v/>
      </c>
      <c r="JS120" s="51"/>
      <c r="JT120" s="108" t="str">
        <f t="shared" si="177"/>
        <v/>
      </c>
      <c r="JU120" s="109" t="str">
        <f t="shared" si="178"/>
        <v/>
      </c>
      <c r="JV120" s="109" t="str">
        <f t="shared" si="94"/>
        <v/>
      </c>
      <c r="JW120" s="110" t="str">
        <f t="shared" si="179"/>
        <v/>
      </c>
      <c r="JX120" s="51"/>
      <c r="JY120" s="108" t="str">
        <f t="shared" si="95"/>
        <v/>
      </c>
      <c r="JZ120" s="109" t="str">
        <f t="shared" si="180"/>
        <v/>
      </c>
      <c r="KA120" s="109" t="str">
        <f t="shared" si="96"/>
        <v/>
      </c>
      <c r="KB120" s="110" t="str">
        <f t="shared" si="200"/>
        <v/>
      </c>
      <c r="KC120" s="51"/>
      <c r="KD120" s="108" t="str">
        <f t="shared" si="181"/>
        <v/>
      </c>
      <c r="KE120" s="109" t="str">
        <f t="shared" si="182"/>
        <v/>
      </c>
      <c r="KF120" s="109" t="str">
        <f t="shared" si="97"/>
        <v/>
      </c>
      <c r="KG120" s="110" t="str">
        <f t="shared" si="98"/>
        <v/>
      </c>
    </row>
    <row r="121" spans="1:293" ht="12" customHeight="1">
      <c r="A121" s="105">
        <f t="array" ref="A121">MAX(IF($J$80:J120&gt;0,$C$80:C120,0))</f>
        <v>43535</v>
      </c>
      <c r="B121" s="81" t="str">
        <f t="shared" si="4"/>
        <v/>
      </c>
      <c r="C121" s="82">
        <f t="shared" si="5"/>
        <v>0</v>
      </c>
      <c r="D121" s="83" t="str">
        <f t="shared" si="6"/>
        <v/>
      </c>
      <c r="E121" s="83" t="str">
        <f t="shared" si="99"/>
        <v/>
      </c>
      <c r="F121" s="83" t="str">
        <f t="shared" si="7"/>
        <v/>
      </c>
      <c r="G121" s="83" t="str">
        <f t="shared" si="8"/>
        <v/>
      </c>
      <c r="H121" s="83" t="str">
        <f t="shared" si="9"/>
        <v/>
      </c>
      <c r="I121" s="105">
        <f t="array" ref="I121">MAX(IF($R$80:R120&gt;0,$L$80:L120,0))</f>
        <v>0</v>
      </c>
      <c r="J121" s="106"/>
      <c r="K121" s="2" t="str">
        <f t="shared" si="10"/>
        <v/>
      </c>
      <c r="L121" s="82">
        <f t="shared" si="183"/>
        <v>0</v>
      </c>
      <c r="M121" s="83" t="str">
        <f t="shared" si="11"/>
        <v/>
      </c>
      <c r="N121" s="83" t="str">
        <f t="shared" si="12"/>
        <v/>
      </c>
      <c r="O121" s="83" t="str">
        <f t="shared" si="13"/>
        <v/>
      </c>
      <c r="P121" s="83" t="str">
        <f t="shared" si="14"/>
        <v/>
      </c>
      <c r="Q121" s="83" t="str">
        <f t="shared" si="15"/>
        <v/>
      </c>
      <c r="R121" s="106"/>
      <c r="S121" s="1"/>
      <c r="U121" s="85" t="e">
        <f t="shared" si="0"/>
        <v>#NUM!</v>
      </c>
      <c r="V121" s="86" t="e">
        <f t="shared" si="100"/>
        <v>#NUM!</v>
      </c>
      <c r="W121" s="87" t="e">
        <f t="shared" si="16"/>
        <v>#NUM!</v>
      </c>
      <c r="X121" s="87" t="e">
        <f t="shared" si="17"/>
        <v>#NUM!</v>
      </c>
      <c r="Y121" s="87" t="e">
        <f t="shared" si="18"/>
        <v>#NUM!</v>
      </c>
      <c r="Z121" s="88" t="e">
        <f t="shared" si="1"/>
        <v>#NUM!</v>
      </c>
      <c r="AA121" t="s">
        <v>282</v>
      </c>
      <c r="AB121" s="89">
        <f t="shared" si="101"/>
        <v>0</v>
      </c>
      <c r="AC121" s="87">
        <f t="shared" si="19"/>
        <v>0</v>
      </c>
      <c r="AD121" s="87" t="str">
        <f t="shared" si="20"/>
        <v/>
      </c>
      <c r="AE121" s="87" t="str">
        <f t="shared" si="21"/>
        <v/>
      </c>
      <c r="AF121" s="86">
        <f t="shared" si="102"/>
        <v>0</v>
      </c>
      <c r="AG121" s="87">
        <f t="shared" si="2"/>
        <v>0</v>
      </c>
      <c r="AH121" s="87">
        <f t="shared" si="103"/>
        <v>0</v>
      </c>
      <c r="AI121" s="90"/>
      <c r="AJ121" s="87" t="e">
        <f t="shared" si="22"/>
        <v>#NUM!</v>
      </c>
      <c r="AK121" s="87" t="e">
        <f t="shared" si="104"/>
        <v>#NUM!</v>
      </c>
      <c r="AL121" s="87" t="e">
        <f t="shared" si="105"/>
        <v>#NUM!</v>
      </c>
      <c r="AM121" s="87" t="e">
        <f t="shared" si="106"/>
        <v>#NUM!</v>
      </c>
      <c r="AN121" s="86">
        <f t="shared" si="23"/>
        <v>0</v>
      </c>
      <c r="AO121" s="87">
        <f t="shared" si="24"/>
        <v>0</v>
      </c>
      <c r="AP121" s="88">
        <f t="shared" si="25"/>
        <v>0</v>
      </c>
      <c r="AR121" s="91">
        <f t="shared" si="26"/>
        <v>0</v>
      </c>
      <c r="AS121" s="92">
        <f t="shared" si="27"/>
        <v>0</v>
      </c>
      <c r="AT121" s="87" t="str">
        <f t="shared" si="28"/>
        <v/>
      </c>
      <c r="AU121" s="87" t="str">
        <f t="shared" si="29"/>
        <v/>
      </c>
      <c r="AV121" s="86">
        <f t="shared" si="107"/>
        <v>0</v>
      </c>
      <c r="AW121" s="87">
        <f t="shared" si="108"/>
        <v>0</v>
      </c>
      <c r="AX121" s="87">
        <f t="shared" si="109"/>
        <v>0</v>
      </c>
      <c r="AY121" s="93"/>
      <c r="AZ121" s="87">
        <f t="shared" si="201"/>
        <v>0</v>
      </c>
      <c r="BA121" s="87">
        <f t="shared" si="110"/>
        <v>0</v>
      </c>
      <c r="BB121" s="87">
        <f t="shared" si="111"/>
        <v>0</v>
      </c>
      <c r="BC121" s="87">
        <f t="shared" si="184"/>
        <v>0</v>
      </c>
      <c r="BD121" s="86" t="e">
        <f t="shared" si="30"/>
        <v>#NUM!</v>
      </c>
      <c r="BE121" s="87" t="e">
        <f t="shared" si="3"/>
        <v>#NUM!</v>
      </c>
      <c r="BF121" s="88">
        <f t="shared" si="112"/>
        <v>0</v>
      </c>
      <c r="BH121" s="87" t="e">
        <f t="shared" si="31"/>
        <v>#NUM!</v>
      </c>
      <c r="BK121" s="95">
        <v>40418</v>
      </c>
      <c r="BL121" s="96">
        <v>42</v>
      </c>
      <c r="BT121" s="51">
        <v>30000.01</v>
      </c>
      <c r="BU121" s="51">
        <v>1000000</v>
      </c>
      <c r="BV121" s="51" t="str">
        <f>CONCATENATE(BT121,"-",BU121)</f>
        <v>30000.01-1000000</v>
      </c>
      <c r="BW121" s="30" t="s">
        <v>497</v>
      </c>
      <c r="BX121" s="30" t="s">
        <v>497</v>
      </c>
      <c r="BY121" s="30" t="s">
        <v>497</v>
      </c>
      <c r="BZ121" s="30" t="s">
        <v>497</v>
      </c>
      <c r="CA121" s="30" t="s">
        <v>497</v>
      </c>
      <c r="CB121" s="30" t="s">
        <v>497</v>
      </c>
      <c r="CC121" s="30" t="s">
        <v>497</v>
      </c>
      <c r="CD121" s="30" t="s">
        <v>497</v>
      </c>
      <c r="CE121" s="30" t="s">
        <v>497</v>
      </c>
      <c r="CF121" s="30" t="s">
        <v>497</v>
      </c>
      <c r="CG121" s="30" t="s">
        <v>497</v>
      </c>
      <c r="CY121" s="108" t="str">
        <f t="shared" si="32"/>
        <v/>
      </c>
      <c r="CZ121" s="109" t="str">
        <f t="shared" si="33"/>
        <v/>
      </c>
      <c r="DA121" s="109" t="str">
        <f t="shared" si="34"/>
        <v/>
      </c>
      <c r="DB121" s="110" t="str">
        <f t="shared" si="225"/>
        <v/>
      </c>
      <c r="DD121" s="108" t="str">
        <f t="shared" si="36"/>
        <v/>
      </c>
      <c r="DE121" s="109" t="str">
        <f t="shared" si="114"/>
        <v/>
      </c>
      <c r="DF121" s="109" t="str">
        <f t="shared" si="37"/>
        <v/>
      </c>
      <c r="DG121" s="110" t="str">
        <f t="shared" si="226"/>
        <v/>
      </c>
      <c r="DI121" s="108" t="str">
        <f t="shared" si="115"/>
        <v/>
      </c>
      <c r="DJ121" s="109" t="str">
        <f t="shared" si="116"/>
        <v/>
      </c>
      <c r="DK121" s="109" t="str">
        <f t="shared" si="39"/>
        <v/>
      </c>
      <c r="DL121" s="110" t="str">
        <f t="shared" si="227"/>
        <v/>
      </c>
      <c r="DN121" s="108" t="str">
        <f t="shared" si="41"/>
        <v/>
      </c>
      <c r="DO121" s="109" t="str">
        <f t="shared" si="42"/>
        <v/>
      </c>
      <c r="DP121" s="109" t="str">
        <f t="shared" si="43"/>
        <v/>
      </c>
      <c r="DQ121" s="110" t="str">
        <f t="shared" si="228"/>
        <v/>
      </c>
      <c r="DS121" s="108" t="str">
        <f t="shared" si="117"/>
        <v/>
      </c>
      <c r="DT121" s="109" t="str">
        <f t="shared" si="118"/>
        <v/>
      </c>
      <c r="DU121" s="109" t="str">
        <f t="shared" si="45"/>
        <v/>
      </c>
      <c r="DV121" s="110" t="str">
        <f t="shared" si="229"/>
        <v/>
      </c>
      <c r="DX121" s="108" t="str">
        <f t="shared" si="46"/>
        <v/>
      </c>
      <c r="DY121" s="109" t="str">
        <f t="shared" si="119"/>
        <v/>
      </c>
      <c r="DZ121" s="109" t="str">
        <f t="shared" si="47"/>
        <v/>
      </c>
      <c r="EA121" s="110" t="str">
        <f t="shared" si="230"/>
        <v/>
      </c>
      <c r="EC121" s="108" t="str">
        <f t="shared" si="121"/>
        <v/>
      </c>
      <c r="ED121" s="109" t="str">
        <f t="shared" si="122"/>
        <v/>
      </c>
      <c r="EE121" s="109" t="str">
        <f t="shared" si="48"/>
        <v/>
      </c>
      <c r="EF121" s="110" t="str">
        <f t="shared" si="231"/>
        <v/>
      </c>
      <c r="EH121" s="108" t="str">
        <f t="shared" si="49"/>
        <v/>
      </c>
      <c r="EI121" s="109" t="str">
        <f t="shared" si="123"/>
        <v/>
      </c>
      <c r="EJ121" s="109" t="str">
        <f t="shared" si="50"/>
        <v/>
      </c>
      <c r="EK121" s="110" t="str">
        <f t="shared" si="232"/>
        <v/>
      </c>
      <c r="EM121" s="108" t="str">
        <f t="shared" si="125"/>
        <v/>
      </c>
      <c r="EN121" s="109" t="str">
        <f t="shared" si="126"/>
        <v/>
      </c>
      <c r="EO121" s="109" t="str">
        <f t="shared" si="51"/>
        <v/>
      </c>
      <c r="EP121" s="110" t="str">
        <f t="shared" si="233"/>
        <v/>
      </c>
      <c r="ER121" s="108" t="str">
        <f t="shared" si="52"/>
        <v/>
      </c>
      <c r="ES121" s="109" t="str">
        <f t="shared" si="127"/>
        <v/>
      </c>
      <c r="ET121" s="109" t="str">
        <f t="shared" si="53"/>
        <v/>
      </c>
      <c r="EU121" s="110" t="str">
        <f t="shared" si="234"/>
        <v/>
      </c>
      <c r="EW121" s="108" t="str">
        <f t="shared" si="129"/>
        <v/>
      </c>
      <c r="EX121" s="109" t="str">
        <f t="shared" si="130"/>
        <v/>
      </c>
      <c r="EY121" s="109" t="str">
        <f t="shared" si="54"/>
        <v/>
      </c>
      <c r="EZ121" s="110" t="str">
        <f t="shared" si="235"/>
        <v/>
      </c>
      <c r="FB121" s="108" t="str">
        <f t="shared" si="55"/>
        <v/>
      </c>
      <c r="FC121" s="109" t="str">
        <f t="shared" si="131"/>
        <v/>
      </c>
      <c r="FD121" s="109" t="str">
        <f t="shared" si="56"/>
        <v/>
      </c>
      <c r="FE121" s="110" t="str">
        <f t="shared" si="236"/>
        <v/>
      </c>
      <c r="FG121" s="108" t="str">
        <f t="shared" si="133"/>
        <v/>
      </c>
      <c r="FH121" s="109" t="str">
        <f t="shared" si="134"/>
        <v/>
      </c>
      <c r="FI121" s="109" t="str">
        <f t="shared" si="57"/>
        <v/>
      </c>
      <c r="FJ121" s="110" t="str">
        <f t="shared" si="237"/>
        <v/>
      </c>
      <c r="FL121" s="108" t="str">
        <f t="shared" si="58"/>
        <v/>
      </c>
      <c r="FM121" s="109" t="str">
        <f t="shared" si="135"/>
        <v/>
      </c>
      <c r="FN121" s="109" t="str">
        <f t="shared" si="59"/>
        <v/>
      </c>
      <c r="FO121" s="110" t="str">
        <f t="shared" si="238"/>
        <v/>
      </c>
      <c r="FQ121" s="108" t="str">
        <f t="shared" si="137"/>
        <v/>
      </c>
      <c r="FR121" s="109" t="str">
        <f t="shared" si="138"/>
        <v/>
      </c>
      <c r="FS121" s="109" t="str">
        <f t="shared" si="60"/>
        <v/>
      </c>
      <c r="FT121" s="110" t="str">
        <f t="shared" si="239"/>
        <v/>
      </c>
      <c r="FV121" s="108" t="str">
        <f t="shared" si="61"/>
        <v/>
      </c>
      <c r="FW121" s="109" t="str">
        <f t="shared" si="139"/>
        <v/>
      </c>
      <c r="FX121" s="109" t="str">
        <f t="shared" si="62"/>
        <v/>
      </c>
      <c r="FY121" s="110" t="str">
        <f t="shared" si="240"/>
        <v/>
      </c>
      <c r="GA121" s="108" t="str">
        <f t="shared" si="141"/>
        <v/>
      </c>
      <c r="GB121" s="109" t="str">
        <f t="shared" si="142"/>
        <v/>
      </c>
      <c r="GC121" s="109" t="str">
        <f t="shared" si="63"/>
        <v/>
      </c>
      <c r="GD121" s="110" t="str">
        <f t="shared" si="241"/>
        <v/>
      </c>
      <c r="GF121" s="108" t="str">
        <f t="shared" si="64"/>
        <v/>
      </c>
      <c r="GG121" s="109" t="str">
        <f t="shared" si="143"/>
        <v/>
      </c>
      <c r="GH121" s="109" t="str">
        <f t="shared" si="65"/>
        <v/>
      </c>
      <c r="GI121" s="110" t="str">
        <f t="shared" si="242"/>
        <v/>
      </c>
      <c r="GK121" s="108" t="str">
        <f t="shared" si="145"/>
        <v/>
      </c>
      <c r="GL121" s="109" t="str">
        <f t="shared" si="146"/>
        <v/>
      </c>
      <c r="GM121" s="109" t="str">
        <f t="shared" si="147"/>
        <v/>
      </c>
      <c r="GN121" s="110" t="str">
        <f t="shared" si="243"/>
        <v/>
      </c>
      <c r="GR121" s="108" t="str">
        <f t="shared" si="66"/>
        <v/>
      </c>
      <c r="GS121" s="109" t="str">
        <f t="shared" si="67"/>
        <v/>
      </c>
      <c r="GT121" s="109" t="str">
        <f t="shared" si="68"/>
        <v/>
      </c>
      <c r="GU121" s="110" t="str">
        <f t="shared" si="69"/>
        <v/>
      </c>
      <c r="GV121" s="51"/>
      <c r="GW121" s="108" t="str">
        <f t="shared" si="70"/>
        <v/>
      </c>
      <c r="GX121" s="109" t="str">
        <f t="shared" si="148"/>
        <v/>
      </c>
      <c r="GY121" s="109" t="str">
        <f t="shared" si="71"/>
        <v/>
      </c>
      <c r="GZ121" s="110" t="str">
        <f t="shared" si="72"/>
        <v/>
      </c>
      <c r="HA121" s="51"/>
      <c r="HB121" s="108" t="str">
        <f t="shared" si="149"/>
        <v/>
      </c>
      <c r="HC121" s="109" t="str">
        <f t="shared" si="150"/>
        <v/>
      </c>
      <c r="HD121" s="109" t="str">
        <f t="shared" si="73"/>
        <v/>
      </c>
      <c r="HE121" s="110" t="str">
        <f t="shared" si="151"/>
        <v/>
      </c>
      <c r="HF121" s="51"/>
      <c r="HG121" s="108" t="str">
        <f t="shared" si="74"/>
        <v/>
      </c>
      <c r="HH121" s="109" t="str">
        <f t="shared" si="152"/>
        <v/>
      </c>
      <c r="HI121" s="109" t="str">
        <f t="shared" si="75"/>
        <v/>
      </c>
      <c r="HJ121" s="110" t="str">
        <f t="shared" si="193"/>
        <v/>
      </c>
      <c r="HK121" s="51"/>
      <c r="HL121" s="108" t="str">
        <f t="shared" si="153"/>
        <v/>
      </c>
      <c r="HM121" s="109" t="str">
        <f t="shared" si="154"/>
        <v/>
      </c>
      <c r="HN121" s="109" t="str">
        <f t="shared" si="76"/>
        <v/>
      </c>
      <c r="HO121" s="110" t="str">
        <f t="shared" si="155"/>
        <v/>
      </c>
      <c r="HP121" s="51"/>
      <c r="HQ121" s="108" t="str">
        <f t="shared" si="77"/>
        <v/>
      </c>
      <c r="HR121" s="109" t="str">
        <f t="shared" si="156"/>
        <v/>
      </c>
      <c r="HS121" s="109" t="str">
        <f t="shared" si="78"/>
        <v/>
      </c>
      <c r="HT121" s="110" t="str">
        <f t="shared" si="194"/>
        <v/>
      </c>
      <c r="HU121" s="51"/>
      <c r="HV121" s="108" t="str">
        <f t="shared" si="157"/>
        <v/>
      </c>
      <c r="HW121" s="109" t="str">
        <f t="shared" si="158"/>
        <v/>
      </c>
      <c r="HX121" s="109" t="str">
        <f t="shared" si="79"/>
        <v/>
      </c>
      <c r="HY121" s="110" t="str">
        <f t="shared" si="159"/>
        <v/>
      </c>
      <c r="HZ121" s="51"/>
      <c r="IA121" s="108" t="str">
        <f t="shared" si="80"/>
        <v/>
      </c>
      <c r="IB121" s="109" t="str">
        <f t="shared" si="160"/>
        <v/>
      </c>
      <c r="IC121" s="109" t="str">
        <f t="shared" si="81"/>
        <v/>
      </c>
      <c r="ID121" s="110" t="str">
        <f t="shared" si="195"/>
        <v/>
      </c>
      <c r="IE121" s="51"/>
      <c r="IF121" s="108" t="str">
        <f t="shared" si="161"/>
        <v/>
      </c>
      <c r="IG121" s="109" t="str">
        <f t="shared" si="162"/>
        <v/>
      </c>
      <c r="IH121" s="109" t="str">
        <f t="shared" si="82"/>
        <v/>
      </c>
      <c r="II121" s="110" t="str">
        <f t="shared" si="163"/>
        <v/>
      </c>
      <c r="IJ121" s="51"/>
      <c r="IK121" s="108" t="str">
        <f t="shared" si="83"/>
        <v/>
      </c>
      <c r="IL121" s="109" t="str">
        <f t="shared" si="164"/>
        <v/>
      </c>
      <c r="IM121" s="109" t="str">
        <f t="shared" si="84"/>
        <v/>
      </c>
      <c r="IN121" s="110" t="str">
        <f t="shared" si="196"/>
        <v/>
      </c>
      <c r="IO121" s="51"/>
      <c r="IP121" s="108" t="str">
        <f t="shared" si="165"/>
        <v/>
      </c>
      <c r="IQ121" s="109" t="str">
        <f t="shared" si="166"/>
        <v/>
      </c>
      <c r="IR121" s="109" t="str">
        <f t="shared" si="85"/>
        <v/>
      </c>
      <c r="IS121" s="110" t="str">
        <f t="shared" si="167"/>
        <v/>
      </c>
      <c r="IT121" s="51"/>
      <c r="IU121" s="108" t="str">
        <f t="shared" si="86"/>
        <v/>
      </c>
      <c r="IV121" s="109" t="str">
        <f t="shared" si="168"/>
        <v/>
      </c>
      <c r="IW121" s="109" t="str">
        <f t="shared" si="87"/>
        <v/>
      </c>
      <c r="IX121" s="110" t="str">
        <f t="shared" si="197"/>
        <v/>
      </c>
      <c r="IY121" s="51"/>
      <c r="IZ121" s="108" t="str">
        <f t="shared" si="169"/>
        <v/>
      </c>
      <c r="JA121" s="109" t="str">
        <f t="shared" si="170"/>
        <v/>
      </c>
      <c r="JB121" s="109" t="str">
        <f t="shared" si="88"/>
        <v/>
      </c>
      <c r="JC121" s="110" t="str">
        <f t="shared" si="171"/>
        <v/>
      </c>
      <c r="JD121" s="51"/>
      <c r="JE121" s="108" t="str">
        <f t="shared" si="89"/>
        <v/>
      </c>
      <c r="JF121" s="109" t="str">
        <f t="shared" si="172"/>
        <v/>
      </c>
      <c r="JG121" s="109" t="str">
        <f t="shared" si="90"/>
        <v/>
      </c>
      <c r="JH121" s="110" t="str">
        <f t="shared" si="198"/>
        <v/>
      </c>
      <c r="JI121" s="51"/>
      <c r="JJ121" s="108" t="str">
        <f t="shared" si="173"/>
        <v/>
      </c>
      <c r="JK121" s="109" t="str">
        <f t="shared" si="174"/>
        <v/>
      </c>
      <c r="JL121" s="109" t="str">
        <f t="shared" si="91"/>
        <v/>
      </c>
      <c r="JM121" s="110" t="str">
        <f t="shared" si="175"/>
        <v/>
      </c>
      <c r="JN121" s="51"/>
      <c r="JO121" s="108" t="str">
        <f t="shared" si="92"/>
        <v/>
      </c>
      <c r="JP121" s="109" t="str">
        <f t="shared" si="176"/>
        <v/>
      </c>
      <c r="JQ121" s="109" t="str">
        <f t="shared" si="93"/>
        <v/>
      </c>
      <c r="JR121" s="110" t="str">
        <f t="shared" si="199"/>
        <v/>
      </c>
      <c r="JS121" s="51"/>
      <c r="JT121" s="108" t="str">
        <f t="shared" si="177"/>
        <v/>
      </c>
      <c r="JU121" s="109" t="str">
        <f t="shared" si="178"/>
        <v/>
      </c>
      <c r="JV121" s="109" t="str">
        <f t="shared" si="94"/>
        <v/>
      </c>
      <c r="JW121" s="110" t="str">
        <f t="shared" si="179"/>
        <v/>
      </c>
      <c r="JX121" s="51"/>
      <c r="JY121" s="108" t="str">
        <f t="shared" si="95"/>
        <v/>
      </c>
      <c r="JZ121" s="109" t="str">
        <f t="shared" si="180"/>
        <v/>
      </c>
      <c r="KA121" s="109" t="str">
        <f t="shared" si="96"/>
        <v/>
      </c>
      <c r="KB121" s="110" t="str">
        <f t="shared" si="200"/>
        <v/>
      </c>
      <c r="KC121" s="51"/>
      <c r="KD121" s="108" t="str">
        <f t="shared" si="181"/>
        <v/>
      </c>
      <c r="KE121" s="109" t="str">
        <f t="shared" si="182"/>
        <v/>
      </c>
      <c r="KF121" s="109" t="str">
        <f t="shared" si="97"/>
        <v/>
      </c>
      <c r="KG121" s="110" t="str">
        <f t="shared" si="98"/>
        <v/>
      </c>
    </row>
    <row r="122" spans="1:293" ht="12" customHeight="1">
      <c r="A122" s="105">
        <f t="array" ref="A122">MAX(IF($J$80:J121&gt;0,$C$80:C121,0))</f>
        <v>43535</v>
      </c>
      <c r="B122" s="81" t="str">
        <f t="shared" si="4"/>
        <v/>
      </c>
      <c r="C122" s="82">
        <f t="shared" si="5"/>
        <v>0</v>
      </c>
      <c r="D122" s="83" t="str">
        <f t="shared" si="6"/>
        <v/>
      </c>
      <c r="E122" s="83" t="str">
        <f t="shared" si="99"/>
        <v/>
      </c>
      <c r="F122" s="83" t="str">
        <f t="shared" si="7"/>
        <v/>
      </c>
      <c r="G122" s="83" t="str">
        <f t="shared" si="8"/>
        <v/>
      </c>
      <c r="H122" s="83" t="str">
        <f t="shared" si="9"/>
        <v/>
      </c>
      <c r="I122" s="105">
        <f t="array" ref="I122">MAX(IF($R$80:R121&gt;0,$L$80:L121,0))</f>
        <v>0</v>
      </c>
      <c r="J122" s="106"/>
      <c r="K122" s="2" t="str">
        <f t="shared" si="10"/>
        <v/>
      </c>
      <c r="L122" s="82">
        <f t="shared" si="183"/>
        <v>0</v>
      </c>
      <c r="M122" s="83" t="str">
        <f t="shared" si="11"/>
        <v/>
      </c>
      <c r="N122" s="83" t="str">
        <f t="shared" si="12"/>
        <v/>
      </c>
      <c r="O122" s="83" t="str">
        <f t="shared" si="13"/>
        <v/>
      </c>
      <c r="P122" s="83" t="str">
        <f t="shared" si="14"/>
        <v/>
      </c>
      <c r="Q122" s="83" t="str">
        <f t="shared" si="15"/>
        <v/>
      </c>
      <c r="R122" s="106"/>
      <c r="S122" s="1"/>
      <c r="U122" s="85" t="e">
        <f t="shared" si="0"/>
        <v>#NUM!</v>
      </c>
      <c r="V122" s="86" t="e">
        <f t="shared" si="100"/>
        <v>#NUM!</v>
      </c>
      <c r="W122" s="87" t="e">
        <f t="shared" si="16"/>
        <v>#NUM!</v>
      </c>
      <c r="X122" s="87" t="e">
        <f t="shared" si="17"/>
        <v>#NUM!</v>
      </c>
      <c r="Y122" s="87" t="e">
        <f t="shared" si="18"/>
        <v>#NUM!</v>
      </c>
      <c r="Z122" s="88" t="e">
        <f t="shared" si="1"/>
        <v>#NUM!</v>
      </c>
      <c r="AA122" t="s">
        <v>282</v>
      </c>
      <c r="AB122" s="89">
        <f t="shared" si="101"/>
        <v>0</v>
      </c>
      <c r="AC122" s="87">
        <f t="shared" si="19"/>
        <v>0</v>
      </c>
      <c r="AD122" s="87" t="str">
        <f t="shared" si="20"/>
        <v/>
      </c>
      <c r="AE122" s="87" t="str">
        <f t="shared" si="21"/>
        <v/>
      </c>
      <c r="AF122" s="86">
        <f t="shared" si="102"/>
        <v>0</v>
      </c>
      <c r="AG122" s="87">
        <f t="shared" si="2"/>
        <v>0</v>
      </c>
      <c r="AH122" s="87">
        <f t="shared" si="103"/>
        <v>0</v>
      </c>
      <c r="AI122" s="90"/>
      <c r="AJ122" s="87" t="e">
        <f t="shared" si="22"/>
        <v>#NUM!</v>
      </c>
      <c r="AK122" s="87" t="e">
        <f t="shared" si="104"/>
        <v>#NUM!</v>
      </c>
      <c r="AL122" s="87" t="e">
        <f t="shared" si="105"/>
        <v>#NUM!</v>
      </c>
      <c r="AM122" s="87" t="e">
        <f t="shared" si="106"/>
        <v>#NUM!</v>
      </c>
      <c r="AN122" s="86">
        <f t="shared" si="23"/>
        <v>0</v>
      </c>
      <c r="AO122" s="87">
        <f t="shared" si="24"/>
        <v>0</v>
      </c>
      <c r="AP122" s="88">
        <f t="shared" si="25"/>
        <v>0</v>
      </c>
      <c r="AR122" s="91">
        <f t="shared" si="26"/>
        <v>0</v>
      </c>
      <c r="AS122" s="92">
        <f t="shared" si="27"/>
        <v>0</v>
      </c>
      <c r="AT122" s="87" t="str">
        <f t="shared" si="28"/>
        <v/>
      </c>
      <c r="AU122" s="87" t="str">
        <f t="shared" si="29"/>
        <v/>
      </c>
      <c r="AV122" s="86">
        <f t="shared" si="107"/>
        <v>0</v>
      </c>
      <c r="AW122" s="87">
        <f t="shared" si="108"/>
        <v>0</v>
      </c>
      <c r="AX122" s="87">
        <f t="shared" si="109"/>
        <v>0</v>
      </c>
      <c r="AY122" s="93"/>
      <c r="AZ122" s="87">
        <f t="shared" si="201"/>
        <v>0</v>
      </c>
      <c r="BA122" s="87">
        <f t="shared" si="110"/>
        <v>0</v>
      </c>
      <c r="BB122" s="87">
        <f t="shared" si="111"/>
        <v>0</v>
      </c>
      <c r="BC122" s="87">
        <f t="shared" si="184"/>
        <v>0</v>
      </c>
      <c r="BD122" s="86" t="e">
        <f t="shared" si="30"/>
        <v>#NUM!</v>
      </c>
      <c r="BE122" s="87" t="e">
        <f t="shared" si="3"/>
        <v>#NUM!</v>
      </c>
      <c r="BF122" s="88">
        <f t="shared" si="112"/>
        <v>0</v>
      </c>
      <c r="BH122" s="87" t="e">
        <f t="shared" si="31"/>
        <v>#NUM!</v>
      </c>
      <c r="BK122" s="95">
        <v>40465</v>
      </c>
      <c r="BL122" s="96">
        <v>43</v>
      </c>
      <c r="BT122" s="51"/>
      <c r="BU122" s="51"/>
      <c r="BV122" s="30"/>
      <c r="BW122" s="30"/>
      <c r="BX122" s="30"/>
      <c r="BY122" s="107"/>
      <c r="BZ122" s="107"/>
      <c r="CA122" s="107"/>
      <c r="CB122" s="107"/>
      <c r="CC122" s="107"/>
      <c r="CD122" s="107"/>
      <c r="CE122" s="30"/>
      <c r="CF122" s="107"/>
      <c r="CG122" s="107"/>
      <c r="CY122" s="108" t="str">
        <f t="shared" si="32"/>
        <v/>
      </c>
      <c r="CZ122" s="109" t="str">
        <f t="shared" si="33"/>
        <v/>
      </c>
      <c r="DA122" s="109" t="str">
        <f t="shared" si="34"/>
        <v/>
      </c>
      <c r="DB122" s="110" t="str">
        <f t="shared" si="225"/>
        <v/>
      </c>
      <c r="DD122" s="108" t="str">
        <f t="shared" si="36"/>
        <v/>
      </c>
      <c r="DE122" s="109" t="str">
        <f t="shared" si="114"/>
        <v/>
      </c>
      <c r="DF122" s="109" t="str">
        <f t="shared" si="37"/>
        <v/>
      </c>
      <c r="DG122" s="110" t="str">
        <f t="shared" si="226"/>
        <v/>
      </c>
      <c r="DI122" s="108" t="str">
        <f t="shared" si="115"/>
        <v/>
      </c>
      <c r="DJ122" s="109" t="str">
        <f t="shared" si="116"/>
        <v/>
      </c>
      <c r="DK122" s="109" t="str">
        <f t="shared" si="39"/>
        <v/>
      </c>
      <c r="DL122" s="110" t="str">
        <f t="shared" si="227"/>
        <v/>
      </c>
      <c r="DN122" s="108" t="str">
        <f t="shared" si="41"/>
        <v/>
      </c>
      <c r="DO122" s="109" t="str">
        <f t="shared" si="42"/>
        <v/>
      </c>
      <c r="DP122" s="109" t="str">
        <f t="shared" si="43"/>
        <v/>
      </c>
      <c r="DQ122" s="110" t="str">
        <f t="shared" si="228"/>
        <v/>
      </c>
      <c r="DS122" s="108" t="str">
        <f t="shared" si="117"/>
        <v/>
      </c>
      <c r="DT122" s="109" t="str">
        <f t="shared" si="118"/>
        <v/>
      </c>
      <c r="DU122" s="109" t="str">
        <f t="shared" si="45"/>
        <v/>
      </c>
      <c r="DV122" s="110" t="str">
        <f t="shared" si="229"/>
        <v/>
      </c>
      <c r="DX122" s="108" t="str">
        <f t="shared" si="46"/>
        <v/>
      </c>
      <c r="DY122" s="109" t="str">
        <f t="shared" si="119"/>
        <v/>
      </c>
      <c r="DZ122" s="109" t="str">
        <f t="shared" si="47"/>
        <v/>
      </c>
      <c r="EA122" s="110" t="str">
        <f t="shared" si="230"/>
        <v/>
      </c>
      <c r="EC122" s="108" t="str">
        <f t="shared" si="121"/>
        <v/>
      </c>
      <c r="ED122" s="109" t="str">
        <f t="shared" si="122"/>
        <v/>
      </c>
      <c r="EE122" s="109" t="str">
        <f t="shared" si="48"/>
        <v/>
      </c>
      <c r="EF122" s="110" t="str">
        <f t="shared" si="231"/>
        <v/>
      </c>
      <c r="EH122" s="108" t="str">
        <f t="shared" si="49"/>
        <v/>
      </c>
      <c r="EI122" s="109" t="str">
        <f t="shared" si="123"/>
        <v/>
      </c>
      <c r="EJ122" s="109" t="str">
        <f t="shared" si="50"/>
        <v/>
      </c>
      <c r="EK122" s="110" t="str">
        <f t="shared" si="232"/>
        <v/>
      </c>
      <c r="EM122" s="108" t="str">
        <f t="shared" si="125"/>
        <v/>
      </c>
      <c r="EN122" s="109" t="str">
        <f t="shared" si="126"/>
        <v/>
      </c>
      <c r="EO122" s="109" t="str">
        <f t="shared" si="51"/>
        <v/>
      </c>
      <c r="EP122" s="110" t="str">
        <f t="shared" si="233"/>
        <v/>
      </c>
      <c r="ER122" s="108" t="str">
        <f t="shared" si="52"/>
        <v/>
      </c>
      <c r="ES122" s="109" t="str">
        <f t="shared" si="127"/>
        <v/>
      </c>
      <c r="ET122" s="109" t="str">
        <f t="shared" si="53"/>
        <v/>
      </c>
      <c r="EU122" s="110" t="str">
        <f t="shared" si="234"/>
        <v/>
      </c>
      <c r="EW122" s="108" t="str">
        <f t="shared" si="129"/>
        <v/>
      </c>
      <c r="EX122" s="109" t="str">
        <f t="shared" si="130"/>
        <v/>
      </c>
      <c r="EY122" s="109" t="str">
        <f t="shared" si="54"/>
        <v/>
      </c>
      <c r="EZ122" s="110" t="str">
        <f t="shared" si="235"/>
        <v/>
      </c>
      <c r="FB122" s="108" t="str">
        <f t="shared" si="55"/>
        <v/>
      </c>
      <c r="FC122" s="109" t="str">
        <f t="shared" si="131"/>
        <v/>
      </c>
      <c r="FD122" s="109" t="str">
        <f t="shared" si="56"/>
        <v/>
      </c>
      <c r="FE122" s="110" t="str">
        <f t="shared" si="236"/>
        <v/>
      </c>
      <c r="FG122" s="108" t="str">
        <f t="shared" si="133"/>
        <v/>
      </c>
      <c r="FH122" s="109" t="str">
        <f t="shared" si="134"/>
        <v/>
      </c>
      <c r="FI122" s="109" t="str">
        <f t="shared" si="57"/>
        <v/>
      </c>
      <c r="FJ122" s="110" t="str">
        <f t="shared" si="237"/>
        <v/>
      </c>
      <c r="FL122" s="108" t="str">
        <f t="shared" si="58"/>
        <v/>
      </c>
      <c r="FM122" s="109" t="str">
        <f t="shared" si="135"/>
        <v/>
      </c>
      <c r="FN122" s="109" t="str">
        <f t="shared" si="59"/>
        <v/>
      </c>
      <c r="FO122" s="110" t="str">
        <f t="shared" si="238"/>
        <v/>
      </c>
      <c r="FQ122" s="108" t="str">
        <f t="shared" si="137"/>
        <v/>
      </c>
      <c r="FR122" s="109" t="str">
        <f t="shared" si="138"/>
        <v/>
      </c>
      <c r="FS122" s="109" t="str">
        <f t="shared" si="60"/>
        <v/>
      </c>
      <c r="FT122" s="110" t="str">
        <f t="shared" si="239"/>
        <v/>
      </c>
      <c r="FV122" s="108" t="str">
        <f t="shared" si="61"/>
        <v/>
      </c>
      <c r="FW122" s="109" t="str">
        <f t="shared" si="139"/>
        <v/>
      </c>
      <c r="FX122" s="109" t="str">
        <f t="shared" si="62"/>
        <v/>
      </c>
      <c r="FY122" s="110" t="str">
        <f t="shared" si="240"/>
        <v/>
      </c>
      <c r="GA122" s="108" t="str">
        <f t="shared" si="141"/>
        <v/>
      </c>
      <c r="GB122" s="109" t="str">
        <f t="shared" si="142"/>
        <v/>
      </c>
      <c r="GC122" s="109" t="str">
        <f t="shared" si="63"/>
        <v/>
      </c>
      <c r="GD122" s="110" t="str">
        <f t="shared" si="241"/>
        <v/>
      </c>
      <c r="GF122" s="108" t="str">
        <f t="shared" si="64"/>
        <v/>
      </c>
      <c r="GG122" s="109" t="str">
        <f t="shared" si="143"/>
        <v/>
      </c>
      <c r="GH122" s="109" t="str">
        <f t="shared" si="65"/>
        <v/>
      </c>
      <c r="GI122" s="110" t="str">
        <f t="shared" si="242"/>
        <v/>
      </c>
      <c r="GK122" s="108" t="str">
        <f t="shared" si="145"/>
        <v/>
      </c>
      <c r="GL122" s="109" t="str">
        <f t="shared" si="146"/>
        <v/>
      </c>
      <c r="GM122" s="109" t="str">
        <f t="shared" si="147"/>
        <v/>
      </c>
      <c r="GN122" s="110" t="str">
        <f t="shared" si="243"/>
        <v/>
      </c>
      <c r="GR122" s="108" t="str">
        <f t="shared" si="66"/>
        <v/>
      </c>
      <c r="GS122" s="109" t="str">
        <f t="shared" si="67"/>
        <v/>
      </c>
      <c r="GT122" s="109" t="str">
        <f t="shared" si="68"/>
        <v/>
      </c>
      <c r="GU122" s="110" t="str">
        <f t="shared" si="69"/>
        <v/>
      </c>
      <c r="GV122" s="51"/>
      <c r="GW122" s="108" t="str">
        <f t="shared" si="70"/>
        <v/>
      </c>
      <c r="GX122" s="109" t="str">
        <f t="shared" si="148"/>
        <v/>
      </c>
      <c r="GY122" s="109" t="str">
        <f t="shared" si="71"/>
        <v/>
      </c>
      <c r="GZ122" s="110" t="str">
        <f t="shared" si="72"/>
        <v/>
      </c>
      <c r="HA122" s="51"/>
      <c r="HB122" s="108" t="str">
        <f t="shared" si="149"/>
        <v/>
      </c>
      <c r="HC122" s="109" t="str">
        <f t="shared" si="150"/>
        <v/>
      </c>
      <c r="HD122" s="109" t="str">
        <f t="shared" si="73"/>
        <v/>
      </c>
      <c r="HE122" s="110" t="str">
        <f t="shared" si="151"/>
        <v/>
      </c>
      <c r="HF122" s="51"/>
      <c r="HG122" s="108" t="str">
        <f t="shared" si="74"/>
        <v/>
      </c>
      <c r="HH122" s="109" t="str">
        <f t="shared" si="152"/>
        <v/>
      </c>
      <c r="HI122" s="109" t="str">
        <f t="shared" si="75"/>
        <v/>
      </c>
      <c r="HJ122" s="110" t="str">
        <f t="shared" si="193"/>
        <v/>
      </c>
      <c r="HK122" s="51"/>
      <c r="HL122" s="108" t="str">
        <f t="shared" si="153"/>
        <v/>
      </c>
      <c r="HM122" s="109" t="str">
        <f t="shared" si="154"/>
        <v/>
      </c>
      <c r="HN122" s="109" t="str">
        <f t="shared" si="76"/>
        <v/>
      </c>
      <c r="HO122" s="110" t="str">
        <f t="shared" si="155"/>
        <v/>
      </c>
      <c r="HP122" s="51"/>
      <c r="HQ122" s="108" t="str">
        <f t="shared" si="77"/>
        <v/>
      </c>
      <c r="HR122" s="109" t="str">
        <f t="shared" si="156"/>
        <v/>
      </c>
      <c r="HS122" s="109" t="str">
        <f t="shared" si="78"/>
        <v/>
      </c>
      <c r="HT122" s="110" t="str">
        <f t="shared" si="194"/>
        <v/>
      </c>
      <c r="HU122" s="51"/>
      <c r="HV122" s="108" t="str">
        <f t="shared" si="157"/>
        <v/>
      </c>
      <c r="HW122" s="109" t="str">
        <f t="shared" si="158"/>
        <v/>
      </c>
      <c r="HX122" s="109" t="str">
        <f t="shared" si="79"/>
        <v/>
      </c>
      <c r="HY122" s="110" t="str">
        <f t="shared" si="159"/>
        <v/>
      </c>
      <c r="HZ122" s="51"/>
      <c r="IA122" s="108" t="str">
        <f t="shared" si="80"/>
        <v/>
      </c>
      <c r="IB122" s="109" t="str">
        <f t="shared" si="160"/>
        <v/>
      </c>
      <c r="IC122" s="109" t="str">
        <f t="shared" si="81"/>
        <v/>
      </c>
      <c r="ID122" s="110" t="str">
        <f t="shared" si="195"/>
        <v/>
      </c>
      <c r="IE122" s="51"/>
      <c r="IF122" s="108" t="str">
        <f t="shared" si="161"/>
        <v/>
      </c>
      <c r="IG122" s="109" t="str">
        <f t="shared" si="162"/>
        <v/>
      </c>
      <c r="IH122" s="109" t="str">
        <f t="shared" si="82"/>
        <v/>
      </c>
      <c r="II122" s="110" t="str">
        <f t="shared" si="163"/>
        <v/>
      </c>
      <c r="IJ122" s="51"/>
      <c r="IK122" s="108" t="str">
        <f t="shared" si="83"/>
        <v/>
      </c>
      <c r="IL122" s="109" t="str">
        <f t="shared" si="164"/>
        <v/>
      </c>
      <c r="IM122" s="109" t="str">
        <f t="shared" si="84"/>
        <v/>
      </c>
      <c r="IN122" s="110" t="str">
        <f t="shared" si="196"/>
        <v/>
      </c>
      <c r="IO122" s="51"/>
      <c r="IP122" s="108" t="str">
        <f t="shared" si="165"/>
        <v/>
      </c>
      <c r="IQ122" s="109" t="str">
        <f t="shared" si="166"/>
        <v/>
      </c>
      <c r="IR122" s="109" t="str">
        <f t="shared" si="85"/>
        <v/>
      </c>
      <c r="IS122" s="110" t="str">
        <f t="shared" si="167"/>
        <v/>
      </c>
      <c r="IT122" s="51"/>
      <c r="IU122" s="108" t="str">
        <f t="shared" si="86"/>
        <v/>
      </c>
      <c r="IV122" s="109" t="str">
        <f t="shared" si="168"/>
        <v/>
      </c>
      <c r="IW122" s="109" t="str">
        <f t="shared" si="87"/>
        <v/>
      </c>
      <c r="IX122" s="110" t="str">
        <f t="shared" si="197"/>
        <v/>
      </c>
      <c r="IY122" s="51"/>
      <c r="IZ122" s="108" t="str">
        <f t="shared" si="169"/>
        <v/>
      </c>
      <c r="JA122" s="109" t="str">
        <f t="shared" si="170"/>
        <v/>
      </c>
      <c r="JB122" s="109" t="str">
        <f t="shared" si="88"/>
        <v/>
      </c>
      <c r="JC122" s="110" t="str">
        <f t="shared" si="171"/>
        <v/>
      </c>
      <c r="JD122" s="51"/>
      <c r="JE122" s="108" t="str">
        <f t="shared" si="89"/>
        <v/>
      </c>
      <c r="JF122" s="109" t="str">
        <f t="shared" si="172"/>
        <v/>
      </c>
      <c r="JG122" s="109" t="str">
        <f t="shared" si="90"/>
        <v/>
      </c>
      <c r="JH122" s="110" t="str">
        <f t="shared" si="198"/>
        <v/>
      </c>
      <c r="JI122" s="51"/>
      <c r="JJ122" s="108" t="str">
        <f t="shared" si="173"/>
        <v/>
      </c>
      <c r="JK122" s="109" t="str">
        <f t="shared" si="174"/>
        <v/>
      </c>
      <c r="JL122" s="109" t="str">
        <f t="shared" si="91"/>
        <v/>
      </c>
      <c r="JM122" s="110" t="str">
        <f t="shared" si="175"/>
        <v/>
      </c>
      <c r="JN122" s="51"/>
      <c r="JO122" s="108" t="str">
        <f t="shared" si="92"/>
        <v/>
      </c>
      <c r="JP122" s="109" t="str">
        <f t="shared" si="176"/>
        <v/>
      </c>
      <c r="JQ122" s="109" t="str">
        <f t="shared" si="93"/>
        <v/>
      </c>
      <c r="JR122" s="110" t="str">
        <f t="shared" si="199"/>
        <v/>
      </c>
      <c r="JS122" s="51"/>
      <c r="JT122" s="108" t="str">
        <f t="shared" si="177"/>
        <v/>
      </c>
      <c r="JU122" s="109" t="str">
        <f t="shared" si="178"/>
        <v/>
      </c>
      <c r="JV122" s="109" t="str">
        <f t="shared" si="94"/>
        <v/>
      </c>
      <c r="JW122" s="110" t="str">
        <f t="shared" si="179"/>
        <v/>
      </c>
      <c r="JX122" s="51"/>
      <c r="JY122" s="108" t="str">
        <f t="shared" si="95"/>
        <v/>
      </c>
      <c r="JZ122" s="109" t="str">
        <f t="shared" si="180"/>
        <v/>
      </c>
      <c r="KA122" s="109" t="str">
        <f t="shared" si="96"/>
        <v/>
      </c>
      <c r="KB122" s="110" t="str">
        <f t="shared" si="200"/>
        <v/>
      </c>
      <c r="KC122" s="51"/>
      <c r="KD122" s="108" t="str">
        <f t="shared" si="181"/>
        <v/>
      </c>
      <c r="KE122" s="109" t="str">
        <f t="shared" si="182"/>
        <v/>
      </c>
      <c r="KF122" s="109" t="str">
        <f t="shared" si="97"/>
        <v/>
      </c>
      <c r="KG122" s="110" t="str">
        <f t="shared" si="98"/>
        <v/>
      </c>
    </row>
    <row r="123" spans="1:293" ht="12" customHeight="1">
      <c r="A123" s="105">
        <f t="array" ref="A123">MAX(IF($J$80:J122&gt;0,$C$80:C122,0))</f>
        <v>43535</v>
      </c>
      <c r="B123" s="81" t="str">
        <f t="shared" si="4"/>
        <v/>
      </c>
      <c r="C123" s="82">
        <f t="shared" si="5"/>
        <v>0</v>
      </c>
      <c r="D123" s="83" t="str">
        <f t="shared" si="6"/>
        <v/>
      </c>
      <c r="E123" s="83" t="str">
        <f t="shared" si="99"/>
        <v/>
      </c>
      <c r="F123" s="83" t="str">
        <f t="shared" si="7"/>
        <v/>
      </c>
      <c r="G123" s="83" t="str">
        <f t="shared" si="8"/>
        <v/>
      </c>
      <c r="H123" s="83" t="str">
        <f t="shared" si="9"/>
        <v/>
      </c>
      <c r="I123" s="105">
        <f t="array" ref="I123">MAX(IF($R$80:R122&gt;0,$L$80:L122,0))</f>
        <v>0</v>
      </c>
      <c r="J123" s="106"/>
      <c r="K123" s="2" t="str">
        <f t="shared" si="10"/>
        <v/>
      </c>
      <c r="L123" s="82">
        <f t="shared" si="183"/>
        <v>0</v>
      </c>
      <c r="M123" s="83" t="str">
        <f t="shared" si="11"/>
        <v/>
      </c>
      <c r="N123" s="83" t="str">
        <f t="shared" si="12"/>
        <v/>
      </c>
      <c r="O123" s="83" t="str">
        <f t="shared" si="13"/>
        <v/>
      </c>
      <c r="P123" s="83" t="str">
        <f t="shared" si="14"/>
        <v/>
      </c>
      <c r="Q123" s="83" t="str">
        <f t="shared" si="15"/>
        <v/>
      </c>
      <c r="R123" s="106"/>
      <c r="S123" s="1"/>
      <c r="U123" s="85" t="e">
        <f t="shared" si="0"/>
        <v>#NUM!</v>
      </c>
      <c r="V123" s="86" t="e">
        <f t="shared" si="100"/>
        <v>#NUM!</v>
      </c>
      <c r="W123" s="87" t="e">
        <f t="shared" si="16"/>
        <v>#NUM!</v>
      </c>
      <c r="X123" s="87" t="e">
        <f t="shared" si="17"/>
        <v>#NUM!</v>
      </c>
      <c r="Y123" s="87" t="e">
        <f t="shared" si="18"/>
        <v>#NUM!</v>
      </c>
      <c r="Z123" s="88" t="e">
        <f t="shared" si="1"/>
        <v>#NUM!</v>
      </c>
      <c r="AA123" t="s">
        <v>282</v>
      </c>
      <c r="AB123" s="89">
        <f t="shared" si="101"/>
        <v>0</v>
      </c>
      <c r="AC123" s="87">
        <f t="shared" si="19"/>
        <v>0</v>
      </c>
      <c r="AD123" s="87" t="str">
        <f t="shared" si="20"/>
        <v/>
      </c>
      <c r="AE123" s="87" t="str">
        <f t="shared" si="21"/>
        <v/>
      </c>
      <c r="AF123" s="86">
        <f t="shared" si="102"/>
        <v>0</v>
      </c>
      <c r="AG123" s="87">
        <f t="shared" si="2"/>
        <v>0</v>
      </c>
      <c r="AH123" s="87">
        <f t="shared" si="103"/>
        <v>0</v>
      </c>
      <c r="AI123" s="90"/>
      <c r="AJ123" s="87" t="e">
        <f t="shared" si="22"/>
        <v>#NUM!</v>
      </c>
      <c r="AK123" s="87" t="e">
        <f t="shared" si="104"/>
        <v>#NUM!</v>
      </c>
      <c r="AL123" s="87" t="e">
        <f t="shared" si="105"/>
        <v>#NUM!</v>
      </c>
      <c r="AM123" s="87" t="e">
        <f t="shared" si="106"/>
        <v>#NUM!</v>
      </c>
      <c r="AN123" s="86">
        <f t="shared" si="23"/>
        <v>0</v>
      </c>
      <c r="AO123" s="87">
        <f t="shared" si="24"/>
        <v>0</v>
      </c>
      <c r="AP123" s="88">
        <f t="shared" si="25"/>
        <v>0</v>
      </c>
      <c r="AR123" s="91">
        <f t="shared" si="26"/>
        <v>0</v>
      </c>
      <c r="AS123" s="92">
        <f t="shared" si="27"/>
        <v>0</v>
      </c>
      <c r="AT123" s="87" t="str">
        <f t="shared" si="28"/>
        <v/>
      </c>
      <c r="AU123" s="87" t="str">
        <f t="shared" si="29"/>
        <v/>
      </c>
      <c r="AV123" s="86">
        <f t="shared" si="107"/>
        <v>0</v>
      </c>
      <c r="AW123" s="87">
        <f t="shared" si="108"/>
        <v>0</v>
      </c>
      <c r="AX123" s="87">
        <f t="shared" si="109"/>
        <v>0</v>
      </c>
      <c r="AY123" s="93"/>
      <c r="AZ123" s="87">
        <f t="shared" si="201"/>
        <v>0</v>
      </c>
      <c r="BA123" s="87">
        <f t="shared" si="110"/>
        <v>0</v>
      </c>
      <c r="BB123" s="87">
        <f t="shared" si="111"/>
        <v>0</v>
      </c>
      <c r="BC123" s="87">
        <f t="shared" si="184"/>
        <v>0</v>
      </c>
      <c r="BD123" s="86" t="e">
        <f t="shared" si="30"/>
        <v>#NUM!</v>
      </c>
      <c r="BE123" s="87" t="e">
        <f t="shared" si="3"/>
        <v>#NUM!</v>
      </c>
      <c r="BF123" s="88">
        <f t="shared" si="112"/>
        <v>0</v>
      </c>
      <c r="BH123" s="87" t="e">
        <f t="shared" si="31"/>
        <v>#NUM!</v>
      </c>
      <c r="BK123" s="95">
        <v>40505</v>
      </c>
      <c r="BL123" s="96">
        <v>44</v>
      </c>
      <c r="BT123" t="s">
        <v>183</v>
      </c>
      <c r="BX123" s="107"/>
      <c r="BY123" s="30"/>
      <c r="BZ123" s="30"/>
      <c r="CA123" s="30"/>
      <c r="CB123" s="30"/>
      <c r="CC123" s="30"/>
      <c r="CD123" s="30"/>
      <c r="CE123" s="30"/>
      <c r="CF123" s="30"/>
      <c r="CG123" s="30"/>
      <c r="CY123" s="108" t="str">
        <f t="shared" si="32"/>
        <v/>
      </c>
      <c r="CZ123" s="109" t="str">
        <f t="shared" si="33"/>
        <v/>
      </c>
      <c r="DA123" s="109" t="str">
        <f t="shared" si="34"/>
        <v/>
      </c>
      <c r="DB123" s="110" t="str">
        <f t="shared" si="225"/>
        <v/>
      </c>
      <c r="DD123" s="108" t="str">
        <f t="shared" si="36"/>
        <v/>
      </c>
      <c r="DE123" s="109" t="str">
        <f t="shared" si="114"/>
        <v/>
      </c>
      <c r="DF123" s="109" t="str">
        <f t="shared" si="37"/>
        <v/>
      </c>
      <c r="DG123" s="110" t="str">
        <f t="shared" si="226"/>
        <v/>
      </c>
      <c r="DI123" s="108" t="str">
        <f t="shared" si="115"/>
        <v/>
      </c>
      <c r="DJ123" s="109" t="str">
        <f t="shared" si="116"/>
        <v/>
      </c>
      <c r="DK123" s="109" t="str">
        <f t="shared" si="39"/>
        <v/>
      </c>
      <c r="DL123" s="110" t="str">
        <f t="shared" si="227"/>
        <v/>
      </c>
      <c r="DN123" s="108" t="str">
        <f t="shared" si="41"/>
        <v/>
      </c>
      <c r="DO123" s="109" t="str">
        <f t="shared" si="42"/>
        <v/>
      </c>
      <c r="DP123" s="109" t="str">
        <f t="shared" si="43"/>
        <v/>
      </c>
      <c r="DQ123" s="110" t="str">
        <f t="shared" si="228"/>
        <v/>
      </c>
      <c r="DS123" s="108" t="str">
        <f t="shared" si="117"/>
        <v/>
      </c>
      <c r="DT123" s="109" t="str">
        <f t="shared" si="118"/>
        <v/>
      </c>
      <c r="DU123" s="109" t="str">
        <f t="shared" si="45"/>
        <v/>
      </c>
      <c r="DV123" s="110" t="str">
        <f t="shared" si="229"/>
        <v/>
      </c>
      <c r="DX123" s="108" t="str">
        <f t="shared" si="46"/>
        <v/>
      </c>
      <c r="DY123" s="109" t="str">
        <f t="shared" si="119"/>
        <v/>
      </c>
      <c r="DZ123" s="109" t="str">
        <f t="shared" si="47"/>
        <v/>
      </c>
      <c r="EA123" s="110" t="str">
        <f t="shared" si="230"/>
        <v/>
      </c>
      <c r="EC123" s="108" t="str">
        <f t="shared" si="121"/>
        <v/>
      </c>
      <c r="ED123" s="109" t="str">
        <f t="shared" si="122"/>
        <v/>
      </c>
      <c r="EE123" s="109" t="str">
        <f t="shared" si="48"/>
        <v/>
      </c>
      <c r="EF123" s="110" t="str">
        <f t="shared" si="231"/>
        <v/>
      </c>
      <c r="EH123" s="108" t="str">
        <f t="shared" si="49"/>
        <v/>
      </c>
      <c r="EI123" s="109" t="str">
        <f t="shared" si="123"/>
        <v/>
      </c>
      <c r="EJ123" s="109" t="str">
        <f t="shared" si="50"/>
        <v/>
      </c>
      <c r="EK123" s="110" t="str">
        <f t="shared" si="232"/>
        <v/>
      </c>
      <c r="EM123" s="108" t="str">
        <f t="shared" si="125"/>
        <v/>
      </c>
      <c r="EN123" s="109" t="str">
        <f t="shared" si="126"/>
        <v/>
      </c>
      <c r="EO123" s="109" t="str">
        <f t="shared" si="51"/>
        <v/>
      </c>
      <c r="EP123" s="110" t="str">
        <f t="shared" si="233"/>
        <v/>
      </c>
      <c r="ER123" s="108" t="str">
        <f t="shared" si="52"/>
        <v/>
      </c>
      <c r="ES123" s="109" t="str">
        <f t="shared" si="127"/>
        <v/>
      </c>
      <c r="ET123" s="109" t="str">
        <f t="shared" si="53"/>
        <v/>
      </c>
      <c r="EU123" s="110" t="str">
        <f t="shared" si="234"/>
        <v/>
      </c>
      <c r="EW123" s="108" t="str">
        <f t="shared" si="129"/>
        <v/>
      </c>
      <c r="EX123" s="109" t="str">
        <f t="shared" si="130"/>
        <v/>
      </c>
      <c r="EY123" s="109" t="str">
        <f t="shared" si="54"/>
        <v/>
      </c>
      <c r="EZ123" s="110" t="str">
        <f t="shared" si="235"/>
        <v/>
      </c>
      <c r="FB123" s="108" t="str">
        <f t="shared" si="55"/>
        <v/>
      </c>
      <c r="FC123" s="109" t="str">
        <f t="shared" si="131"/>
        <v/>
      </c>
      <c r="FD123" s="109" t="str">
        <f t="shared" si="56"/>
        <v/>
      </c>
      <c r="FE123" s="110" t="str">
        <f t="shared" si="236"/>
        <v/>
      </c>
      <c r="FG123" s="108" t="str">
        <f t="shared" si="133"/>
        <v/>
      </c>
      <c r="FH123" s="109" t="str">
        <f t="shared" si="134"/>
        <v/>
      </c>
      <c r="FI123" s="109" t="str">
        <f t="shared" si="57"/>
        <v/>
      </c>
      <c r="FJ123" s="110" t="str">
        <f t="shared" si="237"/>
        <v/>
      </c>
      <c r="FL123" s="108" t="str">
        <f t="shared" si="58"/>
        <v/>
      </c>
      <c r="FM123" s="109" t="str">
        <f t="shared" si="135"/>
        <v/>
      </c>
      <c r="FN123" s="109" t="str">
        <f t="shared" si="59"/>
        <v/>
      </c>
      <c r="FO123" s="110" t="str">
        <f t="shared" si="238"/>
        <v/>
      </c>
      <c r="FQ123" s="108" t="str">
        <f t="shared" si="137"/>
        <v/>
      </c>
      <c r="FR123" s="109" t="str">
        <f t="shared" si="138"/>
        <v/>
      </c>
      <c r="FS123" s="109" t="str">
        <f t="shared" si="60"/>
        <v/>
      </c>
      <c r="FT123" s="110" t="str">
        <f t="shared" si="239"/>
        <v/>
      </c>
      <c r="FV123" s="108" t="str">
        <f t="shared" si="61"/>
        <v/>
      </c>
      <c r="FW123" s="109" t="str">
        <f t="shared" si="139"/>
        <v/>
      </c>
      <c r="FX123" s="109" t="str">
        <f t="shared" si="62"/>
        <v/>
      </c>
      <c r="FY123" s="110" t="str">
        <f t="shared" si="240"/>
        <v/>
      </c>
      <c r="GA123" s="108" t="str">
        <f t="shared" si="141"/>
        <v/>
      </c>
      <c r="GB123" s="109" t="str">
        <f t="shared" si="142"/>
        <v/>
      </c>
      <c r="GC123" s="109" t="str">
        <f t="shared" si="63"/>
        <v/>
      </c>
      <c r="GD123" s="110" t="str">
        <f t="shared" si="241"/>
        <v/>
      </c>
      <c r="GF123" s="108" t="str">
        <f t="shared" si="64"/>
        <v/>
      </c>
      <c r="GG123" s="109" t="str">
        <f t="shared" si="143"/>
        <v/>
      </c>
      <c r="GH123" s="109" t="str">
        <f t="shared" si="65"/>
        <v/>
      </c>
      <c r="GI123" s="110" t="str">
        <f t="shared" si="242"/>
        <v/>
      </c>
      <c r="GK123" s="108" t="str">
        <f t="shared" si="145"/>
        <v/>
      </c>
      <c r="GL123" s="109" t="str">
        <f t="shared" si="146"/>
        <v/>
      </c>
      <c r="GM123" s="109" t="str">
        <f t="shared" si="147"/>
        <v/>
      </c>
      <c r="GN123" s="110" t="str">
        <f t="shared" si="243"/>
        <v/>
      </c>
      <c r="GR123" s="108" t="str">
        <f t="shared" si="66"/>
        <v/>
      </c>
      <c r="GS123" s="109" t="str">
        <f t="shared" si="67"/>
        <v/>
      </c>
      <c r="GT123" s="109" t="str">
        <f t="shared" si="68"/>
        <v/>
      </c>
      <c r="GU123" s="110" t="str">
        <f t="shared" si="69"/>
        <v/>
      </c>
      <c r="GV123" s="51"/>
      <c r="GW123" s="108" t="str">
        <f t="shared" si="70"/>
        <v/>
      </c>
      <c r="GX123" s="109" t="str">
        <f t="shared" si="148"/>
        <v/>
      </c>
      <c r="GY123" s="109" t="str">
        <f t="shared" si="71"/>
        <v/>
      </c>
      <c r="GZ123" s="110" t="str">
        <f t="shared" si="72"/>
        <v/>
      </c>
      <c r="HA123" s="51"/>
      <c r="HB123" s="108" t="str">
        <f t="shared" si="149"/>
        <v/>
      </c>
      <c r="HC123" s="109" t="str">
        <f t="shared" si="150"/>
        <v/>
      </c>
      <c r="HD123" s="109" t="str">
        <f t="shared" si="73"/>
        <v/>
      </c>
      <c r="HE123" s="110" t="str">
        <f t="shared" si="151"/>
        <v/>
      </c>
      <c r="HF123" s="51"/>
      <c r="HG123" s="108" t="str">
        <f t="shared" si="74"/>
        <v/>
      </c>
      <c r="HH123" s="109" t="str">
        <f t="shared" si="152"/>
        <v/>
      </c>
      <c r="HI123" s="109" t="str">
        <f t="shared" si="75"/>
        <v/>
      </c>
      <c r="HJ123" s="110" t="str">
        <f t="shared" si="193"/>
        <v/>
      </c>
      <c r="HK123" s="51"/>
      <c r="HL123" s="108" t="str">
        <f t="shared" si="153"/>
        <v/>
      </c>
      <c r="HM123" s="109" t="str">
        <f t="shared" si="154"/>
        <v/>
      </c>
      <c r="HN123" s="109" t="str">
        <f t="shared" si="76"/>
        <v/>
      </c>
      <c r="HO123" s="110" t="str">
        <f t="shared" si="155"/>
        <v/>
      </c>
      <c r="HP123" s="51"/>
      <c r="HQ123" s="108" t="str">
        <f t="shared" si="77"/>
        <v/>
      </c>
      <c r="HR123" s="109" t="str">
        <f t="shared" si="156"/>
        <v/>
      </c>
      <c r="HS123" s="109" t="str">
        <f t="shared" si="78"/>
        <v/>
      </c>
      <c r="HT123" s="110" t="str">
        <f t="shared" si="194"/>
        <v/>
      </c>
      <c r="HU123" s="51"/>
      <c r="HV123" s="108" t="str">
        <f t="shared" si="157"/>
        <v/>
      </c>
      <c r="HW123" s="109" t="str">
        <f t="shared" si="158"/>
        <v/>
      </c>
      <c r="HX123" s="109" t="str">
        <f t="shared" si="79"/>
        <v/>
      </c>
      <c r="HY123" s="110" t="str">
        <f t="shared" si="159"/>
        <v/>
      </c>
      <c r="HZ123" s="51"/>
      <c r="IA123" s="108" t="str">
        <f t="shared" si="80"/>
        <v/>
      </c>
      <c r="IB123" s="109" t="str">
        <f t="shared" si="160"/>
        <v/>
      </c>
      <c r="IC123" s="109" t="str">
        <f t="shared" si="81"/>
        <v/>
      </c>
      <c r="ID123" s="110" t="str">
        <f t="shared" si="195"/>
        <v/>
      </c>
      <c r="IE123" s="51"/>
      <c r="IF123" s="108" t="str">
        <f t="shared" si="161"/>
        <v/>
      </c>
      <c r="IG123" s="109" t="str">
        <f t="shared" si="162"/>
        <v/>
      </c>
      <c r="IH123" s="109" t="str">
        <f t="shared" si="82"/>
        <v/>
      </c>
      <c r="II123" s="110" t="str">
        <f t="shared" si="163"/>
        <v/>
      </c>
      <c r="IJ123" s="51"/>
      <c r="IK123" s="108" t="str">
        <f t="shared" si="83"/>
        <v/>
      </c>
      <c r="IL123" s="109" t="str">
        <f t="shared" si="164"/>
        <v/>
      </c>
      <c r="IM123" s="109" t="str">
        <f t="shared" si="84"/>
        <v/>
      </c>
      <c r="IN123" s="110" t="str">
        <f t="shared" si="196"/>
        <v/>
      </c>
      <c r="IO123" s="51"/>
      <c r="IP123" s="108" t="str">
        <f t="shared" si="165"/>
        <v/>
      </c>
      <c r="IQ123" s="109" t="str">
        <f t="shared" si="166"/>
        <v/>
      </c>
      <c r="IR123" s="109" t="str">
        <f t="shared" si="85"/>
        <v/>
      </c>
      <c r="IS123" s="110" t="str">
        <f t="shared" si="167"/>
        <v/>
      </c>
      <c r="IT123" s="51"/>
      <c r="IU123" s="108" t="str">
        <f t="shared" si="86"/>
        <v/>
      </c>
      <c r="IV123" s="109" t="str">
        <f t="shared" si="168"/>
        <v/>
      </c>
      <c r="IW123" s="109" t="str">
        <f t="shared" si="87"/>
        <v/>
      </c>
      <c r="IX123" s="110" t="str">
        <f t="shared" si="197"/>
        <v/>
      </c>
      <c r="IY123" s="51"/>
      <c r="IZ123" s="108" t="str">
        <f t="shared" si="169"/>
        <v/>
      </c>
      <c r="JA123" s="109" t="str">
        <f t="shared" si="170"/>
        <v/>
      </c>
      <c r="JB123" s="109" t="str">
        <f t="shared" si="88"/>
        <v/>
      </c>
      <c r="JC123" s="110" t="str">
        <f t="shared" si="171"/>
        <v/>
      </c>
      <c r="JD123" s="51"/>
      <c r="JE123" s="108" t="str">
        <f t="shared" si="89"/>
        <v/>
      </c>
      <c r="JF123" s="109" t="str">
        <f t="shared" si="172"/>
        <v/>
      </c>
      <c r="JG123" s="109" t="str">
        <f t="shared" si="90"/>
        <v/>
      </c>
      <c r="JH123" s="110" t="str">
        <f t="shared" si="198"/>
        <v/>
      </c>
      <c r="JI123" s="51"/>
      <c r="JJ123" s="108" t="str">
        <f t="shared" si="173"/>
        <v/>
      </c>
      <c r="JK123" s="109" t="str">
        <f t="shared" si="174"/>
        <v/>
      </c>
      <c r="JL123" s="109" t="str">
        <f t="shared" si="91"/>
        <v/>
      </c>
      <c r="JM123" s="110" t="str">
        <f t="shared" si="175"/>
        <v/>
      </c>
      <c r="JN123" s="51"/>
      <c r="JO123" s="108" t="str">
        <f t="shared" si="92"/>
        <v/>
      </c>
      <c r="JP123" s="109" t="str">
        <f t="shared" si="176"/>
        <v/>
      </c>
      <c r="JQ123" s="109" t="str">
        <f t="shared" si="93"/>
        <v/>
      </c>
      <c r="JR123" s="110" t="str">
        <f t="shared" si="199"/>
        <v/>
      </c>
      <c r="JS123" s="51"/>
      <c r="JT123" s="108" t="str">
        <f t="shared" si="177"/>
        <v/>
      </c>
      <c r="JU123" s="109" t="str">
        <f t="shared" si="178"/>
        <v/>
      </c>
      <c r="JV123" s="109" t="str">
        <f t="shared" si="94"/>
        <v/>
      </c>
      <c r="JW123" s="110" t="str">
        <f t="shared" si="179"/>
        <v/>
      </c>
      <c r="JX123" s="51"/>
      <c r="JY123" s="108" t="str">
        <f t="shared" si="95"/>
        <v/>
      </c>
      <c r="JZ123" s="109" t="str">
        <f t="shared" si="180"/>
        <v/>
      </c>
      <c r="KA123" s="109" t="str">
        <f t="shared" si="96"/>
        <v/>
      </c>
      <c r="KB123" s="110" t="str">
        <f t="shared" si="200"/>
        <v/>
      </c>
      <c r="KC123" s="51"/>
      <c r="KD123" s="108" t="str">
        <f t="shared" si="181"/>
        <v/>
      </c>
      <c r="KE123" s="109" t="str">
        <f t="shared" si="182"/>
        <v/>
      </c>
      <c r="KF123" s="109" t="str">
        <f t="shared" si="97"/>
        <v/>
      </c>
      <c r="KG123" s="110" t="str">
        <f t="shared" si="98"/>
        <v/>
      </c>
    </row>
    <row r="124" spans="1:293" ht="12" customHeight="1">
      <c r="A124" s="105">
        <f t="array" ref="A124">MAX(IF($J$80:J123&gt;0,$C$80:C123,0))</f>
        <v>43535</v>
      </c>
      <c r="B124" s="81" t="str">
        <f t="shared" si="4"/>
        <v/>
      </c>
      <c r="C124" s="82">
        <f t="shared" si="5"/>
        <v>0</v>
      </c>
      <c r="D124" s="83" t="str">
        <f t="shared" si="6"/>
        <v/>
      </c>
      <c r="E124" s="83" t="str">
        <f t="shared" si="99"/>
        <v/>
      </c>
      <c r="F124" s="83" t="str">
        <f t="shared" si="7"/>
        <v/>
      </c>
      <c r="G124" s="83" t="str">
        <f t="shared" si="8"/>
        <v/>
      </c>
      <c r="H124" s="83" t="str">
        <f t="shared" si="9"/>
        <v/>
      </c>
      <c r="I124" s="105">
        <f t="array" ref="I124">MAX(IF($R$80:R123&gt;0,$L$80:L123,0))</f>
        <v>0</v>
      </c>
      <c r="J124" s="106"/>
      <c r="K124" s="2" t="str">
        <f t="shared" si="10"/>
        <v/>
      </c>
      <c r="L124" s="82">
        <f t="shared" si="183"/>
        <v>0</v>
      </c>
      <c r="M124" s="83" t="str">
        <f t="shared" si="11"/>
        <v/>
      </c>
      <c r="N124" s="83" t="str">
        <f t="shared" si="12"/>
        <v/>
      </c>
      <c r="O124" s="83" t="str">
        <f t="shared" si="13"/>
        <v/>
      </c>
      <c r="P124" s="83" t="str">
        <f t="shared" si="14"/>
        <v/>
      </c>
      <c r="Q124" s="83" t="str">
        <f t="shared" si="15"/>
        <v/>
      </c>
      <c r="R124" s="106"/>
      <c r="S124" s="1"/>
      <c r="U124" s="85" t="e">
        <f t="shared" si="0"/>
        <v>#NUM!</v>
      </c>
      <c r="V124" s="86" t="e">
        <f t="shared" si="100"/>
        <v>#NUM!</v>
      </c>
      <c r="W124" s="87" t="e">
        <f t="shared" si="16"/>
        <v>#NUM!</v>
      </c>
      <c r="X124" s="87" t="e">
        <f t="shared" si="17"/>
        <v>#NUM!</v>
      </c>
      <c r="Y124" s="87" t="e">
        <f t="shared" si="18"/>
        <v>#NUM!</v>
      </c>
      <c r="Z124" s="88" t="e">
        <f t="shared" si="1"/>
        <v>#NUM!</v>
      </c>
      <c r="AA124" t="s">
        <v>282</v>
      </c>
      <c r="AB124" s="89">
        <f t="shared" si="101"/>
        <v>0</v>
      </c>
      <c r="AC124" s="87">
        <f t="shared" si="19"/>
        <v>0</v>
      </c>
      <c r="AD124" s="87" t="str">
        <f t="shared" si="20"/>
        <v/>
      </c>
      <c r="AE124" s="87" t="str">
        <f t="shared" si="21"/>
        <v/>
      </c>
      <c r="AF124" s="86">
        <f t="shared" si="102"/>
        <v>0</v>
      </c>
      <c r="AG124" s="87">
        <f t="shared" si="2"/>
        <v>0</v>
      </c>
      <c r="AH124" s="87">
        <f t="shared" si="103"/>
        <v>0</v>
      </c>
      <c r="AI124" s="90"/>
      <c r="AJ124" s="87" t="e">
        <f t="shared" si="22"/>
        <v>#NUM!</v>
      </c>
      <c r="AK124" s="87" t="e">
        <f t="shared" si="104"/>
        <v>#NUM!</v>
      </c>
      <c r="AL124" s="87" t="e">
        <f t="shared" si="105"/>
        <v>#NUM!</v>
      </c>
      <c r="AM124" s="87" t="e">
        <f t="shared" si="106"/>
        <v>#NUM!</v>
      </c>
      <c r="AN124" s="86">
        <f t="shared" si="23"/>
        <v>0</v>
      </c>
      <c r="AO124" s="87">
        <f t="shared" si="24"/>
        <v>0</v>
      </c>
      <c r="AP124" s="88">
        <f t="shared" si="25"/>
        <v>0</v>
      </c>
      <c r="AR124" s="91">
        <f t="shared" si="26"/>
        <v>0</v>
      </c>
      <c r="AS124" s="92">
        <f t="shared" si="27"/>
        <v>0</v>
      </c>
      <c r="AT124" s="87" t="str">
        <f t="shared" si="28"/>
        <v/>
      </c>
      <c r="AU124" s="87" t="str">
        <f t="shared" si="29"/>
        <v/>
      </c>
      <c r="AV124" s="86">
        <f t="shared" si="107"/>
        <v>0</v>
      </c>
      <c r="AW124" s="87">
        <f t="shared" si="108"/>
        <v>0</v>
      </c>
      <c r="AX124" s="87">
        <f t="shared" si="109"/>
        <v>0</v>
      </c>
      <c r="AY124" s="93"/>
      <c r="AZ124" s="87">
        <f t="shared" si="201"/>
        <v>0</v>
      </c>
      <c r="BA124" s="87">
        <f t="shared" si="110"/>
        <v>0</v>
      </c>
      <c r="BB124" s="87">
        <f t="shared" si="111"/>
        <v>0</v>
      </c>
      <c r="BC124" s="87">
        <f t="shared" si="184"/>
        <v>0</v>
      </c>
      <c r="BD124" s="86" t="e">
        <f t="shared" si="30"/>
        <v>#NUM!</v>
      </c>
      <c r="BE124" s="87" t="e">
        <f t="shared" si="3"/>
        <v>#NUM!</v>
      </c>
      <c r="BF124" s="88">
        <f t="shared" si="112"/>
        <v>0</v>
      </c>
      <c r="BH124" s="87" t="e">
        <f t="shared" si="31"/>
        <v>#NUM!</v>
      </c>
      <c r="BK124" s="95">
        <v>40544</v>
      </c>
      <c r="BL124" s="96">
        <v>45</v>
      </c>
      <c r="BT124">
        <v>0</v>
      </c>
      <c r="BU124" s="51">
        <v>1000000</v>
      </c>
      <c r="BV124" s="30" t="s">
        <v>497</v>
      </c>
      <c r="CF124" s="30" t="s">
        <v>497</v>
      </c>
      <c r="CG124" s="30" t="s">
        <v>497</v>
      </c>
      <c r="CY124" s="108" t="str">
        <f t="shared" si="32"/>
        <v/>
      </c>
      <c r="CZ124" s="109" t="str">
        <f t="shared" si="33"/>
        <v/>
      </c>
      <c r="DA124" s="109" t="str">
        <f t="shared" si="34"/>
        <v/>
      </c>
      <c r="DB124" s="110" t="str">
        <f t="shared" si="225"/>
        <v/>
      </c>
      <c r="DD124" s="108" t="str">
        <f t="shared" si="36"/>
        <v/>
      </c>
      <c r="DE124" s="109" t="str">
        <f t="shared" si="114"/>
        <v/>
      </c>
      <c r="DF124" s="109" t="str">
        <f t="shared" si="37"/>
        <v/>
      </c>
      <c r="DG124" s="110" t="str">
        <f t="shared" si="226"/>
        <v/>
      </c>
      <c r="DI124" s="108" t="str">
        <f t="shared" si="115"/>
        <v/>
      </c>
      <c r="DJ124" s="109" t="str">
        <f t="shared" si="116"/>
        <v/>
      </c>
      <c r="DK124" s="109" t="str">
        <f t="shared" si="39"/>
        <v/>
      </c>
      <c r="DL124" s="110" t="str">
        <f t="shared" si="227"/>
        <v/>
      </c>
      <c r="DN124" s="108" t="str">
        <f t="shared" si="41"/>
        <v/>
      </c>
      <c r="DO124" s="109" t="str">
        <f t="shared" si="42"/>
        <v/>
      </c>
      <c r="DP124" s="109" t="str">
        <f t="shared" si="43"/>
        <v/>
      </c>
      <c r="DQ124" s="110" t="str">
        <f t="shared" si="228"/>
        <v/>
      </c>
      <c r="DS124" s="108" t="str">
        <f t="shared" si="117"/>
        <v/>
      </c>
      <c r="DT124" s="109" t="str">
        <f t="shared" si="118"/>
        <v/>
      </c>
      <c r="DU124" s="109" t="str">
        <f t="shared" si="45"/>
        <v/>
      </c>
      <c r="DV124" s="110" t="str">
        <f t="shared" si="229"/>
        <v/>
      </c>
      <c r="DX124" s="108" t="str">
        <f t="shared" si="46"/>
        <v/>
      </c>
      <c r="DY124" s="109" t="str">
        <f t="shared" si="119"/>
        <v/>
      </c>
      <c r="DZ124" s="109" t="str">
        <f t="shared" si="47"/>
        <v/>
      </c>
      <c r="EA124" s="110" t="str">
        <f t="shared" si="230"/>
        <v/>
      </c>
      <c r="EC124" s="108" t="str">
        <f t="shared" si="121"/>
        <v/>
      </c>
      <c r="ED124" s="109" t="str">
        <f t="shared" si="122"/>
        <v/>
      </c>
      <c r="EE124" s="109" t="str">
        <f t="shared" si="48"/>
        <v/>
      </c>
      <c r="EF124" s="110" t="str">
        <f t="shared" si="231"/>
        <v/>
      </c>
      <c r="EH124" s="108" t="str">
        <f t="shared" si="49"/>
        <v/>
      </c>
      <c r="EI124" s="109" t="str">
        <f t="shared" si="123"/>
        <v/>
      </c>
      <c r="EJ124" s="109" t="str">
        <f t="shared" si="50"/>
        <v/>
      </c>
      <c r="EK124" s="110" t="str">
        <f t="shared" si="232"/>
        <v/>
      </c>
      <c r="EM124" s="108" t="str">
        <f t="shared" si="125"/>
        <v/>
      </c>
      <c r="EN124" s="109" t="str">
        <f t="shared" si="126"/>
        <v/>
      </c>
      <c r="EO124" s="109" t="str">
        <f t="shared" si="51"/>
        <v/>
      </c>
      <c r="EP124" s="110" t="str">
        <f t="shared" si="233"/>
        <v/>
      </c>
      <c r="ER124" s="108" t="str">
        <f t="shared" si="52"/>
        <v/>
      </c>
      <c r="ES124" s="109" t="str">
        <f t="shared" si="127"/>
        <v/>
      </c>
      <c r="ET124" s="109" t="str">
        <f t="shared" si="53"/>
        <v/>
      </c>
      <c r="EU124" s="110" t="str">
        <f t="shared" si="234"/>
        <v/>
      </c>
      <c r="EW124" s="108" t="str">
        <f t="shared" si="129"/>
        <v/>
      </c>
      <c r="EX124" s="109" t="str">
        <f t="shared" si="130"/>
        <v/>
      </c>
      <c r="EY124" s="109" t="str">
        <f t="shared" si="54"/>
        <v/>
      </c>
      <c r="EZ124" s="110" t="str">
        <f t="shared" si="235"/>
        <v/>
      </c>
      <c r="FB124" s="108" t="str">
        <f t="shared" si="55"/>
        <v/>
      </c>
      <c r="FC124" s="109" t="str">
        <f t="shared" si="131"/>
        <v/>
      </c>
      <c r="FD124" s="109" t="str">
        <f t="shared" si="56"/>
        <v/>
      </c>
      <c r="FE124" s="110" t="str">
        <f t="shared" si="236"/>
        <v/>
      </c>
      <c r="FG124" s="108" t="str">
        <f t="shared" si="133"/>
        <v/>
      </c>
      <c r="FH124" s="109" t="str">
        <f t="shared" si="134"/>
        <v/>
      </c>
      <c r="FI124" s="109" t="str">
        <f t="shared" si="57"/>
        <v/>
      </c>
      <c r="FJ124" s="110" t="str">
        <f t="shared" si="237"/>
        <v/>
      </c>
      <c r="FL124" s="108" t="str">
        <f t="shared" si="58"/>
        <v/>
      </c>
      <c r="FM124" s="109" t="str">
        <f t="shared" si="135"/>
        <v/>
      </c>
      <c r="FN124" s="109" t="str">
        <f t="shared" si="59"/>
        <v/>
      </c>
      <c r="FO124" s="110" t="str">
        <f t="shared" si="238"/>
        <v/>
      </c>
      <c r="FQ124" s="108" t="str">
        <f t="shared" si="137"/>
        <v/>
      </c>
      <c r="FR124" s="109" t="str">
        <f t="shared" si="138"/>
        <v/>
      </c>
      <c r="FS124" s="109" t="str">
        <f t="shared" si="60"/>
        <v/>
      </c>
      <c r="FT124" s="110" t="str">
        <f t="shared" si="239"/>
        <v/>
      </c>
      <c r="FV124" s="108" t="str">
        <f t="shared" si="61"/>
        <v/>
      </c>
      <c r="FW124" s="109" t="str">
        <f t="shared" si="139"/>
        <v/>
      </c>
      <c r="FX124" s="109" t="str">
        <f t="shared" si="62"/>
        <v/>
      </c>
      <c r="FY124" s="110" t="str">
        <f t="shared" si="240"/>
        <v/>
      </c>
      <c r="GA124" s="108" t="str">
        <f t="shared" si="141"/>
        <v/>
      </c>
      <c r="GB124" s="109" t="str">
        <f t="shared" si="142"/>
        <v/>
      </c>
      <c r="GC124" s="109" t="str">
        <f t="shared" si="63"/>
        <v/>
      </c>
      <c r="GD124" s="110" t="str">
        <f t="shared" si="241"/>
        <v/>
      </c>
      <c r="GF124" s="108" t="str">
        <f t="shared" si="64"/>
        <v/>
      </c>
      <c r="GG124" s="109" t="str">
        <f t="shared" si="143"/>
        <v/>
      </c>
      <c r="GH124" s="109" t="str">
        <f t="shared" si="65"/>
        <v/>
      </c>
      <c r="GI124" s="110" t="str">
        <f t="shared" si="242"/>
        <v/>
      </c>
      <c r="GK124" s="108" t="str">
        <f t="shared" si="145"/>
        <v/>
      </c>
      <c r="GL124" s="109" t="str">
        <f t="shared" si="146"/>
        <v/>
      </c>
      <c r="GM124" s="109" t="str">
        <f t="shared" si="147"/>
        <v/>
      </c>
      <c r="GN124" s="110" t="str">
        <f t="shared" si="243"/>
        <v/>
      </c>
      <c r="GR124" s="108" t="str">
        <f t="shared" si="66"/>
        <v/>
      </c>
      <c r="GS124" s="109" t="str">
        <f t="shared" si="67"/>
        <v/>
      </c>
      <c r="GT124" s="109" t="str">
        <f t="shared" si="68"/>
        <v/>
      </c>
      <c r="GU124" s="110" t="str">
        <f t="shared" si="69"/>
        <v/>
      </c>
      <c r="GV124" s="51"/>
      <c r="GW124" s="108" t="str">
        <f t="shared" si="70"/>
        <v/>
      </c>
      <c r="GX124" s="109" t="str">
        <f t="shared" si="148"/>
        <v/>
      </c>
      <c r="GY124" s="109" t="str">
        <f t="shared" si="71"/>
        <v/>
      </c>
      <c r="GZ124" s="110" t="str">
        <f t="shared" si="72"/>
        <v/>
      </c>
      <c r="HA124" s="51"/>
      <c r="HB124" s="108" t="str">
        <f t="shared" si="149"/>
        <v/>
      </c>
      <c r="HC124" s="109" t="str">
        <f t="shared" si="150"/>
        <v/>
      </c>
      <c r="HD124" s="109" t="str">
        <f t="shared" si="73"/>
        <v/>
      </c>
      <c r="HE124" s="110" t="str">
        <f t="shared" si="151"/>
        <v/>
      </c>
      <c r="HF124" s="51"/>
      <c r="HG124" s="108" t="str">
        <f t="shared" si="74"/>
        <v/>
      </c>
      <c r="HH124" s="109" t="str">
        <f t="shared" si="152"/>
        <v/>
      </c>
      <c r="HI124" s="109" t="str">
        <f t="shared" si="75"/>
        <v/>
      </c>
      <c r="HJ124" s="110" t="str">
        <f t="shared" si="193"/>
        <v/>
      </c>
      <c r="HK124" s="51"/>
      <c r="HL124" s="108" t="str">
        <f t="shared" si="153"/>
        <v/>
      </c>
      <c r="HM124" s="109" t="str">
        <f t="shared" si="154"/>
        <v/>
      </c>
      <c r="HN124" s="109" t="str">
        <f t="shared" si="76"/>
        <v/>
      </c>
      <c r="HO124" s="110" t="str">
        <f t="shared" si="155"/>
        <v/>
      </c>
      <c r="HP124" s="51"/>
      <c r="HQ124" s="108" t="str">
        <f t="shared" si="77"/>
        <v/>
      </c>
      <c r="HR124" s="109" t="str">
        <f t="shared" si="156"/>
        <v/>
      </c>
      <c r="HS124" s="109" t="str">
        <f t="shared" si="78"/>
        <v/>
      </c>
      <c r="HT124" s="110" t="str">
        <f t="shared" si="194"/>
        <v/>
      </c>
      <c r="HU124" s="51"/>
      <c r="HV124" s="108" t="str">
        <f t="shared" si="157"/>
        <v/>
      </c>
      <c r="HW124" s="109" t="str">
        <f t="shared" si="158"/>
        <v/>
      </c>
      <c r="HX124" s="109" t="str">
        <f t="shared" si="79"/>
        <v/>
      </c>
      <c r="HY124" s="110" t="str">
        <f t="shared" si="159"/>
        <v/>
      </c>
      <c r="HZ124" s="51"/>
      <c r="IA124" s="108" t="str">
        <f t="shared" si="80"/>
        <v/>
      </c>
      <c r="IB124" s="109" t="str">
        <f t="shared" si="160"/>
        <v/>
      </c>
      <c r="IC124" s="109" t="str">
        <f t="shared" si="81"/>
        <v/>
      </c>
      <c r="ID124" s="110" t="str">
        <f t="shared" si="195"/>
        <v/>
      </c>
      <c r="IE124" s="51"/>
      <c r="IF124" s="108" t="str">
        <f t="shared" si="161"/>
        <v/>
      </c>
      <c r="IG124" s="109" t="str">
        <f t="shared" si="162"/>
        <v/>
      </c>
      <c r="IH124" s="109" t="str">
        <f t="shared" si="82"/>
        <v/>
      </c>
      <c r="II124" s="110" t="str">
        <f t="shared" si="163"/>
        <v/>
      </c>
      <c r="IJ124" s="51"/>
      <c r="IK124" s="108" t="str">
        <f t="shared" si="83"/>
        <v/>
      </c>
      <c r="IL124" s="109" t="str">
        <f t="shared" si="164"/>
        <v/>
      </c>
      <c r="IM124" s="109" t="str">
        <f t="shared" si="84"/>
        <v/>
      </c>
      <c r="IN124" s="110" t="str">
        <f t="shared" si="196"/>
        <v/>
      </c>
      <c r="IO124" s="51"/>
      <c r="IP124" s="108" t="str">
        <f t="shared" si="165"/>
        <v/>
      </c>
      <c r="IQ124" s="109" t="str">
        <f t="shared" si="166"/>
        <v/>
      </c>
      <c r="IR124" s="109" t="str">
        <f t="shared" si="85"/>
        <v/>
      </c>
      <c r="IS124" s="110" t="str">
        <f t="shared" si="167"/>
        <v/>
      </c>
      <c r="IT124" s="51"/>
      <c r="IU124" s="108" t="str">
        <f t="shared" si="86"/>
        <v/>
      </c>
      <c r="IV124" s="109" t="str">
        <f t="shared" si="168"/>
        <v/>
      </c>
      <c r="IW124" s="109" t="str">
        <f t="shared" si="87"/>
        <v/>
      </c>
      <c r="IX124" s="110" t="str">
        <f t="shared" si="197"/>
        <v/>
      </c>
      <c r="IY124" s="51"/>
      <c r="IZ124" s="108" t="str">
        <f t="shared" si="169"/>
        <v/>
      </c>
      <c r="JA124" s="109" t="str">
        <f t="shared" si="170"/>
        <v/>
      </c>
      <c r="JB124" s="109" t="str">
        <f t="shared" si="88"/>
        <v/>
      </c>
      <c r="JC124" s="110" t="str">
        <f t="shared" si="171"/>
        <v/>
      </c>
      <c r="JD124" s="51"/>
      <c r="JE124" s="108" t="str">
        <f t="shared" si="89"/>
        <v/>
      </c>
      <c r="JF124" s="109" t="str">
        <f t="shared" si="172"/>
        <v/>
      </c>
      <c r="JG124" s="109" t="str">
        <f t="shared" si="90"/>
        <v/>
      </c>
      <c r="JH124" s="110" t="str">
        <f t="shared" si="198"/>
        <v/>
      </c>
      <c r="JI124" s="51"/>
      <c r="JJ124" s="108" t="str">
        <f t="shared" si="173"/>
        <v/>
      </c>
      <c r="JK124" s="109" t="str">
        <f t="shared" si="174"/>
        <v/>
      </c>
      <c r="JL124" s="109" t="str">
        <f t="shared" si="91"/>
        <v/>
      </c>
      <c r="JM124" s="110" t="str">
        <f t="shared" si="175"/>
        <v/>
      </c>
      <c r="JN124" s="51"/>
      <c r="JO124" s="108" t="str">
        <f t="shared" si="92"/>
        <v/>
      </c>
      <c r="JP124" s="109" t="str">
        <f t="shared" si="176"/>
        <v/>
      </c>
      <c r="JQ124" s="109" t="str">
        <f t="shared" si="93"/>
        <v/>
      </c>
      <c r="JR124" s="110" t="str">
        <f t="shared" si="199"/>
        <v/>
      </c>
      <c r="JS124" s="51"/>
      <c r="JT124" s="108" t="str">
        <f t="shared" si="177"/>
        <v/>
      </c>
      <c r="JU124" s="109" t="str">
        <f t="shared" si="178"/>
        <v/>
      </c>
      <c r="JV124" s="109" t="str">
        <f t="shared" si="94"/>
        <v/>
      </c>
      <c r="JW124" s="110" t="str">
        <f t="shared" si="179"/>
        <v/>
      </c>
      <c r="JX124" s="51"/>
      <c r="JY124" s="108" t="str">
        <f t="shared" si="95"/>
        <v/>
      </c>
      <c r="JZ124" s="109" t="str">
        <f t="shared" si="180"/>
        <v/>
      </c>
      <c r="KA124" s="109" t="str">
        <f t="shared" si="96"/>
        <v/>
      </c>
      <c r="KB124" s="110" t="str">
        <f t="shared" si="200"/>
        <v/>
      </c>
      <c r="KC124" s="51"/>
      <c r="KD124" s="108" t="str">
        <f t="shared" si="181"/>
        <v/>
      </c>
      <c r="KE124" s="109" t="str">
        <f t="shared" si="182"/>
        <v/>
      </c>
      <c r="KF124" s="109" t="str">
        <f t="shared" si="97"/>
        <v/>
      </c>
      <c r="KG124" s="110" t="str">
        <f t="shared" si="98"/>
        <v/>
      </c>
    </row>
    <row r="125" spans="1:293" ht="12" customHeight="1">
      <c r="A125" s="105">
        <f t="array" ref="A125">MAX(IF($J$80:J124&gt;0,$C$80:C124,0))</f>
        <v>43535</v>
      </c>
      <c r="B125" s="81" t="str">
        <f t="shared" si="4"/>
        <v/>
      </c>
      <c r="C125" s="82">
        <f t="shared" si="5"/>
        <v>0</v>
      </c>
      <c r="D125" s="83" t="str">
        <f t="shared" si="6"/>
        <v/>
      </c>
      <c r="E125" s="83" t="str">
        <f t="shared" si="99"/>
        <v/>
      </c>
      <c r="F125" s="83" t="str">
        <f t="shared" si="7"/>
        <v/>
      </c>
      <c r="G125" s="83" t="str">
        <f t="shared" si="8"/>
        <v/>
      </c>
      <c r="H125" s="83" t="str">
        <f t="shared" si="9"/>
        <v/>
      </c>
      <c r="I125" s="105">
        <f t="array" ref="I125">MAX(IF($R$80:R124&gt;0,$L$80:L124,0))</f>
        <v>0</v>
      </c>
      <c r="J125" s="106"/>
      <c r="K125" s="2" t="str">
        <f t="shared" si="10"/>
        <v/>
      </c>
      <c r="L125" s="82">
        <f t="shared" si="183"/>
        <v>0</v>
      </c>
      <c r="M125" s="83" t="str">
        <f t="shared" si="11"/>
        <v/>
      </c>
      <c r="N125" s="83" t="str">
        <f t="shared" si="12"/>
        <v/>
      </c>
      <c r="O125" s="83" t="str">
        <f t="shared" si="13"/>
        <v/>
      </c>
      <c r="P125" s="83" t="str">
        <f t="shared" si="14"/>
        <v/>
      </c>
      <c r="Q125" s="83" t="str">
        <f t="shared" si="15"/>
        <v/>
      </c>
      <c r="R125" s="106"/>
      <c r="S125" s="1"/>
      <c r="U125" s="85" t="e">
        <f t="shared" si="0"/>
        <v>#NUM!</v>
      </c>
      <c r="V125" s="86" t="e">
        <f t="shared" si="100"/>
        <v>#NUM!</v>
      </c>
      <c r="W125" s="87" t="e">
        <f t="shared" si="16"/>
        <v>#NUM!</v>
      </c>
      <c r="X125" s="87" t="e">
        <f t="shared" si="17"/>
        <v>#NUM!</v>
      </c>
      <c r="Y125" s="87" t="e">
        <f t="shared" si="18"/>
        <v>#NUM!</v>
      </c>
      <c r="Z125" s="88" t="e">
        <f t="shared" si="1"/>
        <v>#NUM!</v>
      </c>
      <c r="AA125" t="s">
        <v>282</v>
      </c>
      <c r="AB125" s="89">
        <f t="shared" si="101"/>
        <v>0</v>
      </c>
      <c r="AC125" s="87">
        <f t="shared" si="19"/>
        <v>0</v>
      </c>
      <c r="AD125" s="87" t="str">
        <f t="shared" si="20"/>
        <v/>
      </c>
      <c r="AE125" s="87" t="str">
        <f t="shared" si="21"/>
        <v/>
      </c>
      <c r="AF125" s="86">
        <f t="shared" si="102"/>
        <v>0</v>
      </c>
      <c r="AG125" s="87">
        <f t="shared" si="2"/>
        <v>0</v>
      </c>
      <c r="AH125" s="87">
        <f t="shared" si="103"/>
        <v>0</v>
      </c>
      <c r="AI125" s="90"/>
      <c r="AJ125" s="87" t="e">
        <f t="shared" si="22"/>
        <v>#NUM!</v>
      </c>
      <c r="AK125" s="87" t="e">
        <f t="shared" si="104"/>
        <v>#NUM!</v>
      </c>
      <c r="AL125" s="87" t="e">
        <f t="shared" si="105"/>
        <v>#NUM!</v>
      </c>
      <c r="AM125" s="87" t="e">
        <f t="shared" si="106"/>
        <v>#NUM!</v>
      </c>
      <c r="AN125" s="86">
        <f t="shared" si="23"/>
        <v>0</v>
      </c>
      <c r="AO125" s="87">
        <f t="shared" si="24"/>
        <v>0</v>
      </c>
      <c r="AP125" s="88">
        <f t="shared" si="25"/>
        <v>0</v>
      </c>
      <c r="AR125" s="91">
        <f t="shared" si="26"/>
        <v>0</v>
      </c>
      <c r="AS125" s="92">
        <f t="shared" si="27"/>
        <v>0</v>
      </c>
      <c r="AT125" s="87" t="str">
        <f t="shared" si="28"/>
        <v/>
      </c>
      <c r="AU125" s="87" t="str">
        <f t="shared" si="29"/>
        <v/>
      </c>
      <c r="AV125" s="86">
        <f t="shared" si="107"/>
        <v>0</v>
      </c>
      <c r="AW125" s="87">
        <f t="shared" si="108"/>
        <v>0</v>
      </c>
      <c r="AX125" s="87">
        <f t="shared" si="109"/>
        <v>0</v>
      </c>
      <c r="AY125" s="93"/>
      <c r="AZ125" s="87">
        <f t="shared" si="201"/>
        <v>0</v>
      </c>
      <c r="BA125" s="87">
        <f t="shared" si="110"/>
        <v>0</v>
      </c>
      <c r="BB125" s="87">
        <f t="shared" si="111"/>
        <v>0</v>
      </c>
      <c r="BC125" s="87">
        <f t="shared" si="184"/>
        <v>0</v>
      </c>
      <c r="BD125" s="86" t="e">
        <f t="shared" si="30"/>
        <v>#NUM!</v>
      </c>
      <c r="BE125" s="87" t="e">
        <f t="shared" si="3"/>
        <v>#NUM!</v>
      </c>
      <c r="BF125" s="88">
        <f t="shared" si="112"/>
        <v>0</v>
      </c>
      <c r="BH125" s="87" t="e">
        <f t="shared" si="31"/>
        <v>#NUM!</v>
      </c>
      <c r="BK125" s="95">
        <v>40545</v>
      </c>
      <c r="BL125" s="96">
        <v>46</v>
      </c>
      <c r="BY125" s="107"/>
      <c r="BZ125" s="107"/>
      <c r="CA125" s="107"/>
      <c r="CB125" s="107"/>
      <c r="CC125" s="107"/>
      <c r="CD125" s="107"/>
      <c r="CE125" s="107"/>
      <c r="CF125" s="107"/>
      <c r="CG125" s="107"/>
      <c r="CY125" s="108" t="str">
        <f t="shared" si="32"/>
        <v/>
      </c>
      <c r="CZ125" s="109" t="str">
        <f t="shared" si="33"/>
        <v/>
      </c>
      <c r="DA125" s="109" t="str">
        <f t="shared" si="34"/>
        <v/>
      </c>
      <c r="DB125" s="110" t="str">
        <f t="shared" si="225"/>
        <v/>
      </c>
      <c r="DD125" s="108" t="str">
        <f t="shared" si="36"/>
        <v/>
      </c>
      <c r="DE125" s="109" t="str">
        <f t="shared" si="114"/>
        <v/>
      </c>
      <c r="DF125" s="109" t="str">
        <f t="shared" si="37"/>
        <v/>
      </c>
      <c r="DG125" s="110" t="str">
        <f t="shared" si="226"/>
        <v/>
      </c>
      <c r="DI125" s="108" t="str">
        <f t="shared" si="115"/>
        <v/>
      </c>
      <c r="DJ125" s="109" t="str">
        <f t="shared" si="116"/>
        <v/>
      </c>
      <c r="DK125" s="109" t="str">
        <f t="shared" si="39"/>
        <v/>
      </c>
      <c r="DL125" s="110" t="str">
        <f t="shared" si="227"/>
        <v/>
      </c>
      <c r="DN125" s="108" t="str">
        <f t="shared" si="41"/>
        <v/>
      </c>
      <c r="DO125" s="109" t="str">
        <f t="shared" si="42"/>
        <v/>
      </c>
      <c r="DP125" s="109" t="str">
        <f t="shared" si="43"/>
        <v/>
      </c>
      <c r="DQ125" s="110" t="str">
        <f t="shared" si="228"/>
        <v/>
      </c>
      <c r="DS125" s="108" t="str">
        <f t="shared" si="117"/>
        <v/>
      </c>
      <c r="DT125" s="109" t="str">
        <f t="shared" si="118"/>
        <v/>
      </c>
      <c r="DU125" s="109" t="str">
        <f t="shared" si="45"/>
        <v/>
      </c>
      <c r="DV125" s="110" t="str">
        <f t="shared" si="229"/>
        <v/>
      </c>
      <c r="DX125" s="108" t="str">
        <f t="shared" si="46"/>
        <v/>
      </c>
      <c r="DY125" s="109" t="str">
        <f t="shared" si="119"/>
        <v/>
      </c>
      <c r="DZ125" s="109" t="str">
        <f t="shared" si="47"/>
        <v/>
      </c>
      <c r="EA125" s="110" t="str">
        <f t="shared" si="230"/>
        <v/>
      </c>
      <c r="EC125" s="108" t="str">
        <f t="shared" si="121"/>
        <v/>
      </c>
      <c r="ED125" s="109" t="str">
        <f t="shared" si="122"/>
        <v/>
      </c>
      <c r="EE125" s="109" t="str">
        <f t="shared" si="48"/>
        <v/>
      </c>
      <c r="EF125" s="110" t="str">
        <f t="shared" si="231"/>
        <v/>
      </c>
      <c r="EH125" s="108" t="str">
        <f t="shared" si="49"/>
        <v/>
      </c>
      <c r="EI125" s="109" t="str">
        <f t="shared" si="123"/>
        <v/>
      </c>
      <c r="EJ125" s="109" t="str">
        <f t="shared" si="50"/>
        <v/>
      </c>
      <c r="EK125" s="110" t="str">
        <f t="shared" si="232"/>
        <v/>
      </c>
      <c r="EM125" s="108" t="str">
        <f t="shared" si="125"/>
        <v/>
      </c>
      <c r="EN125" s="109" t="str">
        <f t="shared" si="126"/>
        <v/>
      </c>
      <c r="EO125" s="109" t="str">
        <f t="shared" si="51"/>
        <v/>
      </c>
      <c r="EP125" s="110" t="str">
        <f t="shared" si="233"/>
        <v/>
      </c>
      <c r="ER125" s="108" t="str">
        <f t="shared" si="52"/>
        <v/>
      </c>
      <c r="ES125" s="109" t="str">
        <f t="shared" si="127"/>
        <v/>
      </c>
      <c r="ET125" s="109" t="str">
        <f t="shared" si="53"/>
        <v/>
      </c>
      <c r="EU125" s="110" t="str">
        <f t="shared" si="234"/>
        <v/>
      </c>
      <c r="EW125" s="108" t="str">
        <f t="shared" si="129"/>
        <v/>
      </c>
      <c r="EX125" s="109" t="str">
        <f t="shared" si="130"/>
        <v/>
      </c>
      <c r="EY125" s="109" t="str">
        <f t="shared" si="54"/>
        <v/>
      </c>
      <c r="EZ125" s="110" t="str">
        <f t="shared" si="235"/>
        <v/>
      </c>
      <c r="FB125" s="108" t="str">
        <f t="shared" si="55"/>
        <v/>
      </c>
      <c r="FC125" s="109" t="str">
        <f t="shared" si="131"/>
        <v/>
      </c>
      <c r="FD125" s="109" t="str">
        <f t="shared" si="56"/>
        <v/>
      </c>
      <c r="FE125" s="110" t="str">
        <f t="shared" si="236"/>
        <v/>
      </c>
      <c r="FG125" s="108" t="str">
        <f t="shared" si="133"/>
        <v/>
      </c>
      <c r="FH125" s="109" t="str">
        <f t="shared" si="134"/>
        <v/>
      </c>
      <c r="FI125" s="109" t="str">
        <f t="shared" si="57"/>
        <v/>
      </c>
      <c r="FJ125" s="110" t="str">
        <f t="shared" si="237"/>
        <v/>
      </c>
      <c r="FL125" s="108" t="str">
        <f t="shared" si="58"/>
        <v/>
      </c>
      <c r="FM125" s="109" t="str">
        <f t="shared" si="135"/>
        <v/>
      </c>
      <c r="FN125" s="109" t="str">
        <f t="shared" si="59"/>
        <v/>
      </c>
      <c r="FO125" s="110" t="str">
        <f t="shared" si="238"/>
        <v/>
      </c>
      <c r="FQ125" s="108" t="str">
        <f t="shared" si="137"/>
        <v/>
      </c>
      <c r="FR125" s="109" t="str">
        <f t="shared" si="138"/>
        <v/>
      </c>
      <c r="FS125" s="109" t="str">
        <f t="shared" si="60"/>
        <v/>
      </c>
      <c r="FT125" s="110" t="str">
        <f t="shared" si="239"/>
        <v/>
      </c>
      <c r="FV125" s="108" t="str">
        <f t="shared" si="61"/>
        <v/>
      </c>
      <c r="FW125" s="109" t="str">
        <f t="shared" si="139"/>
        <v/>
      </c>
      <c r="FX125" s="109" t="str">
        <f t="shared" si="62"/>
        <v/>
      </c>
      <c r="FY125" s="110" t="str">
        <f t="shared" si="240"/>
        <v/>
      </c>
      <c r="GA125" s="108" t="str">
        <f t="shared" si="141"/>
        <v/>
      </c>
      <c r="GB125" s="109" t="str">
        <f t="shared" si="142"/>
        <v/>
      </c>
      <c r="GC125" s="109" t="str">
        <f t="shared" si="63"/>
        <v/>
      </c>
      <c r="GD125" s="110" t="str">
        <f t="shared" si="241"/>
        <v/>
      </c>
      <c r="GF125" s="108" t="str">
        <f t="shared" si="64"/>
        <v/>
      </c>
      <c r="GG125" s="109" t="str">
        <f t="shared" si="143"/>
        <v/>
      </c>
      <c r="GH125" s="109" t="str">
        <f t="shared" si="65"/>
        <v/>
      </c>
      <c r="GI125" s="110" t="str">
        <f t="shared" si="242"/>
        <v/>
      </c>
      <c r="GK125" s="108" t="str">
        <f t="shared" si="145"/>
        <v/>
      </c>
      <c r="GL125" s="109" t="str">
        <f t="shared" si="146"/>
        <v/>
      </c>
      <c r="GM125" s="109" t="str">
        <f t="shared" si="147"/>
        <v/>
      </c>
      <c r="GN125" s="110" t="str">
        <f t="shared" si="243"/>
        <v/>
      </c>
      <c r="GR125" s="108" t="str">
        <f t="shared" si="66"/>
        <v/>
      </c>
      <c r="GS125" s="109" t="str">
        <f t="shared" si="67"/>
        <v/>
      </c>
      <c r="GT125" s="109" t="str">
        <f t="shared" si="68"/>
        <v/>
      </c>
      <c r="GU125" s="110" t="str">
        <f t="shared" si="69"/>
        <v/>
      </c>
      <c r="GV125" s="51"/>
      <c r="GW125" s="108" t="str">
        <f t="shared" si="70"/>
        <v/>
      </c>
      <c r="GX125" s="109" t="str">
        <f t="shared" si="148"/>
        <v/>
      </c>
      <c r="GY125" s="109" t="str">
        <f t="shared" si="71"/>
        <v/>
      </c>
      <c r="GZ125" s="110" t="str">
        <f t="shared" si="72"/>
        <v/>
      </c>
      <c r="HA125" s="51"/>
      <c r="HB125" s="108" t="str">
        <f t="shared" si="149"/>
        <v/>
      </c>
      <c r="HC125" s="109" t="str">
        <f t="shared" si="150"/>
        <v/>
      </c>
      <c r="HD125" s="109" t="str">
        <f t="shared" si="73"/>
        <v/>
      </c>
      <c r="HE125" s="110" t="str">
        <f t="shared" si="151"/>
        <v/>
      </c>
      <c r="HF125" s="51"/>
      <c r="HG125" s="108" t="str">
        <f t="shared" si="74"/>
        <v/>
      </c>
      <c r="HH125" s="109" t="str">
        <f t="shared" si="152"/>
        <v/>
      </c>
      <c r="HI125" s="109" t="str">
        <f t="shared" si="75"/>
        <v/>
      </c>
      <c r="HJ125" s="110" t="str">
        <f t="shared" si="193"/>
        <v/>
      </c>
      <c r="HK125" s="51"/>
      <c r="HL125" s="108" t="str">
        <f t="shared" si="153"/>
        <v/>
      </c>
      <c r="HM125" s="109" t="str">
        <f t="shared" si="154"/>
        <v/>
      </c>
      <c r="HN125" s="109" t="str">
        <f t="shared" si="76"/>
        <v/>
      </c>
      <c r="HO125" s="110" t="str">
        <f t="shared" si="155"/>
        <v/>
      </c>
      <c r="HP125" s="51"/>
      <c r="HQ125" s="108" t="str">
        <f t="shared" si="77"/>
        <v/>
      </c>
      <c r="HR125" s="109" t="str">
        <f t="shared" si="156"/>
        <v/>
      </c>
      <c r="HS125" s="109" t="str">
        <f t="shared" si="78"/>
        <v/>
      </c>
      <c r="HT125" s="110" t="str">
        <f t="shared" si="194"/>
        <v/>
      </c>
      <c r="HU125" s="51"/>
      <c r="HV125" s="108" t="str">
        <f t="shared" si="157"/>
        <v/>
      </c>
      <c r="HW125" s="109" t="str">
        <f t="shared" si="158"/>
        <v/>
      </c>
      <c r="HX125" s="109" t="str">
        <f t="shared" si="79"/>
        <v/>
      </c>
      <c r="HY125" s="110" t="str">
        <f t="shared" si="159"/>
        <v/>
      </c>
      <c r="HZ125" s="51"/>
      <c r="IA125" s="108" t="str">
        <f t="shared" si="80"/>
        <v/>
      </c>
      <c r="IB125" s="109" t="str">
        <f t="shared" si="160"/>
        <v/>
      </c>
      <c r="IC125" s="109" t="str">
        <f t="shared" si="81"/>
        <v/>
      </c>
      <c r="ID125" s="110" t="str">
        <f t="shared" si="195"/>
        <v/>
      </c>
      <c r="IE125" s="51"/>
      <c r="IF125" s="108" t="str">
        <f t="shared" si="161"/>
        <v/>
      </c>
      <c r="IG125" s="109" t="str">
        <f t="shared" si="162"/>
        <v/>
      </c>
      <c r="IH125" s="109" t="str">
        <f t="shared" si="82"/>
        <v/>
      </c>
      <c r="II125" s="110" t="str">
        <f t="shared" si="163"/>
        <v/>
      </c>
      <c r="IJ125" s="51"/>
      <c r="IK125" s="108" t="str">
        <f t="shared" si="83"/>
        <v/>
      </c>
      <c r="IL125" s="109" t="str">
        <f t="shared" si="164"/>
        <v/>
      </c>
      <c r="IM125" s="109" t="str">
        <f t="shared" si="84"/>
        <v/>
      </c>
      <c r="IN125" s="110" t="str">
        <f t="shared" si="196"/>
        <v/>
      </c>
      <c r="IO125" s="51"/>
      <c r="IP125" s="108" t="str">
        <f t="shared" si="165"/>
        <v/>
      </c>
      <c r="IQ125" s="109" t="str">
        <f t="shared" si="166"/>
        <v/>
      </c>
      <c r="IR125" s="109" t="str">
        <f t="shared" si="85"/>
        <v/>
      </c>
      <c r="IS125" s="110" t="str">
        <f t="shared" si="167"/>
        <v/>
      </c>
      <c r="IT125" s="51"/>
      <c r="IU125" s="108" t="str">
        <f t="shared" si="86"/>
        <v/>
      </c>
      <c r="IV125" s="109" t="str">
        <f t="shared" si="168"/>
        <v/>
      </c>
      <c r="IW125" s="109" t="str">
        <f t="shared" si="87"/>
        <v/>
      </c>
      <c r="IX125" s="110" t="str">
        <f t="shared" si="197"/>
        <v/>
      </c>
      <c r="IY125" s="51"/>
      <c r="IZ125" s="108" t="str">
        <f t="shared" si="169"/>
        <v/>
      </c>
      <c r="JA125" s="109" t="str">
        <f t="shared" si="170"/>
        <v/>
      </c>
      <c r="JB125" s="109" t="str">
        <f t="shared" si="88"/>
        <v/>
      </c>
      <c r="JC125" s="110" t="str">
        <f t="shared" si="171"/>
        <v/>
      </c>
      <c r="JD125" s="51"/>
      <c r="JE125" s="108" t="str">
        <f t="shared" si="89"/>
        <v/>
      </c>
      <c r="JF125" s="109" t="str">
        <f t="shared" si="172"/>
        <v/>
      </c>
      <c r="JG125" s="109" t="str">
        <f t="shared" si="90"/>
        <v/>
      </c>
      <c r="JH125" s="110" t="str">
        <f t="shared" si="198"/>
        <v/>
      </c>
      <c r="JI125" s="51"/>
      <c r="JJ125" s="108" t="str">
        <f t="shared" si="173"/>
        <v/>
      </c>
      <c r="JK125" s="109" t="str">
        <f t="shared" si="174"/>
        <v/>
      </c>
      <c r="JL125" s="109" t="str">
        <f t="shared" si="91"/>
        <v/>
      </c>
      <c r="JM125" s="110" t="str">
        <f t="shared" si="175"/>
        <v/>
      </c>
      <c r="JN125" s="51"/>
      <c r="JO125" s="108" t="str">
        <f t="shared" si="92"/>
        <v/>
      </c>
      <c r="JP125" s="109" t="str">
        <f t="shared" si="176"/>
        <v/>
      </c>
      <c r="JQ125" s="109" t="str">
        <f t="shared" si="93"/>
        <v/>
      </c>
      <c r="JR125" s="110" t="str">
        <f t="shared" si="199"/>
        <v/>
      </c>
      <c r="JS125" s="51"/>
      <c r="JT125" s="108" t="str">
        <f t="shared" si="177"/>
        <v/>
      </c>
      <c r="JU125" s="109" t="str">
        <f t="shared" si="178"/>
        <v/>
      </c>
      <c r="JV125" s="109" t="str">
        <f t="shared" si="94"/>
        <v/>
      </c>
      <c r="JW125" s="110" t="str">
        <f t="shared" si="179"/>
        <v/>
      </c>
      <c r="JX125" s="51"/>
      <c r="JY125" s="108" t="str">
        <f t="shared" si="95"/>
        <v/>
      </c>
      <c r="JZ125" s="109" t="str">
        <f t="shared" si="180"/>
        <v/>
      </c>
      <c r="KA125" s="109" t="str">
        <f t="shared" si="96"/>
        <v/>
      </c>
      <c r="KB125" s="110" t="str">
        <f t="shared" si="200"/>
        <v/>
      </c>
      <c r="KC125" s="51"/>
      <c r="KD125" s="108" t="str">
        <f t="shared" si="181"/>
        <v/>
      </c>
      <c r="KE125" s="109" t="str">
        <f t="shared" si="182"/>
        <v/>
      </c>
      <c r="KF125" s="109" t="str">
        <f t="shared" si="97"/>
        <v/>
      </c>
      <c r="KG125" s="110" t="str">
        <f t="shared" si="98"/>
        <v/>
      </c>
    </row>
    <row r="126" spans="1:293" ht="12" customHeight="1">
      <c r="A126" s="105">
        <f t="array" ref="A126">MAX(IF($J$80:J125&gt;0,$C$80:C125,0))</f>
        <v>43535</v>
      </c>
      <c r="B126" s="81" t="str">
        <f t="shared" si="4"/>
        <v/>
      </c>
      <c r="C126" s="82">
        <f t="shared" si="5"/>
        <v>0</v>
      </c>
      <c r="D126" s="83" t="str">
        <f t="shared" si="6"/>
        <v/>
      </c>
      <c r="E126" s="83" t="str">
        <f t="shared" si="99"/>
        <v/>
      </c>
      <c r="F126" s="83" t="str">
        <f t="shared" si="7"/>
        <v/>
      </c>
      <c r="G126" s="83" t="str">
        <f t="shared" si="8"/>
        <v/>
      </c>
      <c r="H126" s="83" t="str">
        <f t="shared" si="9"/>
        <v/>
      </c>
      <c r="I126" s="105">
        <f t="array" ref="I126">MAX(IF($R$80:R125&gt;0,$L$80:L125,0))</f>
        <v>0</v>
      </c>
      <c r="J126" s="106"/>
      <c r="K126" s="2" t="str">
        <f t="shared" si="10"/>
        <v/>
      </c>
      <c r="L126" s="82">
        <f t="shared" si="183"/>
        <v>0</v>
      </c>
      <c r="M126" s="83" t="str">
        <f t="shared" si="11"/>
        <v/>
      </c>
      <c r="N126" s="83" t="str">
        <f t="shared" si="12"/>
        <v/>
      </c>
      <c r="O126" s="83" t="str">
        <f t="shared" si="13"/>
        <v/>
      </c>
      <c r="P126" s="83" t="str">
        <f t="shared" si="14"/>
        <v/>
      </c>
      <c r="Q126" s="83" t="str">
        <f t="shared" si="15"/>
        <v/>
      </c>
      <c r="R126" s="106"/>
      <c r="S126" s="1"/>
      <c r="U126" s="85" t="e">
        <f t="shared" si="0"/>
        <v>#NUM!</v>
      </c>
      <c r="V126" s="86" t="e">
        <f t="shared" si="100"/>
        <v>#NUM!</v>
      </c>
      <c r="W126" s="87" t="e">
        <f t="shared" si="16"/>
        <v>#NUM!</v>
      </c>
      <c r="X126" s="87" t="e">
        <f t="shared" si="17"/>
        <v>#NUM!</v>
      </c>
      <c r="Y126" s="87" t="e">
        <f t="shared" si="18"/>
        <v>#NUM!</v>
      </c>
      <c r="Z126" s="88" t="e">
        <f t="shared" si="1"/>
        <v>#NUM!</v>
      </c>
      <c r="AA126" t="s">
        <v>282</v>
      </c>
      <c r="AB126" s="89">
        <f t="shared" si="101"/>
        <v>0</v>
      </c>
      <c r="AC126" s="87">
        <f t="shared" si="19"/>
        <v>0</v>
      </c>
      <c r="AD126" s="87" t="str">
        <f t="shared" si="20"/>
        <v/>
      </c>
      <c r="AE126" s="87" t="str">
        <f t="shared" si="21"/>
        <v/>
      </c>
      <c r="AF126" s="86">
        <f t="shared" si="102"/>
        <v>0</v>
      </c>
      <c r="AG126" s="87">
        <f t="shared" si="2"/>
        <v>0</v>
      </c>
      <c r="AH126" s="87">
        <f t="shared" si="103"/>
        <v>0</v>
      </c>
      <c r="AI126" s="90"/>
      <c r="AJ126" s="87" t="e">
        <f t="shared" si="22"/>
        <v>#NUM!</v>
      </c>
      <c r="AK126" s="87" t="e">
        <f t="shared" si="104"/>
        <v>#NUM!</v>
      </c>
      <c r="AL126" s="87" t="e">
        <f t="shared" si="105"/>
        <v>#NUM!</v>
      </c>
      <c r="AM126" s="87" t="e">
        <f t="shared" si="106"/>
        <v>#NUM!</v>
      </c>
      <c r="AN126" s="86">
        <f t="shared" si="23"/>
        <v>0</v>
      </c>
      <c r="AO126" s="87">
        <f t="shared" si="24"/>
        <v>0</v>
      </c>
      <c r="AP126" s="88">
        <f t="shared" si="25"/>
        <v>0</v>
      </c>
      <c r="AR126" s="91">
        <f t="shared" si="26"/>
        <v>0</v>
      </c>
      <c r="AS126" s="92">
        <f t="shared" si="27"/>
        <v>0</v>
      </c>
      <c r="AT126" s="87" t="str">
        <f t="shared" si="28"/>
        <v/>
      </c>
      <c r="AU126" s="87" t="str">
        <f t="shared" si="29"/>
        <v/>
      </c>
      <c r="AV126" s="86">
        <f t="shared" si="107"/>
        <v>0</v>
      </c>
      <c r="AW126" s="87">
        <f t="shared" si="108"/>
        <v>0</v>
      </c>
      <c r="AX126" s="87">
        <f t="shared" si="109"/>
        <v>0</v>
      </c>
      <c r="AY126" s="93"/>
      <c r="AZ126" s="87">
        <f t="shared" si="201"/>
        <v>0</v>
      </c>
      <c r="BA126" s="87">
        <f t="shared" si="110"/>
        <v>0</v>
      </c>
      <c r="BB126" s="87">
        <f t="shared" si="111"/>
        <v>0</v>
      </c>
      <c r="BC126" s="87">
        <f t="shared" si="184"/>
        <v>0</v>
      </c>
      <c r="BD126" s="86" t="e">
        <f t="shared" si="30"/>
        <v>#NUM!</v>
      </c>
      <c r="BE126" s="87" t="e">
        <f t="shared" si="3"/>
        <v>#NUM!</v>
      </c>
      <c r="BF126" s="88">
        <f t="shared" si="112"/>
        <v>0</v>
      </c>
      <c r="BH126" s="87" t="e">
        <f t="shared" si="31"/>
        <v>#NUM!</v>
      </c>
      <c r="BK126" s="95">
        <v>40550</v>
      </c>
      <c r="BL126" s="96">
        <v>47</v>
      </c>
      <c r="BT126" s="117" t="s">
        <v>283</v>
      </c>
      <c r="BY126" s="107"/>
      <c r="BZ126" s="107"/>
      <c r="CA126" s="107"/>
      <c r="CB126" s="107"/>
      <c r="CC126" s="107"/>
      <c r="CD126" s="107"/>
      <c r="CE126" s="107"/>
      <c r="CF126" s="107"/>
      <c r="CG126" s="107"/>
      <c r="CY126" s="108" t="str">
        <f t="shared" si="32"/>
        <v/>
      </c>
      <c r="CZ126" s="109" t="str">
        <f t="shared" si="33"/>
        <v/>
      </c>
      <c r="DA126" s="109" t="str">
        <f t="shared" si="34"/>
        <v/>
      </c>
      <c r="DB126" s="110" t="str">
        <f t="shared" si="225"/>
        <v/>
      </c>
      <c r="DD126" s="108" t="str">
        <f t="shared" si="36"/>
        <v/>
      </c>
      <c r="DE126" s="109" t="str">
        <f t="shared" si="114"/>
        <v/>
      </c>
      <c r="DF126" s="109" t="str">
        <f t="shared" si="37"/>
        <v/>
      </c>
      <c r="DG126" s="110" t="str">
        <f t="shared" si="226"/>
        <v/>
      </c>
      <c r="DI126" s="108" t="str">
        <f t="shared" si="115"/>
        <v/>
      </c>
      <c r="DJ126" s="109" t="str">
        <f t="shared" si="116"/>
        <v/>
      </c>
      <c r="DK126" s="109" t="str">
        <f t="shared" si="39"/>
        <v/>
      </c>
      <c r="DL126" s="110" t="str">
        <f t="shared" si="227"/>
        <v/>
      </c>
      <c r="DN126" s="108" t="str">
        <f t="shared" si="41"/>
        <v/>
      </c>
      <c r="DO126" s="109" t="str">
        <f t="shared" si="42"/>
        <v/>
      </c>
      <c r="DP126" s="109" t="str">
        <f t="shared" si="43"/>
        <v/>
      </c>
      <c r="DQ126" s="110" t="str">
        <f t="shared" si="228"/>
        <v/>
      </c>
      <c r="DS126" s="108" t="str">
        <f t="shared" si="117"/>
        <v/>
      </c>
      <c r="DT126" s="109" t="str">
        <f t="shared" si="118"/>
        <v/>
      </c>
      <c r="DU126" s="109" t="str">
        <f t="shared" si="45"/>
        <v/>
      </c>
      <c r="DV126" s="110" t="str">
        <f t="shared" si="229"/>
        <v/>
      </c>
      <c r="DX126" s="108" t="str">
        <f t="shared" si="46"/>
        <v/>
      </c>
      <c r="DY126" s="109" t="str">
        <f t="shared" si="119"/>
        <v/>
      </c>
      <c r="DZ126" s="109" t="str">
        <f t="shared" si="47"/>
        <v/>
      </c>
      <c r="EA126" s="110" t="str">
        <f t="shared" si="230"/>
        <v/>
      </c>
      <c r="EC126" s="108" t="str">
        <f t="shared" si="121"/>
        <v/>
      </c>
      <c r="ED126" s="109" t="str">
        <f t="shared" si="122"/>
        <v/>
      </c>
      <c r="EE126" s="109" t="str">
        <f t="shared" si="48"/>
        <v/>
      </c>
      <c r="EF126" s="110" t="str">
        <f t="shared" si="231"/>
        <v/>
      </c>
      <c r="EH126" s="108" t="str">
        <f t="shared" si="49"/>
        <v/>
      </c>
      <c r="EI126" s="109" t="str">
        <f t="shared" si="123"/>
        <v/>
      </c>
      <c r="EJ126" s="109" t="str">
        <f t="shared" si="50"/>
        <v/>
      </c>
      <c r="EK126" s="110" t="str">
        <f t="shared" si="232"/>
        <v/>
      </c>
      <c r="EM126" s="108" t="str">
        <f t="shared" si="125"/>
        <v/>
      </c>
      <c r="EN126" s="109" t="str">
        <f t="shared" si="126"/>
        <v/>
      </c>
      <c r="EO126" s="109" t="str">
        <f t="shared" si="51"/>
        <v/>
      </c>
      <c r="EP126" s="110" t="str">
        <f t="shared" si="233"/>
        <v/>
      </c>
      <c r="ER126" s="108" t="str">
        <f t="shared" si="52"/>
        <v/>
      </c>
      <c r="ES126" s="109" t="str">
        <f t="shared" si="127"/>
        <v/>
      </c>
      <c r="ET126" s="109" t="str">
        <f t="shared" si="53"/>
        <v/>
      </c>
      <c r="EU126" s="110" t="str">
        <f t="shared" si="234"/>
        <v/>
      </c>
      <c r="EW126" s="108" t="str">
        <f t="shared" si="129"/>
        <v/>
      </c>
      <c r="EX126" s="109" t="str">
        <f t="shared" si="130"/>
        <v/>
      </c>
      <c r="EY126" s="109" t="str">
        <f t="shared" si="54"/>
        <v/>
      </c>
      <c r="EZ126" s="110" t="str">
        <f t="shared" si="235"/>
        <v/>
      </c>
      <c r="FB126" s="108" t="str">
        <f t="shared" si="55"/>
        <v/>
      </c>
      <c r="FC126" s="109" t="str">
        <f t="shared" si="131"/>
        <v/>
      </c>
      <c r="FD126" s="109" t="str">
        <f t="shared" si="56"/>
        <v/>
      </c>
      <c r="FE126" s="110" t="str">
        <f t="shared" si="236"/>
        <v/>
      </c>
      <c r="FG126" s="108" t="str">
        <f t="shared" si="133"/>
        <v/>
      </c>
      <c r="FH126" s="109" t="str">
        <f t="shared" si="134"/>
        <v/>
      </c>
      <c r="FI126" s="109" t="str">
        <f t="shared" si="57"/>
        <v/>
      </c>
      <c r="FJ126" s="110" t="str">
        <f t="shared" si="237"/>
        <v/>
      </c>
      <c r="FL126" s="108" t="str">
        <f t="shared" si="58"/>
        <v/>
      </c>
      <c r="FM126" s="109" t="str">
        <f t="shared" si="135"/>
        <v/>
      </c>
      <c r="FN126" s="109" t="str">
        <f t="shared" si="59"/>
        <v/>
      </c>
      <c r="FO126" s="110" t="str">
        <f t="shared" si="238"/>
        <v/>
      </c>
      <c r="FQ126" s="108" t="str">
        <f t="shared" si="137"/>
        <v/>
      </c>
      <c r="FR126" s="109" t="str">
        <f t="shared" si="138"/>
        <v/>
      </c>
      <c r="FS126" s="109" t="str">
        <f t="shared" si="60"/>
        <v/>
      </c>
      <c r="FT126" s="110" t="str">
        <f t="shared" si="239"/>
        <v/>
      </c>
      <c r="FV126" s="108" t="str">
        <f t="shared" si="61"/>
        <v/>
      </c>
      <c r="FW126" s="109" t="str">
        <f t="shared" si="139"/>
        <v/>
      </c>
      <c r="FX126" s="109" t="str">
        <f t="shared" si="62"/>
        <v/>
      </c>
      <c r="FY126" s="110" t="str">
        <f t="shared" si="240"/>
        <v/>
      </c>
      <c r="GA126" s="108" t="str">
        <f t="shared" si="141"/>
        <v/>
      </c>
      <c r="GB126" s="109" t="str">
        <f t="shared" si="142"/>
        <v/>
      </c>
      <c r="GC126" s="109" t="str">
        <f t="shared" si="63"/>
        <v/>
      </c>
      <c r="GD126" s="110" t="str">
        <f t="shared" si="241"/>
        <v/>
      </c>
      <c r="GF126" s="108" t="str">
        <f t="shared" si="64"/>
        <v/>
      </c>
      <c r="GG126" s="109" t="str">
        <f t="shared" si="143"/>
        <v/>
      </c>
      <c r="GH126" s="109" t="str">
        <f t="shared" si="65"/>
        <v/>
      </c>
      <c r="GI126" s="110" t="str">
        <f t="shared" si="242"/>
        <v/>
      </c>
      <c r="GK126" s="108" t="str">
        <f t="shared" si="145"/>
        <v/>
      </c>
      <c r="GL126" s="109" t="str">
        <f t="shared" si="146"/>
        <v/>
      </c>
      <c r="GM126" s="109" t="str">
        <f t="shared" si="147"/>
        <v/>
      </c>
      <c r="GN126" s="110" t="str">
        <f t="shared" si="243"/>
        <v/>
      </c>
      <c r="GR126" s="108" t="str">
        <f t="shared" si="66"/>
        <v/>
      </c>
      <c r="GS126" s="109" t="str">
        <f t="shared" si="67"/>
        <v/>
      </c>
      <c r="GT126" s="109" t="str">
        <f t="shared" si="68"/>
        <v/>
      </c>
      <c r="GU126" s="110" t="str">
        <f t="shared" si="69"/>
        <v/>
      </c>
      <c r="GV126" s="51"/>
      <c r="GW126" s="108" t="str">
        <f t="shared" si="70"/>
        <v/>
      </c>
      <c r="GX126" s="109" t="str">
        <f t="shared" si="148"/>
        <v/>
      </c>
      <c r="GY126" s="109" t="str">
        <f t="shared" si="71"/>
        <v/>
      </c>
      <c r="GZ126" s="110" t="str">
        <f t="shared" si="72"/>
        <v/>
      </c>
      <c r="HA126" s="51"/>
      <c r="HB126" s="108" t="str">
        <f t="shared" si="149"/>
        <v/>
      </c>
      <c r="HC126" s="109" t="str">
        <f t="shared" si="150"/>
        <v/>
      </c>
      <c r="HD126" s="109" t="str">
        <f t="shared" si="73"/>
        <v/>
      </c>
      <c r="HE126" s="110" t="str">
        <f t="shared" si="151"/>
        <v/>
      </c>
      <c r="HF126" s="51"/>
      <c r="HG126" s="108" t="str">
        <f t="shared" si="74"/>
        <v/>
      </c>
      <c r="HH126" s="109" t="str">
        <f t="shared" si="152"/>
        <v/>
      </c>
      <c r="HI126" s="109" t="str">
        <f t="shared" si="75"/>
        <v/>
      </c>
      <c r="HJ126" s="110" t="str">
        <f t="shared" si="193"/>
        <v/>
      </c>
      <c r="HK126" s="51"/>
      <c r="HL126" s="108" t="str">
        <f t="shared" si="153"/>
        <v/>
      </c>
      <c r="HM126" s="109" t="str">
        <f t="shared" si="154"/>
        <v/>
      </c>
      <c r="HN126" s="109" t="str">
        <f t="shared" si="76"/>
        <v/>
      </c>
      <c r="HO126" s="110" t="str">
        <f t="shared" si="155"/>
        <v/>
      </c>
      <c r="HP126" s="51"/>
      <c r="HQ126" s="108" t="str">
        <f t="shared" si="77"/>
        <v/>
      </c>
      <c r="HR126" s="109" t="str">
        <f t="shared" si="156"/>
        <v/>
      </c>
      <c r="HS126" s="109" t="str">
        <f t="shared" si="78"/>
        <v/>
      </c>
      <c r="HT126" s="110" t="str">
        <f t="shared" si="194"/>
        <v/>
      </c>
      <c r="HU126" s="51"/>
      <c r="HV126" s="108" t="str">
        <f t="shared" si="157"/>
        <v/>
      </c>
      <c r="HW126" s="109" t="str">
        <f t="shared" si="158"/>
        <v/>
      </c>
      <c r="HX126" s="109" t="str">
        <f t="shared" si="79"/>
        <v/>
      </c>
      <c r="HY126" s="110" t="str">
        <f t="shared" si="159"/>
        <v/>
      </c>
      <c r="HZ126" s="51"/>
      <c r="IA126" s="108" t="str">
        <f t="shared" si="80"/>
        <v/>
      </c>
      <c r="IB126" s="109" t="str">
        <f t="shared" si="160"/>
        <v/>
      </c>
      <c r="IC126" s="109" t="str">
        <f t="shared" si="81"/>
        <v/>
      </c>
      <c r="ID126" s="110" t="str">
        <f t="shared" si="195"/>
        <v/>
      </c>
      <c r="IE126" s="51"/>
      <c r="IF126" s="108" t="str">
        <f t="shared" si="161"/>
        <v/>
      </c>
      <c r="IG126" s="109" t="str">
        <f t="shared" si="162"/>
        <v/>
      </c>
      <c r="IH126" s="109" t="str">
        <f t="shared" si="82"/>
        <v/>
      </c>
      <c r="II126" s="110" t="str">
        <f t="shared" si="163"/>
        <v/>
      </c>
      <c r="IJ126" s="51"/>
      <c r="IK126" s="108" t="str">
        <f t="shared" si="83"/>
        <v/>
      </c>
      <c r="IL126" s="109" t="str">
        <f t="shared" si="164"/>
        <v/>
      </c>
      <c r="IM126" s="109" t="str">
        <f t="shared" si="84"/>
        <v/>
      </c>
      <c r="IN126" s="110" t="str">
        <f t="shared" si="196"/>
        <v/>
      </c>
      <c r="IO126" s="51"/>
      <c r="IP126" s="108" t="str">
        <f t="shared" si="165"/>
        <v/>
      </c>
      <c r="IQ126" s="109" t="str">
        <f t="shared" si="166"/>
        <v/>
      </c>
      <c r="IR126" s="109" t="str">
        <f t="shared" si="85"/>
        <v/>
      </c>
      <c r="IS126" s="110" t="str">
        <f t="shared" si="167"/>
        <v/>
      </c>
      <c r="IT126" s="51"/>
      <c r="IU126" s="108" t="str">
        <f t="shared" si="86"/>
        <v/>
      </c>
      <c r="IV126" s="109" t="str">
        <f t="shared" si="168"/>
        <v/>
      </c>
      <c r="IW126" s="109" t="str">
        <f t="shared" si="87"/>
        <v/>
      </c>
      <c r="IX126" s="110" t="str">
        <f t="shared" si="197"/>
        <v/>
      </c>
      <c r="IY126" s="51"/>
      <c r="IZ126" s="108" t="str">
        <f t="shared" si="169"/>
        <v/>
      </c>
      <c r="JA126" s="109" t="str">
        <f t="shared" si="170"/>
        <v/>
      </c>
      <c r="JB126" s="109" t="str">
        <f t="shared" si="88"/>
        <v/>
      </c>
      <c r="JC126" s="110" t="str">
        <f t="shared" si="171"/>
        <v/>
      </c>
      <c r="JD126" s="51"/>
      <c r="JE126" s="108" t="str">
        <f t="shared" si="89"/>
        <v/>
      </c>
      <c r="JF126" s="109" t="str">
        <f t="shared" si="172"/>
        <v/>
      </c>
      <c r="JG126" s="109" t="str">
        <f t="shared" si="90"/>
        <v/>
      </c>
      <c r="JH126" s="110" t="str">
        <f t="shared" si="198"/>
        <v/>
      </c>
      <c r="JI126" s="51"/>
      <c r="JJ126" s="108" t="str">
        <f t="shared" si="173"/>
        <v/>
      </c>
      <c r="JK126" s="109" t="str">
        <f t="shared" si="174"/>
        <v/>
      </c>
      <c r="JL126" s="109" t="str">
        <f t="shared" si="91"/>
        <v/>
      </c>
      <c r="JM126" s="110" t="str">
        <f t="shared" si="175"/>
        <v/>
      </c>
      <c r="JN126" s="51"/>
      <c r="JO126" s="108" t="str">
        <f t="shared" si="92"/>
        <v/>
      </c>
      <c r="JP126" s="109" t="str">
        <f t="shared" si="176"/>
        <v/>
      </c>
      <c r="JQ126" s="109" t="str">
        <f t="shared" si="93"/>
        <v/>
      </c>
      <c r="JR126" s="110" t="str">
        <f t="shared" si="199"/>
        <v/>
      </c>
      <c r="JS126" s="51"/>
      <c r="JT126" s="108" t="str">
        <f t="shared" si="177"/>
        <v/>
      </c>
      <c r="JU126" s="109" t="str">
        <f t="shared" si="178"/>
        <v/>
      </c>
      <c r="JV126" s="109" t="str">
        <f t="shared" si="94"/>
        <v/>
      </c>
      <c r="JW126" s="110" t="str">
        <f t="shared" si="179"/>
        <v/>
      </c>
      <c r="JX126" s="51"/>
      <c r="JY126" s="108" t="str">
        <f t="shared" si="95"/>
        <v/>
      </c>
      <c r="JZ126" s="109" t="str">
        <f t="shared" si="180"/>
        <v/>
      </c>
      <c r="KA126" s="109" t="str">
        <f t="shared" si="96"/>
        <v/>
      </c>
      <c r="KB126" s="110" t="str">
        <f t="shared" si="200"/>
        <v/>
      </c>
      <c r="KC126" s="51"/>
      <c r="KD126" s="108" t="str">
        <f t="shared" si="181"/>
        <v/>
      </c>
      <c r="KE126" s="109" t="str">
        <f t="shared" si="182"/>
        <v/>
      </c>
      <c r="KF126" s="109" t="str">
        <f t="shared" si="97"/>
        <v/>
      </c>
      <c r="KG126" s="110" t="str">
        <f t="shared" si="98"/>
        <v/>
      </c>
    </row>
    <row r="127" spans="1:293" ht="12" customHeight="1">
      <c r="A127" s="105">
        <f t="array" ref="A127">MAX(IF($J$80:J126&gt;0,$C$80:C126,0))</f>
        <v>43535</v>
      </c>
      <c r="B127" s="81" t="str">
        <f t="shared" si="4"/>
        <v/>
      </c>
      <c r="C127" s="82">
        <f t="shared" si="5"/>
        <v>0</v>
      </c>
      <c r="D127" s="83" t="str">
        <f t="shared" si="6"/>
        <v/>
      </c>
      <c r="E127" s="83" t="str">
        <f t="shared" si="99"/>
        <v/>
      </c>
      <c r="F127" s="83" t="str">
        <f t="shared" si="7"/>
        <v/>
      </c>
      <c r="G127" s="83" t="str">
        <f t="shared" si="8"/>
        <v/>
      </c>
      <c r="H127" s="83" t="str">
        <f t="shared" si="9"/>
        <v/>
      </c>
      <c r="I127" s="105">
        <f t="array" ref="I127">MAX(IF($R$80:R126&gt;0,$L$80:L126,0))</f>
        <v>0</v>
      </c>
      <c r="J127" s="106"/>
      <c r="K127" s="2" t="str">
        <f t="shared" si="10"/>
        <v/>
      </c>
      <c r="L127" s="82">
        <f t="shared" si="183"/>
        <v>0</v>
      </c>
      <c r="M127" s="83" t="str">
        <f t="shared" si="11"/>
        <v/>
      </c>
      <c r="N127" s="83" t="str">
        <f t="shared" si="12"/>
        <v/>
      </c>
      <c r="O127" s="83" t="str">
        <f t="shared" si="13"/>
        <v/>
      </c>
      <c r="P127" s="83" t="str">
        <f t="shared" si="14"/>
        <v/>
      </c>
      <c r="Q127" s="83" t="str">
        <f t="shared" si="15"/>
        <v/>
      </c>
      <c r="R127" s="106"/>
      <c r="S127" s="1"/>
      <c r="U127" s="85" t="e">
        <f t="shared" si="0"/>
        <v>#NUM!</v>
      </c>
      <c r="V127" s="86" t="e">
        <f t="shared" si="100"/>
        <v>#NUM!</v>
      </c>
      <c r="W127" s="87" t="e">
        <f t="shared" si="16"/>
        <v>#NUM!</v>
      </c>
      <c r="X127" s="87" t="e">
        <f t="shared" si="17"/>
        <v>#NUM!</v>
      </c>
      <c r="Y127" s="87" t="e">
        <f t="shared" si="18"/>
        <v>#NUM!</v>
      </c>
      <c r="Z127" s="88" t="e">
        <f t="shared" si="1"/>
        <v>#NUM!</v>
      </c>
      <c r="AA127" t="s">
        <v>282</v>
      </c>
      <c r="AB127" s="89">
        <f t="shared" si="101"/>
        <v>0</v>
      </c>
      <c r="AC127" s="87">
        <f t="shared" si="19"/>
        <v>0</v>
      </c>
      <c r="AD127" s="87" t="str">
        <f t="shared" si="20"/>
        <v/>
      </c>
      <c r="AE127" s="87" t="str">
        <f t="shared" si="21"/>
        <v/>
      </c>
      <c r="AF127" s="86">
        <f t="shared" si="102"/>
        <v>0</v>
      </c>
      <c r="AG127" s="87">
        <f t="shared" si="2"/>
        <v>0</v>
      </c>
      <c r="AH127" s="87">
        <f t="shared" si="103"/>
        <v>0</v>
      </c>
      <c r="AI127" s="90"/>
      <c r="AJ127" s="87" t="e">
        <f t="shared" si="22"/>
        <v>#NUM!</v>
      </c>
      <c r="AK127" s="87" t="e">
        <f t="shared" si="104"/>
        <v>#NUM!</v>
      </c>
      <c r="AL127" s="87" t="e">
        <f t="shared" si="105"/>
        <v>#NUM!</v>
      </c>
      <c r="AM127" s="87" t="e">
        <f t="shared" si="106"/>
        <v>#NUM!</v>
      </c>
      <c r="AN127" s="86">
        <f t="shared" si="23"/>
        <v>0</v>
      </c>
      <c r="AO127" s="87">
        <f t="shared" si="24"/>
        <v>0</v>
      </c>
      <c r="AP127" s="88">
        <f t="shared" si="25"/>
        <v>0</v>
      </c>
      <c r="AR127" s="91">
        <f t="shared" si="26"/>
        <v>0</v>
      </c>
      <c r="AS127" s="92">
        <f t="shared" si="27"/>
        <v>0</v>
      </c>
      <c r="AT127" s="87" t="str">
        <f t="shared" si="28"/>
        <v/>
      </c>
      <c r="AU127" s="87" t="str">
        <f t="shared" si="29"/>
        <v/>
      </c>
      <c r="AV127" s="86">
        <f t="shared" si="107"/>
        <v>0</v>
      </c>
      <c r="AW127" s="87">
        <f t="shared" si="108"/>
        <v>0</v>
      </c>
      <c r="AX127" s="87">
        <f t="shared" si="109"/>
        <v>0</v>
      </c>
      <c r="AY127" s="93"/>
      <c r="AZ127" s="87">
        <f t="shared" si="201"/>
        <v>0</v>
      </c>
      <c r="BA127" s="87">
        <f t="shared" si="110"/>
        <v>0</v>
      </c>
      <c r="BB127" s="87">
        <f t="shared" si="111"/>
        <v>0</v>
      </c>
      <c r="BC127" s="87">
        <f t="shared" si="184"/>
        <v>0</v>
      </c>
      <c r="BD127" s="86" t="e">
        <f t="shared" si="30"/>
        <v>#NUM!</v>
      </c>
      <c r="BE127" s="87" t="e">
        <f t="shared" si="3"/>
        <v>#NUM!</v>
      </c>
      <c r="BF127" s="88">
        <f t="shared" si="112"/>
        <v>0</v>
      </c>
      <c r="BH127" s="87" t="e">
        <f t="shared" si="31"/>
        <v>#NUM!</v>
      </c>
      <c r="BK127" s="95">
        <v>40562</v>
      </c>
      <c r="BL127" s="96">
        <v>48</v>
      </c>
      <c r="BT127" s="100" t="s">
        <v>144</v>
      </c>
      <c r="BV127" s="41">
        <v>0</v>
      </c>
      <c r="BW127" s="30" t="s">
        <v>497</v>
      </c>
      <c r="BX127" s="30" t="s">
        <v>497</v>
      </c>
      <c r="BY127" s="30" t="s">
        <v>497</v>
      </c>
      <c r="BZ127" s="30" t="s">
        <v>497</v>
      </c>
      <c r="CA127" s="30" t="s">
        <v>497</v>
      </c>
      <c r="CB127" s="30" t="s">
        <v>497</v>
      </c>
      <c r="CC127" s="30" t="s">
        <v>497</v>
      </c>
      <c r="CD127" s="30" t="s">
        <v>497</v>
      </c>
      <c r="CE127" s="30" t="s">
        <v>497</v>
      </c>
      <c r="CF127" s="41">
        <v>0</v>
      </c>
      <c r="CG127" s="41">
        <v>0</v>
      </c>
      <c r="CY127" s="108" t="str">
        <f t="shared" si="32"/>
        <v/>
      </c>
      <c r="CZ127" s="109" t="str">
        <f t="shared" si="33"/>
        <v/>
      </c>
      <c r="DA127" s="109" t="str">
        <f t="shared" si="34"/>
        <v/>
      </c>
      <c r="DB127" s="110" t="str">
        <f t="shared" si="225"/>
        <v/>
      </c>
      <c r="DD127" s="108" t="str">
        <f t="shared" si="36"/>
        <v/>
      </c>
      <c r="DE127" s="109" t="str">
        <f t="shared" si="114"/>
        <v/>
      </c>
      <c r="DF127" s="109" t="str">
        <f t="shared" si="37"/>
        <v/>
      </c>
      <c r="DG127" s="110" t="str">
        <f t="shared" si="226"/>
        <v/>
      </c>
      <c r="DI127" s="108" t="str">
        <f t="shared" si="115"/>
        <v/>
      </c>
      <c r="DJ127" s="109" t="str">
        <f t="shared" si="116"/>
        <v/>
      </c>
      <c r="DK127" s="109" t="str">
        <f t="shared" si="39"/>
        <v/>
      </c>
      <c r="DL127" s="110" t="str">
        <f t="shared" si="227"/>
        <v/>
      </c>
      <c r="DN127" s="108" t="str">
        <f t="shared" si="41"/>
        <v/>
      </c>
      <c r="DO127" s="109" t="str">
        <f t="shared" si="42"/>
        <v/>
      </c>
      <c r="DP127" s="109" t="str">
        <f t="shared" si="43"/>
        <v/>
      </c>
      <c r="DQ127" s="110" t="str">
        <f t="shared" si="228"/>
        <v/>
      </c>
      <c r="DS127" s="108" t="str">
        <f t="shared" si="117"/>
        <v/>
      </c>
      <c r="DT127" s="109" t="str">
        <f t="shared" si="118"/>
        <v/>
      </c>
      <c r="DU127" s="109" t="str">
        <f t="shared" si="45"/>
        <v/>
      </c>
      <c r="DV127" s="110" t="str">
        <f t="shared" si="229"/>
        <v/>
      </c>
      <c r="DX127" s="108" t="str">
        <f t="shared" si="46"/>
        <v/>
      </c>
      <c r="DY127" s="109" t="str">
        <f t="shared" si="119"/>
        <v/>
      </c>
      <c r="DZ127" s="109" t="str">
        <f t="shared" si="47"/>
        <v/>
      </c>
      <c r="EA127" s="110" t="str">
        <f t="shared" si="230"/>
        <v/>
      </c>
      <c r="EC127" s="108" t="str">
        <f t="shared" si="121"/>
        <v/>
      </c>
      <c r="ED127" s="109" t="str">
        <f t="shared" si="122"/>
        <v/>
      </c>
      <c r="EE127" s="109" t="str">
        <f t="shared" si="48"/>
        <v/>
      </c>
      <c r="EF127" s="110" t="str">
        <f t="shared" si="231"/>
        <v/>
      </c>
      <c r="EH127" s="108" t="str">
        <f t="shared" si="49"/>
        <v/>
      </c>
      <c r="EI127" s="109" t="str">
        <f t="shared" si="123"/>
        <v/>
      </c>
      <c r="EJ127" s="109" t="str">
        <f t="shared" si="50"/>
        <v/>
      </c>
      <c r="EK127" s="110" t="str">
        <f t="shared" si="232"/>
        <v/>
      </c>
      <c r="EM127" s="108" t="str">
        <f t="shared" si="125"/>
        <v/>
      </c>
      <c r="EN127" s="109" t="str">
        <f t="shared" si="126"/>
        <v/>
      </c>
      <c r="EO127" s="109" t="str">
        <f t="shared" si="51"/>
        <v/>
      </c>
      <c r="EP127" s="110" t="str">
        <f t="shared" si="233"/>
        <v/>
      </c>
      <c r="ER127" s="108" t="str">
        <f t="shared" si="52"/>
        <v/>
      </c>
      <c r="ES127" s="109" t="str">
        <f t="shared" si="127"/>
        <v/>
      </c>
      <c r="ET127" s="109" t="str">
        <f t="shared" si="53"/>
        <v/>
      </c>
      <c r="EU127" s="110" t="str">
        <f t="shared" si="234"/>
        <v/>
      </c>
      <c r="EW127" s="108" t="str">
        <f t="shared" si="129"/>
        <v/>
      </c>
      <c r="EX127" s="109" t="str">
        <f t="shared" si="130"/>
        <v/>
      </c>
      <c r="EY127" s="109" t="str">
        <f t="shared" si="54"/>
        <v/>
      </c>
      <c r="EZ127" s="110" t="str">
        <f t="shared" si="235"/>
        <v/>
      </c>
      <c r="FB127" s="108" t="str">
        <f t="shared" si="55"/>
        <v/>
      </c>
      <c r="FC127" s="109" t="str">
        <f t="shared" si="131"/>
        <v/>
      </c>
      <c r="FD127" s="109" t="str">
        <f t="shared" si="56"/>
        <v/>
      </c>
      <c r="FE127" s="110" t="str">
        <f t="shared" si="236"/>
        <v/>
      </c>
      <c r="FG127" s="108" t="str">
        <f t="shared" si="133"/>
        <v/>
      </c>
      <c r="FH127" s="109" t="str">
        <f t="shared" si="134"/>
        <v/>
      </c>
      <c r="FI127" s="109" t="str">
        <f t="shared" si="57"/>
        <v/>
      </c>
      <c r="FJ127" s="110" t="str">
        <f t="shared" si="237"/>
        <v/>
      </c>
      <c r="FL127" s="108" t="str">
        <f t="shared" si="58"/>
        <v/>
      </c>
      <c r="FM127" s="109" t="str">
        <f t="shared" si="135"/>
        <v/>
      </c>
      <c r="FN127" s="109" t="str">
        <f t="shared" si="59"/>
        <v/>
      </c>
      <c r="FO127" s="110" t="str">
        <f t="shared" si="238"/>
        <v/>
      </c>
      <c r="FQ127" s="108" t="str">
        <f t="shared" si="137"/>
        <v/>
      </c>
      <c r="FR127" s="109" t="str">
        <f t="shared" si="138"/>
        <v/>
      </c>
      <c r="FS127" s="109" t="str">
        <f t="shared" si="60"/>
        <v/>
      </c>
      <c r="FT127" s="110" t="str">
        <f t="shared" si="239"/>
        <v/>
      </c>
      <c r="FV127" s="108" t="str">
        <f t="shared" si="61"/>
        <v/>
      </c>
      <c r="FW127" s="109" t="str">
        <f t="shared" si="139"/>
        <v/>
      </c>
      <c r="FX127" s="109" t="str">
        <f t="shared" si="62"/>
        <v/>
      </c>
      <c r="FY127" s="110" t="str">
        <f t="shared" si="240"/>
        <v/>
      </c>
      <c r="GA127" s="108" t="str">
        <f t="shared" si="141"/>
        <v/>
      </c>
      <c r="GB127" s="109" t="str">
        <f t="shared" si="142"/>
        <v/>
      </c>
      <c r="GC127" s="109" t="str">
        <f t="shared" si="63"/>
        <v/>
      </c>
      <c r="GD127" s="110" t="str">
        <f t="shared" si="241"/>
        <v/>
      </c>
      <c r="GF127" s="108" t="str">
        <f t="shared" si="64"/>
        <v/>
      </c>
      <c r="GG127" s="109" t="str">
        <f t="shared" si="143"/>
        <v/>
      </c>
      <c r="GH127" s="109" t="str">
        <f t="shared" si="65"/>
        <v/>
      </c>
      <c r="GI127" s="110" t="str">
        <f t="shared" si="242"/>
        <v/>
      </c>
      <c r="GK127" s="108" t="str">
        <f t="shared" si="145"/>
        <v/>
      </c>
      <c r="GL127" s="109" t="str">
        <f t="shared" si="146"/>
        <v/>
      </c>
      <c r="GM127" s="109" t="str">
        <f t="shared" si="147"/>
        <v/>
      </c>
      <c r="GN127" s="110" t="str">
        <f t="shared" si="243"/>
        <v/>
      </c>
      <c r="GR127" s="108" t="str">
        <f t="shared" si="66"/>
        <v/>
      </c>
      <c r="GS127" s="109" t="str">
        <f t="shared" si="67"/>
        <v/>
      </c>
      <c r="GT127" s="109" t="str">
        <f t="shared" si="68"/>
        <v/>
      </c>
      <c r="GU127" s="110" t="str">
        <f t="shared" si="69"/>
        <v/>
      </c>
      <c r="GV127" s="51"/>
      <c r="GW127" s="108" t="str">
        <f t="shared" si="70"/>
        <v/>
      </c>
      <c r="GX127" s="109" t="str">
        <f t="shared" si="148"/>
        <v/>
      </c>
      <c r="GY127" s="109" t="str">
        <f t="shared" si="71"/>
        <v/>
      </c>
      <c r="GZ127" s="110" t="str">
        <f t="shared" si="72"/>
        <v/>
      </c>
      <c r="HA127" s="51"/>
      <c r="HB127" s="108" t="str">
        <f t="shared" si="149"/>
        <v/>
      </c>
      <c r="HC127" s="109" t="str">
        <f t="shared" si="150"/>
        <v/>
      </c>
      <c r="HD127" s="109" t="str">
        <f t="shared" si="73"/>
        <v/>
      </c>
      <c r="HE127" s="110" t="str">
        <f t="shared" si="151"/>
        <v/>
      </c>
      <c r="HF127" s="51"/>
      <c r="HG127" s="108" t="str">
        <f t="shared" si="74"/>
        <v/>
      </c>
      <c r="HH127" s="109" t="str">
        <f t="shared" si="152"/>
        <v/>
      </c>
      <c r="HI127" s="109" t="str">
        <f t="shared" si="75"/>
        <v/>
      </c>
      <c r="HJ127" s="110" t="str">
        <f t="shared" si="193"/>
        <v/>
      </c>
      <c r="HK127" s="51"/>
      <c r="HL127" s="108" t="str">
        <f t="shared" si="153"/>
        <v/>
      </c>
      <c r="HM127" s="109" t="str">
        <f t="shared" si="154"/>
        <v/>
      </c>
      <c r="HN127" s="109" t="str">
        <f t="shared" si="76"/>
        <v/>
      </c>
      <c r="HO127" s="110" t="str">
        <f t="shared" si="155"/>
        <v/>
      </c>
      <c r="HP127" s="51"/>
      <c r="HQ127" s="108" t="str">
        <f t="shared" si="77"/>
        <v/>
      </c>
      <c r="HR127" s="109" t="str">
        <f t="shared" si="156"/>
        <v/>
      </c>
      <c r="HS127" s="109" t="str">
        <f t="shared" si="78"/>
        <v/>
      </c>
      <c r="HT127" s="110" t="str">
        <f t="shared" si="194"/>
        <v/>
      </c>
      <c r="HU127" s="51"/>
      <c r="HV127" s="108" t="str">
        <f t="shared" si="157"/>
        <v/>
      </c>
      <c r="HW127" s="109" t="str">
        <f t="shared" si="158"/>
        <v/>
      </c>
      <c r="HX127" s="109" t="str">
        <f t="shared" si="79"/>
        <v/>
      </c>
      <c r="HY127" s="110" t="str">
        <f t="shared" si="159"/>
        <v/>
      </c>
      <c r="HZ127" s="51"/>
      <c r="IA127" s="108" t="str">
        <f t="shared" si="80"/>
        <v/>
      </c>
      <c r="IB127" s="109" t="str">
        <f t="shared" si="160"/>
        <v/>
      </c>
      <c r="IC127" s="109" t="str">
        <f t="shared" si="81"/>
        <v/>
      </c>
      <c r="ID127" s="110" t="str">
        <f t="shared" si="195"/>
        <v/>
      </c>
      <c r="IE127" s="51"/>
      <c r="IF127" s="108" t="str">
        <f t="shared" si="161"/>
        <v/>
      </c>
      <c r="IG127" s="109" t="str">
        <f t="shared" si="162"/>
        <v/>
      </c>
      <c r="IH127" s="109" t="str">
        <f t="shared" si="82"/>
        <v/>
      </c>
      <c r="II127" s="110" t="str">
        <f t="shared" si="163"/>
        <v/>
      </c>
      <c r="IJ127" s="51"/>
      <c r="IK127" s="108" t="str">
        <f t="shared" si="83"/>
        <v/>
      </c>
      <c r="IL127" s="109" t="str">
        <f t="shared" si="164"/>
        <v/>
      </c>
      <c r="IM127" s="109" t="str">
        <f t="shared" si="84"/>
        <v/>
      </c>
      <c r="IN127" s="110" t="str">
        <f t="shared" si="196"/>
        <v/>
      </c>
      <c r="IO127" s="51"/>
      <c r="IP127" s="108" t="str">
        <f t="shared" si="165"/>
        <v/>
      </c>
      <c r="IQ127" s="109" t="str">
        <f t="shared" si="166"/>
        <v/>
      </c>
      <c r="IR127" s="109" t="str">
        <f t="shared" si="85"/>
        <v/>
      </c>
      <c r="IS127" s="110" t="str">
        <f t="shared" si="167"/>
        <v/>
      </c>
      <c r="IT127" s="51"/>
      <c r="IU127" s="108" t="str">
        <f t="shared" si="86"/>
        <v/>
      </c>
      <c r="IV127" s="109" t="str">
        <f t="shared" si="168"/>
        <v/>
      </c>
      <c r="IW127" s="109" t="str">
        <f t="shared" si="87"/>
        <v/>
      </c>
      <c r="IX127" s="110" t="str">
        <f t="shared" si="197"/>
        <v/>
      </c>
      <c r="IY127" s="51"/>
      <c r="IZ127" s="108" t="str">
        <f t="shared" si="169"/>
        <v/>
      </c>
      <c r="JA127" s="109" t="str">
        <f t="shared" si="170"/>
        <v/>
      </c>
      <c r="JB127" s="109" t="str">
        <f t="shared" si="88"/>
        <v/>
      </c>
      <c r="JC127" s="110" t="str">
        <f t="shared" si="171"/>
        <v/>
      </c>
      <c r="JD127" s="51"/>
      <c r="JE127" s="108" t="str">
        <f t="shared" si="89"/>
        <v/>
      </c>
      <c r="JF127" s="109" t="str">
        <f t="shared" si="172"/>
        <v/>
      </c>
      <c r="JG127" s="109" t="str">
        <f t="shared" si="90"/>
        <v/>
      </c>
      <c r="JH127" s="110" t="str">
        <f t="shared" si="198"/>
        <v/>
      </c>
      <c r="JI127" s="51"/>
      <c r="JJ127" s="108" t="str">
        <f t="shared" si="173"/>
        <v/>
      </c>
      <c r="JK127" s="109" t="str">
        <f t="shared" si="174"/>
        <v/>
      </c>
      <c r="JL127" s="109" t="str">
        <f t="shared" si="91"/>
        <v/>
      </c>
      <c r="JM127" s="110" t="str">
        <f t="shared" si="175"/>
        <v/>
      </c>
      <c r="JN127" s="51"/>
      <c r="JO127" s="108" t="str">
        <f t="shared" si="92"/>
        <v/>
      </c>
      <c r="JP127" s="109" t="str">
        <f t="shared" si="176"/>
        <v/>
      </c>
      <c r="JQ127" s="109" t="str">
        <f t="shared" si="93"/>
        <v/>
      </c>
      <c r="JR127" s="110" t="str">
        <f t="shared" si="199"/>
        <v/>
      </c>
      <c r="JS127" s="51"/>
      <c r="JT127" s="108" t="str">
        <f t="shared" si="177"/>
        <v/>
      </c>
      <c r="JU127" s="109" t="str">
        <f t="shared" si="178"/>
        <v/>
      </c>
      <c r="JV127" s="109" t="str">
        <f t="shared" si="94"/>
        <v/>
      </c>
      <c r="JW127" s="110" t="str">
        <f t="shared" si="179"/>
        <v/>
      </c>
      <c r="JX127" s="51"/>
      <c r="JY127" s="108" t="str">
        <f t="shared" si="95"/>
        <v/>
      </c>
      <c r="JZ127" s="109" t="str">
        <f t="shared" si="180"/>
        <v/>
      </c>
      <c r="KA127" s="109" t="str">
        <f t="shared" si="96"/>
        <v/>
      </c>
      <c r="KB127" s="110" t="str">
        <f t="shared" si="200"/>
        <v/>
      </c>
      <c r="KC127" s="51"/>
      <c r="KD127" s="108" t="str">
        <f t="shared" si="181"/>
        <v/>
      </c>
      <c r="KE127" s="109" t="str">
        <f t="shared" si="182"/>
        <v/>
      </c>
      <c r="KF127" s="109" t="str">
        <f t="shared" si="97"/>
        <v/>
      </c>
      <c r="KG127" s="110" t="str">
        <f t="shared" si="98"/>
        <v/>
      </c>
    </row>
    <row r="128" spans="1:293" ht="12" customHeight="1">
      <c r="A128" s="105">
        <f t="array" ref="A128">MAX(IF($J$80:J127&gt;0,$C$80:C127,0))</f>
        <v>43535</v>
      </c>
      <c r="B128" s="81" t="str">
        <f t="shared" si="4"/>
        <v/>
      </c>
      <c r="C128" s="82">
        <f t="shared" si="5"/>
        <v>0</v>
      </c>
      <c r="D128" s="83" t="str">
        <f t="shared" si="6"/>
        <v/>
      </c>
      <c r="E128" s="83" t="str">
        <f t="shared" si="99"/>
        <v/>
      </c>
      <c r="F128" s="83" t="str">
        <f t="shared" si="7"/>
        <v/>
      </c>
      <c r="G128" s="83" t="str">
        <f t="shared" si="8"/>
        <v/>
      </c>
      <c r="H128" s="83" t="str">
        <f t="shared" si="9"/>
        <v/>
      </c>
      <c r="I128" s="105">
        <f t="array" ref="I128">MAX(IF($R$80:R127&gt;0,$L$80:L127,0))</f>
        <v>0</v>
      </c>
      <c r="J128" s="106"/>
      <c r="K128" s="2" t="str">
        <f t="shared" si="10"/>
        <v/>
      </c>
      <c r="L128" s="82">
        <f t="shared" si="183"/>
        <v>0</v>
      </c>
      <c r="M128" s="83" t="str">
        <f t="shared" si="11"/>
        <v/>
      </c>
      <c r="N128" s="83" t="str">
        <f t="shared" si="12"/>
        <v/>
      </c>
      <c r="O128" s="83" t="str">
        <f t="shared" si="13"/>
        <v/>
      </c>
      <c r="P128" s="83" t="str">
        <f t="shared" si="14"/>
        <v/>
      </c>
      <c r="Q128" s="83" t="str">
        <f t="shared" si="15"/>
        <v/>
      </c>
      <c r="R128" s="106"/>
      <c r="S128" s="1"/>
      <c r="U128" s="85" t="e">
        <f t="shared" si="0"/>
        <v>#NUM!</v>
      </c>
      <c r="V128" s="86" t="e">
        <f t="shared" si="100"/>
        <v>#NUM!</v>
      </c>
      <c r="W128" s="87" t="e">
        <f t="shared" si="16"/>
        <v>#NUM!</v>
      </c>
      <c r="X128" s="87" t="e">
        <f t="shared" si="17"/>
        <v>#NUM!</v>
      </c>
      <c r="Y128" s="87" t="e">
        <f t="shared" si="18"/>
        <v>#NUM!</v>
      </c>
      <c r="Z128" s="88" t="e">
        <f t="shared" si="1"/>
        <v>#NUM!</v>
      </c>
      <c r="AA128" t="s">
        <v>282</v>
      </c>
      <c r="AB128" s="89">
        <f t="shared" si="101"/>
        <v>0</v>
      </c>
      <c r="AC128" s="87">
        <f t="shared" si="19"/>
        <v>0</v>
      </c>
      <c r="AD128" s="87" t="str">
        <f t="shared" si="20"/>
        <v/>
      </c>
      <c r="AE128" s="87" t="str">
        <f t="shared" si="21"/>
        <v/>
      </c>
      <c r="AF128" s="86">
        <f t="shared" si="102"/>
        <v>0</v>
      </c>
      <c r="AG128" s="87">
        <f t="shared" si="2"/>
        <v>0</v>
      </c>
      <c r="AH128" s="87">
        <f t="shared" si="103"/>
        <v>0</v>
      </c>
      <c r="AI128" s="90"/>
      <c r="AJ128" s="87" t="e">
        <f t="shared" si="22"/>
        <v>#NUM!</v>
      </c>
      <c r="AK128" s="87" t="e">
        <f t="shared" si="104"/>
        <v>#NUM!</v>
      </c>
      <c r="AL128" s="87" t="e">
        <f t="shared" si="105"/>
        <v>#NUM!</v>
      </c>
      <c r="AM128" s="87" t="e">
        <f t="shared" si="106"/>
        <v>#NUM!</v>
      </c>
      <c r="AN128" s="86">
        <f t="shared" si="23"/>
        <v>0</v>
      </c>
      <c r="AO128" s="87">
        <f t="shared" si="24"/>
        <v>0</v>
      </c>
      <c r="AP128" s="88">
        <f t="shared" si="25"/>
        <v>0</v>
      </c>
      <c r="AR128" s="91">
        <f t="shared" si="26"/>
        <v>0</v>
      </c>
      <c r="AS128" s="92">
        <f t="shared" si="27"/>
        <v>0</v>
      </c>
      <c r="AT128" s="87" t="str">
        <f t="shared" si="28"/>
        <v/>
      </c>
      <c r="AU128" s="87" t="str">
        <f t="shared" si="29"/>
        <v/>
      </c>
      <c r="AV128" s="86">
        <f t="shared" si="107"/>
        <v>0</v>
      </c>
      <c r="AW128" s="87">
        <f t="shared" si="108"/>
        <v>0</v>
      </c>
      <c r="AX128" s="87">
        <f t="shared" si="109"/>
        <v>0</v>
      </c>
      <c r="AY128" s="93"/>
      <c r="AZ128" s="87">
        <f t="shared" si="201"/>
        <v>0</v>
      </c>
      <c r="BA128" s="87">
        <f t="shared" si="110"/>
        <v>0</v>
      </c>
      <c r="BB128" s="87">
        <f t="shared" si="111"/>
        <v>0</v>
      </c>
      <c r="BC128" s="87">
        <f t="shared" si="184"/>
        <v>0</v>
      </c>
      <c r="BD128" s="86" t="e">
        <f t="shared" si="30"/>
        <v>#NUM!</v>
      </c>
      <c r="BE128" s="87" t="e">
        <f t="shared" si="3"/>
        <v>#NUM!</v>
      </c>
      <c r="BF128" s="88">
        <f t="shared" si="112"/>
        <v>0</v>
      </c>
      <c r="BH128" s="87" t="e">
        <f t="shared" si="31"/>
        <v>#NUM!</v>
      </c>
      <c r="BK128" s="95">
        <v>40605</v>
      </c>
      <c r="BL128" s="96">
        <v>49</v>
      </c>
      <c r="BT128" s="100" t="s">
        <v>183</v>
      </c>
      <c r="BV128" s="41">
        <v>0</v>
      </c>
      <c r="BW128" s="30" t="s">
        <v>497</v>
      </c>
      <c r="BX128" s="30" t="s">
        <v>497</v>
      </c>
      <c r="BY128" s="30" t="s">
        <v>497</v>
      </c>
      <c r="BZ128" s="30" t="s">
        <v>497</v>
      </c>
      <c r="CA128" s="30" t="s">
        <v>497</v>
      </c>
      <c r="CB128" s="30" t="s">
        <v>497</v>
      </c>
      <c r="CC128" s="30" t="s">
        <v>497</v>
      </c>
      <c r="CD128" s="30" t="s">
        <v>497</v>
      </c>
      <c r="CE128" s="30" t="s">
        <v>497</v>
      </c>
      <c r="CF128" s="41">
        <v>0</v>
      </c>
      <c r="CG128" s="41">
        <v>0</v>
      </c>
      <c r="CY128" s="108" t="str">
        <f t="shared" si="32"/>
        <v/>
      </c>
      <c r="CZ128" s="109" t="str">
        <f t="shared" si="33"/>
        <v/>
      </c>
      <c r="DA128" s="109" t="str">
        <f t="shared" si="34"/>
        <v/>
      </c>
      <c r="DB128" s="110" t="str">
        <f t="shared" si="225"/>
        <v/>
      </c>
      <c r="DD128" s="108" t="str">
        <f t="shared" si="36"/>
        <v/>
      </c>
      <c r="DE128" s="109" t="str">
        <f t="shared" si="114"/>
        <v/>
      </c>
      <c r="DF128" s="109" t="str">
        <f t="shared" si="37"/>
        <v/>
      </c>
      <c r="DG128" s="110" t="str">
        <f t="shared" si="226"/>
        <v/>
      </c>
      <c r="DI128" s="108" t="str">
        <f t="shared" si="115"/>
        <v/>
      </c>
      <c r="DJ128" s="109" t="str">
        <f t="shared" si="116"/>
        <v/>
      </c>
      <c r="DK128" s="109" t="str">
        <f t="shared" si="39"/>
        <v/>
      </c>
      <c r="DL128" s="110" t="str">
        <f t="shared" si="227"/>
        <v/>
      </c>
      <c r="DN128" s="108" t="str">
        <f t="shared" si="41"/>
        <v/>
      </c>
      <c r="DO128" s="109" t="str">
        <f t="shared" si="42"/>
        <v/>
      </c>
      <c r="DP128" s="109" t="str">
        <f t="shared" si="43"/>
        <v/>
      </c>
      <c r="DQ128" s="110" t="str">
        <f t="shared" si="228"/>
        <v/>
      </c>
      <c r="DS128" s="108" t="str">
        <f t="shared" si="117"/>
        <v/>
      </c>
      <c r="DT128" s="109" t="str">
        <f t="shared" si="118"/>
        <v/>
      </c>
      <c r="DU128" s="109" t="str">
        <f t="shared" si="45"/>
        <v/>
      </c>
      <c r="DV128" s="110" t="str">
        <f t="shared" si="229"/>
        <v/>
      </c>
      <c r="DX128" s="108" t="str">
        <f t="shared" si="46"/>
        <v/>
      </c>
      <c r="DY128" s="109" t="str">
        <f t="shared" si="119"/>
        <v/>
      </c>
      <c r="DZ128" s="109" t="str">
        <f t="shared" si="47"/>
        <v/>
      </c>
      <c r="EA128" s="110" t="str">
        <f t="shared" si="230"/>
        <v/>
      </c>
      <c r="EC128" s="108" t="str">
        <f t="shared" si="121"/>
        <v/>
      </c>
      <c r="ED128" s="109" t="str">
        <f t="shared" si="122"/>
        <v/>
      </c>
      <c r="EE128" s="109" t="str">
        <f t="shared" si="48"/>
        <v/>
      </c>
      <c r="EF128" s="110" t="str">
        <f t="shared" si="231"/>
        <v/>
      </c>
      <c r="EH128" s="108" t="str">
        <f t="shared" si="49"/>
        <v/>
      </c>
      <c r="EI128" s="109" t="str">
        <f t="shared" si="123"/>
        <v/>
      </c>
      <c r="EJ128" s="109" t="str">
        <f t="shared" si="50"/>
        <v/>
      </c>
      <c r="EK128" s="110" t="str">
        <f t="shared" si="232"/>
        <v/>
      </c>
      <c r="EM128" s="108" t="str">
        <f t="shared" si="125"/>
        <v/>
      </c>
      <c r="EN128" s="109" t="str">
        <f t="shared" si="126"/>
        <v/>
      </c>
      <c r="EO128" s="109" t="str">
        <f t="shared" si="51"/>
        <v/>
      </c>
      <c r="EP128" s="110" t="str">
        <f t="shared" si="233"/>
        <v/>
      </c>
      <c r="ER128" s="108" t="str">
        <f t="shared" si="52"/>
        <v/>
      </c>
      <c r="ES128" s="109" t="str">
        <f t="shared" si="127"/>
        <v/>
      </c>
      <c r="ET128" s="109" t="str">
        <f t="shared" si="53"/>
        <v/>
      </c>
      <c r="EU128" s="110" t="str">
        <f t="shared" si="234"/>
        <v/>
      </c>
      <c r="EW128" s="108" t="str">
        <f t="shared" si="129"/>
        <v/>
      </c>
      <c r="EX128" s="109" t="str">
        <f t="shared" si="130"/>
        <v/>
      </c>
      <c r="EY128" s="109" t="str">
        <f t="shared" si="54"/>
        <v/>
      </c>
      <c r="EZ128" s="110" t="str">
        <f t="shared" si="235"/>
        <v/>
      </c>
      <c r="FB128" s="108" t="str">
        <f t="shared" si="55"/>
        <v/>
      </c>
      <c r="FC128" s="109" t="str">
        <f t="shared" si="131"/>
        <v/>
      </c>
      <c r="FD128" s="109" t="str">
        <f t="shared" si="56"/>
        <v/>
      </c>
      <c r="FE128" s="110" t="str">
        <f t="shared" si="236"/>
        <v/>
      </c>
      <c r="FG128" s="108" t="str">
        <f t="shared" si="133"/>
        <v/>
      </c>
      <c r="FH128" s="109" t="str">
        <f t="shared" si="134"/>
        <v/>
      </c>
      <c r="FI128" s="109" t="str">
        <f t="shared" si="57"/>
        <v/>
      </c>
      <c r="FJ128" s="110" t="str">
        <f t="shared" si="237"/>
        <v/>
      </c>
      <c r="FL128" s="108" t="str">
        <f t="shared" si="58"/>
        <v/>
      </c>
      <c r="FM128" s="109" t="str">
        <f t="shared" si="135"/>
        <v/>
      </c>
      <c r="FN128" s="109" t="str">
        <f t="shared" si="59"/>
        <v/>
      </c>
      <c r="FO128" s="110" t="str">
        <f t="shared" si="238"/>
        <v/>
      </c>
      <c r="FQ128" s="108" t="str">
        <f t="shared" si="137"/>
        <v/>
      </c>
      <c r="FR128" s="109" t="str">
        <f t="shared" si="138"/>
        <v/>
      </c>
      <c r="FS128" s="109" t="str">
        <f t="shared" si="60"/>
        <v/>
      </c>
      <c r="FT128" s="110" t="str">
        <f t="shared" si="239"/>
        <v/>
      </c>
      <c r="FV128" s="108" t="str">
        <f t="shared" si="61"/>
        <v/>
      </c>
      <c r="FW128" s="109" t="str">
        <f t="shared" si="139"/>
        <v/>
      </c>
      <c r="FX128" s="109" t="str">
        <f t="shared" si="62"/>
        <v/>
      </c>
      <c r="FY128" s="110" t="str">
        <f t="shared" si="240"/>
        <v/>
      </c>
      <c r="GA128" s="108" t="str">
        <f t="shared" si="141"/>
        <v/>
      </c>
      <c r="GB128" s="109" t="str">
        <f t="shared" si="142"/>
        <v/>
      </c>
      <c r="GC128" s="109" t="str">
        <f t="shared" si="63"/>
        <v/>
      </c>
      <c r="GD128" s="110" t="str">
        <f t="shared" si="241"/>
        <v/>
      </c>
      <c r="GF128" s="108" t="str">
        <f t="shared" si="64"/>
        <v/>
      </c>
      <c r="GG128" s="109" t="str">
        <f t="shared" si="143"/>
        <v/>
      </c>
      <c r="GH128" s="109" t="str">
        <f t="shared" si="65"/>
        <v/>
      </c>
      <c r="GI128" s="110" t="str">
        <f t="shared" si="242"/>
        <v/>
      </c>
      <c r="GK128" s="108" t="str">
        <f t="shared" si="145"/>
        <v/>
      </c>
      <c r="GL128" s="109" t="str">
        <f t="shared" si="146"/>
        <v/>
      </c>
      <c r="GM128" s="109" t="str">
        <f t="shared" si="147"/>
        <v/>
      </c>
      <c r="GN128" s="110" t="str">
        <f t="shared" si="243"/>
        <v/>
      </c>
      <c r="GR128" s="108" t="str">
        <f t="shared" si="66"/>
        <v/>
      </c>
      <c r="GS128" s="109" t="str">
        <f t="shared" si="67"/>
        <v/>
      </c>
      <c r="GT128" s="109" t="str">
        <f t="shared" si="68"/>
        <v/>
      </c>
      <c r="GU128" s="110" t="str">
        <f t="shared" si="69"/>
        <v/>
      </c>
      <c r="GV128" s="51"/>
      <c r="GW128" s="108" t="str">
        <f t="shared" si="70"/>
        <v/>
      </c>
      <c r="GX128" s="109" t="str">
        <f t="shared" si="148"/>
        <v/>
      </c>
      <c r="GY128" s="109" t="str">
        <f t="shared" si="71"/>
        <v/>
      </c>
      <c r="GZ128" s="110" t="str">
        <f t="shared" si="72"/>
        <v/>
      </c>
      <c r="HA128" s="51"/>
      <c r="HB128" s="108" t="str">
        <f t="shared" si="149"/>
        <v/>
      </c>
      <c r="HC128" s="109" t="str">
        <f t="shared" si="150"/>
        <v/>
      </c>
      <c r="HD128" s="109" t="str">
        <f t="shared" si="73"/>
        <v/>
      </c>
      <c r="HE128" s="110" t="str">
        <f t="shared" si="151"/>
        <v/>
      </c>
      <c r="HF128" s="51"/>
      <c r="HG128" s="108" t="str">
        <f t="shared" si="74"/>
        <v/>
      </c>
      <c r="HH128" s="109" t="str">
        <f t="shared" si="152"/>
        <v/>
      </c>
      <c r="HI128" s="109" t="str">
        <f t="shared" si="75"/>
        <v/>
      </c>
      <c r="HJ128" s="110" t="str">
        <f t="shared" si="193"/>
        <v/>
      </c>
      <c r="HK128" s="51"/>
      <c r="HL128" s="108" t="str">
        <f t="shared" si="153"/>
        <v/>
      </c>
      <c r="HM128" s="109" t="str">
        <f t="shared" si="154"/>
        <v/>
      </c>
      <c r="HN128" s="109" t="str">
        <f t="shared" si="76"/>
        <v/>
      </c>
      <c r="HO128" s="110" t="str">
        <f t="shared" si="155"/>
        <v/>
      </c>
      <c r="HP128" s="51"/>
      <c r="HQ128" s="108" t="str">
        <f t="shared" si="77"/>
        <v/>
      </c>
      <c r="HR128" s="109" t="str">
        <f t="shared" si="156"/>
        <v/>
      </c>
      <c r="HS128" s="109" t="str">
        <f t="shared" si="78"/>
        <v/>
      </c>
      <c r="HT128" s="110" t="str">
        <f t="shared" si="194"/>
        <v/>
      </c>
      <c r="HU128" s="51"/>
      <c r="HV128" s="108" t="str">
        <f t="shared" si="157"/>
        <v/>
      </c>
      <c r="HW128" s="109" t="str">
        <f t="shared" si="158"/>
        <v/>
      </c>
      <c r="HX128" s="109" t="str">
        <f t="shared" si="79"/>
        <v/>
      </c>
      <c r="HY128" s="110" t="str">
        <f t="shared" si="159"/>
        <v/>
      </c>
      <c r="HZ128" s="51"/>
      <c r="IA128" s="108" t="str">
        <f t="shared" si="80"/>
        <v/>
      </c>
      <c r="IB128" s="109" t="str">
        <f t="shared" si="160"/>
        <v/>
      </c>
      <c r="IC128" s="109" t="str">
        <f t="shared" si="81"/>
        <v/>
      </c>
      <c r="ID128" s="110" t="str">
        <f t="shared" si="195"/>
        <v/>
      </c>
      <c r="IE128" s="51"/>
      <c r="IF128" s="108" t="str">
        <f t="shared" si="161"/>
        <v/>
      </c>
      <c r="IG128" s="109" t="str">
        <f t="shared" si="162"/>
        <v/>
      </c>
      <c r="IH128" s="109" t="str">
        <f t="shared" si="82"/>
        <v/>
      </c>
      <c r="II128" s="110" t="str">
        <f t="shared" si="163"/>
        <v/>
      </c>
      <c r="IJ128" s="51"/>
      <c r="IK128" s="108" t="str">
        <f t="shared" si="83"/>
        <v/>
      </c>
      <c r="IL128" s="109" t="str">
        <f t="shared" si="164"/>
        <v/>
      </c>
      <c r="IM128" s="109" t="str">
        <f t="shared" si="84"/>
        <v/>
      </c>
      <c r="IN128" s="110" t="str">
        <f t="shared" si="196"/>
        <v/>
      </c>
      <c r="IO128" s="51"/>
      <c r="IP128" s="108" t="str">
        <f t="shared" si="165"/>
        <v/>
      </c>
      <c r="IQ128" s="109" t="str">
        <f t="shared" si="166"/>
        <v/>
      </c>
      <c r="IR128" s="109" t="str">
        <f t="shared" si="85"/>
        <v/>
      </c>
      <c r="IS128" s="110" t="str">
        <f t="shared" si="167"/>
        <v/>
      </c>
      <c r="IT128" s="51"/>
      <c r="IU128" s="108" t="str">
        <f t="shared" si="86"/>
        <v/>
      </c>
      <c r="IV128" s="109" t="str">
        <f t="shared" si="168"/>
        <v/>
      </c>
      <c r="IW128" s="109" t="str">
        <f t="shared" si="87"/>
        <v/>
      </c>
      <c r="IX128" s="110" t="str">
        <f t="shared" si="197"/>
        <v/>
      </c>
      <c r="IY128" s="51"/>
      <c r="IZ128" s="108" t="str">
        <f t="shared" si="169"/>
        <v/>
      </c>
      <c r="JA128" s="109" t="str">
        <f t="shared" si="170"/>
        <v/>
      </c>
      <c r="JB128" s="109" t="str">
        <f t="shared" si="88"/>
        <v/>
      </c>
      <c r="JC128" s="110" t="str">
        <f t="shared" si="171"/>
        <v/>
      </c>
      <c r="JD128" s="51"/>
      <c r="JE128" s="108" t="str">
        <f t="shared" si="89"/>
        <v/>
      </c>
      <c r="JF128" s="109" t="str">
        <f t="shared" si="172"/>
        <v/>
      </c>
      <c r="JG128" s="109" t="str">
        <f t="shared" si="90"/>
        <v/>
      </c>
      <c r="JH128" s="110" t="str">
        <f t="shared" si="198"/>
        <v/>
      </c>
      <c r="JI128" s="51"/>
      <c r="JJ128" s="108" t="str">
        <f t="shared" si="173"/>
        <v/>
      </c>
      <c r="JK128" s="109" t="str">
        <f t="shared" si="174"/>
        <v/>
      </c>
      <c r="JL128" s="109" t="str">
        <f t="shared" si="91"/>
        <v/>
      </c>
      <c r="JM128" s="110" t="str">
        <f t="shared" si="175"/>
        <v/>
      </c>
      <c r="JN128" s="51"/>
      <c r="JO128" s="108" t="str">
        <f t="shared" si="92"/>
        <v/>
      </c>
      <c r="JP128" s="109" t="str">
        <f t="shared" si="176"/>
        <v/>
      </c>
      <c r="JQ128" s="109" t="str">
        <f t="shared" si="93"/>
        <v/>
      </c>
      <c r="JR128" s="110" t="str">
        <f t="shared" si="199"/>
        <v/>
      </c>
      <c r="JS128" s="51"/>
      <c r="JT128" s="108" t="str">
        <f t="shared" si="177"/>
        <v/>
      </c>
      <c r="JU128" s="109" t="str">
        <f t="shared" si="178"/>
        <v/>
      </c>
      <c r="JV128" s="109" t="str">
        <f t="shared" si="94"/>
        <v/>
      </c>
      <c r="JW128" s="110" t="str">
        <f t="shared" si="179"/>
        <v/>
      </c>
      <c r="JX128" s="51"/>
      <c r="JY128" s="108" t="str">
        <f t="shared" si="95"/>
        <v/>
      </c>
      <c r="JZ128" s="109" t="str">
        <f t="shared" si="180"/>
        <v/>
      </c>
      <c r="KA128" s="109" t="str">
        <f t="shared" si="96"/>
        <v/>
      </c>
      <c r="KB128" s="110" t="str">
        <f t="shared" si="200"/>
        <v/>
      </c>
      <c r="KC128" s="51"/>
      <c r="KD128" s="108" t="str">
        <f t="shared" si="181"/>
        <v/>
      </c>
      <c r="KE128" s="109" t="str">
        <f t="shared" si="182"/>
        <v/>
      </c>
      <c r="KF128" s="109" t="str">
        <f t="shared" si="97"/>
        <v/>
      </c>
      <c r="KG128" s="110" t="str">
        <f t="shared" si="98"/>
        <v/>
      </c>
    </row>
    <row r="129" spans="1:293" ht="12" customHeight="1">
      <c r="A129" s="105">
        <f t="array" ref="A129">MAX(IF($J$80:J128&gt;0,$C$80:C128,0))</f>
        <v>43535</v>
      </c>
      <c r="B129" s="81" t="str">
        <f t="shared" si="4"/>
        <v/>
      </c>
      <c r="C129" s="82">
        <f t="shared" si="5"/>
        <v>0</v>
      </c>
      <c r="D129" s="83" t="str">
        <f t="shared" si="6"/>
        <v/>
      </c>
      <c r="E129" s="83" t="str">
        <f t="shared" si="99"/>
        <v/>
      </c>
      <c r="F129" s="83" t="str">
        <f t="shared" si="7"/>
        <v/>
      </c>
      <c r="G129" s="83" t="str">
        <f t="shared" si="8"/>
        <v/>
      </c>
      <c r="H129" s="83" t="str">
        <f t="shared" si="9"/>
        <v/>
      </c>
      <c r="I129" s="105">
        <f t="array" ref="I129">MAX(IF($R$80:R128&gt;0,$L$80:L128,0))</f>
        <v>0</v>
      </c>
      <c r="J129" s="106"/>
      <c r="K129" s="2" t="str">
        <f t="shared" si="10"/>
        <v/>
      </c>
      <c r="L129" s="82">
        <f t="shared" si="183"/>
        <v>0</v>
      </c>
      <c r="M129" s="83" t="str">
        <f t="shared" si="11"/>
        <v/>
      </c>
      <c r="N129" s="83" t="str">
        <f t="shared" si="12"/>
        <v/>
      </c>
      <c r="O129" s="83" t="str">
        <f t="shared" si="13"/>
        <v/>
      </c>
      <c r="P129" s="83" t="str">
        <f t="shared" si="14"/>
        <v/>
      </c>
      <c r="Q129" s="83" t="str">
        <f t="shared" si="15"/>
        <v/>
      </c>
      <c r="R129" s="106"/>
      <c r="S129" s="1"/>
      <c r="U129" s="85" t="e">
        <f t="shared" si="0"/>
        <v>#NUM!</v>
      </c>
      <c r="V129" s="86" t="e">
        <f t="shared" si="100"/>
        <v>#NUM!</v>
      </c>
      <c r="W129" s="87" t="e">
        <f t="shared" si="16"/>
        <v>#NUM!</v>
      </c>
      <c r="X129" s="87" t="e">
        <f t="shared" si="17"/>
        <v>#NUM!</v>
      </c>
      <c r="Y129" s="87" t="e">
        <f t="shared" si="18"/>
        <v>#NUM!</v>
      </c>
      <c r="Z129" s="88" t="e">
        <f t="shared" si="1"/>
        <v>#NUM!</v>
      </c>
      <c r="AA129" t="s">
        <v>282</v>
      </c>
      <c r="AB129" s="89">
        <f t="shared" si="101"/>
        <v>0</v>
      </c>
      <c r="AC129" s="87">
        <f t="shared" si="19"/>
        <v>0</v>
      </c>
      <c r="AD129" s="87" t="str">
        <f t="shared" si="20"/>
        <v/>
      </c>
      <c r="AE129" s="87" t="str">
        <f t="shared" si="21"/>
        <v/>
      </c>
      <c r="AF129" s="86">
        <f t="shared" si="102"/>
        <v>0</v>
      </c>
      <c r="AG129" s="87">
        <f t="shared" si="2"/>
        <v>0</v>
      </c>
      <c r="AH129" s="87">
        <f t="shared" si="103"/>
        <v>0</v>
      </c>
      <c r="AI129" s="90"/>
      <c r="AJ129" s="87" t="e">
        <f t="shared" si="22"/>
        <v>#NUM!</v>
      </c>
      <c r="AK129" s="87" t="e">
        <f t="shared" si="104"/>
        <v>#NUM!</v>
      </c>
      <c r="AL129" s="87" t="e">
        <f t="shared" si="105"/>
        <v>#NUM!</v>
      </c>
      <c r="AM129" s="87" t="e">
        <f t="shared" si="106"/>
        <v>#NUM!</v>
      </c>
      <c r="AN129" s="86">
        <f t="shared" si="23"/>
        <v>0</v>
      </c>
      <c r="AO129" s="87">
        <f t="shared" si="24"/>
        <v>0</v>
      </c>
      <c r="AP129" s="88">
        <f t="shared" si="25"/>
        <v>0</v>
      </c>
      <c r="AR129" s="91">
        <f t="shared" si="26"/>
        <v>0</v>
      </c>
      <c r="AS129" s="92">
        <f t="shared" si="27"/>
        <v>0</v>
      </c>
      <c r="AT129" s="87" t="str">
        <f t="shared" si="28"/>
        <v/>
      </c>
      <c r="AU129" s="87" t="str">
        <f t="shared" si="29"/>
        <v/>
      </c>
      <c r="AV129" s="86">
        <f t="shared" si="107"/>
        <v>0</v>
      </c>
      <c r="AW129" s="87">
        <f t="shared" si="108"/>
        <v>0</v>
      </c>
      <c r="AX129" s="87">
        <f t="shared" si="109"/>
        <v>0</v>
      </c>
      <c r="AY129" s="93"/>
      <c r="AZ129" s="87">
        <f t="shared" si="201"/>
        <v>0</v>
      </c>
      <c r="BA129" s="87">
        <f t="shared" si="110"/>
        <v>0</v>
      </c>
      <c r="BB129" s="87">
        <f t="shared" si="111"/>
        <v>0</v>
      </c>
      <c r="BC129" s="87">
        <f t="shared" si="184"/>
        <v>0</v>
      </c>
      <c r="BD129" s="86" t="e">
        <f t="shared" si="30"/>
        <v>#NUM!</v>
      </c>
      <c r="BE129" s="87" t="e">
        <f t="shared" si="3"/>
        <v>#NUM!</v>
      </c>
      <c r="BF129" s="88">
        <f t="shared" si="112"/>
        <v>0</v>
      </c>
      <c r="BH129" s="87" t="e">
        <f t="shared" si="31"/>
        <v>#NUM!</v>
      </c>
      <c r="BK129" s="95">
        <v>40610</v>
      </c>
      <c r="BL129" s="96">
        <v>50</v>
      </c>
      <c r="CY129" s="108" t="str">
        <f t="shared" si="32"/>
        <v/>
      </c>
      <c r="CZ129" s="109" t="str">
        <f t="shared" si="33"/>
        <v/>
      </c>
      <c r="DA129" s="109" t="str">
        <f t="shared" si="34"/>
        <v/>
      </c>
      <c r="DB129" s="110" t="str">
        <f t="shared" si="225"/>
        <v/>
      </c>
      <c r="DD129" s="108" t="str">
        <f t="shared" si="36"/>
        <v/>
      </c>
      <c r="DE129" s="109" t="str">
        <f t="shared" si="114"/>
        <v/>
      </c>
      <c r="DF129" s="109" t="str">
        <f t="shared" si="37"/>
        <v/>
      </c>
      <c r="DG129" s="110" t="str">
        <f t="shared" si="226"/>
        <v/>
      </c>
      <c r="DI129" s="108" t="str">
        <f t="shared" si="115"/>
        <v/>
      </c>
      <c r="DJ129" s="109" t="str">
        <f t="shared" si="116"/>
        <v/>
      </c>
      <c r="DK129" s="109" t="str">
        <f t="shared" si="39"/>
        <v/>
      </c>
      <c r="DL129" s="110" t="str">
        <f t="shared" si="227"/>
        <v/>
      </c>
      <c r="DN129" s="108" t="str">
        <f t="shared" si="41"/>
        <v/>
      </c>
      <c r="DO129" s="109" t="str">
        <f t="shared" si="42"/>
        <v/>
      </c>
      <c r="DP129" s="109" t="str">
        <f t="shared" si="43"/>
        <v/>
      </c>
      <c r="DQ129" s="110" t="str">
        <f t="shared" si="228"/>
        <v/>
      </c>
      <c r="DS129" s="108" t="str">
        <f t="shared" si="117"/>
        <v/>
      </c>
      <c r="DT129" s="109" t="str">
        <f t="shared" si="118"/>
        <v/>
      </c>
      <c r="DU129" s="109" t="str">
        <f t="shared" si="45"/>
        <v/>
      </c>
      <c r="DV129" s="110" t="str">
        <f t="shared" si="229"/>
        <v/>
      </c>
      <c r="DX129" s="108" t="str">
        <f t="shared" si="46"/>
        <v/>
      </c>
      <c r="DY129" s="109" t="str">
        <f t="shared" si="119"/>
        <v/>
      </c>
      <c r="DZ129" s="109" t="str">
        <f t="shared" si="47"/>
        <v/>
      </c>
      <c r="EA129" s="110" t="str">
        <f t="shared" si="230"/>
        <v/>
      </c>
      <c r="EC129" s="108" t="str">
        <f t="shared" si="121"/>
        <v/>
      </c>
      <c r="ED129" s="109" t="str">
        <f t="shared" si="122"/>
        <v/>
      </c>
      <c r="EE129" s="109" t="str">
        <f t="shared" si="48"/>
        <v/>
      </c>
      <c r="EF129" s="110" t="str">
        <f t="shared" si="231"/>
        <v/>
      </c>
      <c r="EH129" s="108" t="str">
        <f t="shared" si="49"/>
        <v/>
      </c>
      <c r="EI129" s="109" t="str">
        <f t="shared" si="123"/>
        <v/>
      </c>
      <c r="EJ129" s="109" t="str">
        <f t="shared" si="50"/>
        <v/>
      </c>
      <c r="EK129" s="110" t="str">
        <f t="shared" si="232"/>
        <v/>
      </c>
      <c r="EM129" s="108" t="str">
        <f t="shared" si="125"/>
        <v/>
      </c>
      <c r="EN129" s="109" t="str">
        <f t="shared" si="126"/>
        <v/>
      </c>
      <c r="EO129" s="109" t="str">
        <f t="shared" si="51"/>
        <v/>
      </c>
      <c r="EP129" s="110" t="str">
        <f t="shared" si="233"/>
        <v/>
      </c>
      <c r="ER129" s="108" t="str">
        <f t="shared" si="52"/>
        <v/>
      </c>
      <c r="ES129" s="109" t="str">
        <f t="shared" si="127"/>
        <v/>
      </c>
      <c r="ET129" s="109" t="str">
        <f t="shared" si="53"/>
        <v/>
      </c>
      <c r="EU129" s="110" t="str">
        <f t="shared" si="234"/>
        <v/>
      </c>
      <c r="EW129" s="108" t="str">
        <f t="shared" si="129"/>
        <v/>
      </c>
      <c r="EX129" s="109" t="str">
        <f t="shared" si="130"/>
        <v/>
      </c>
      <c r="EY129" s="109" t="str">
        <f t="shared" si="54"/>
        <v/>
      </c>
      <c r="EZ129" s="110" t="str">
        <f t="shared" si="235"/>
        <v/>
      </c>
      <c r="FB129" s="108" t="str">
        <f t="shared" si="55"/>
        <v/>
      </c>
      <c r="FC129" s="109" t="str">
        <f t="shared" si="131"/>
        <v/>
      </c>
      <c r="FD129" s="109" t="str">
        <f t="shared" si="56"/>
        <v/>
      </c>
      <c r="FE129" s="110" t="str">
        <f t="shared" si="236"/>
        <v/>
      </c>
      <c r="FG129" s="108" t="str">
        <f t="shared" si="133"/>
        <v/>
      </c>
      <c r="FH129" s="109" t="str">
        <f t="shared" si="134"/>
        <v/>
      </c>
      <c r="FI129" s="109" t="str">
        <f t="shared" si="57"/>
        <v/>
      </c>
      <c r="FJ129" s="110" t="str">
        <f t="shared" si="237"/>
        <v/>
      </c>
      <c r="FL129" s="108" t="str">
        <f t="shared" si="58"/>
        <v/>
      </c>
      <c r="FM129" s="109" t="str">
        <f t="shared" si="135"/>
        <v/>
      </c>
      <c r="FN129" s="109" t="str">
        <f t="shared" si="59"/>
        <v/>
      </c>
      <c r="FO129" s="110" t="str">
        <f t="shared" si="238"/>
        <v/>
      </c>
      <c r="FQ129" s="108" t="str">
        <f t="shared" si="137"/>
        <v/>
      </c>
      <c r="FR129" s="109" t="str">
        <f t="shared" si="138"/>
        <v/>
      </c>
      <c r="FS129" s="109" t="str">
        <f t="shared" si="60"/>
        <v/>
      </c>
      <c r="FT129" s="110" t="str">
        <f t="shared" si="239"/>
        <v/>
      </c>
      <c r="FV129" s="108" t="str">
        <f t="shared" si="61"/>
        <v/>
      </c>
      <c r="FW129" s="109" t="str">
        <f t="shared" si="139"/>
        <v/>
      </c>
      <c r="FX129" s="109" t="str">
        <f t="shared" si="62"/>
        <v/>
      </c>
      <c r="FY129" s="110" t="str">
        <f t="shared" si="240"/>
        <v/>
      </c>
      <c r="GA129" s="108" t="str">
        <f t="shared" si="141"/>
        <v/>
      </c>
      <c r="GB129" s="109" t="str">
        <f t="shared" si="142"/>
        <v/>
      </c>
      <c r="GC129" s="109" t="str">
        <f t="shared" si="63"/>
        <v/>
      </c>
      <c r="GD129" s="110" t="str">
        <f t="shared" si="241"/>
        <v/>
      </c>
      <c r="GF129" s="108" t="str">
        <f t="shared" si="64"/>
        <v/>
      </c>
      <c r="GG129" s="109" t="str">
        <f t="shared" si="143"/>
        <v/>
      </c>
      <c r="GH129" s="109" t="str">
        <f t="shared" si="65"/>
        <v/>
      </c>
      <c r="GI129" s="110" t="str">
        <f t="shared" si="242"/>
        <v/>
      </c>
      <c r="GK129" s="108" t="str">
        <f t="shared" si="145"/>
        <v/>
      </c>
      <c r="GL129" s="109" t="str">
        <f t="shared" si="146"/>
        <v/>
      </c>
      <c r="GM129" s="109" t="str">
        <f t="shared" si="147"/>
        <v/>
      </c>
      <c r="GN129" s="110" t="str">
        <f t="shared" si="243"/>
        <v/>
      </c>
      <c r="GR129" s="108" t="str">
        <f t="shared" si="66"/>
        <v/>
      </c>
      <c r="GS129" s="109" t="str">
        <f t="shared" si="67"/>
        <v/>
      </c>
      <c r="GT129" s="109" t="str">
        <f t="shared" si="68"/>
        <v/>
      </c>
      <c r="GU129" s="110" t="str">
        <f t="shared" si="69"/>
        <v/>
      </c>
      <c r="GV129" s="51"/>
      <c r="GW129" s="108" t="str">
        <f t="shared" si="70"/>
        <v/>
      </c>
      <c r="GX129" s="109" t="str">
        <f t="shared" si="148"/>
        <v/>
      </c>
      <c r="GY129" s="109" t="str">
        <f t="shared" si="71"/>
        <v/>
      </c>
      <c r="GZ129" s="110" t="str">
        <f t="shared" si="72"/>
        <v/>
      </c>
      <c r="HA129" s="51"/>
      <c r="HB129" s="108" t="str">
        <f t="shared" si="149"/>
        <v/>
      </c>
      <c r="HC129" s="109" t="str">
        <f t="shared" si="150"/>
        <v/>
      </c>
      <c r="HD129" s="109" t="str">
        <f t="shared" si="73"/>
        <v/>
      </c>
      <c r="HE129" s="110" t="str">
        <f t="shared" si="151"/>
        <v/>
      </c>
      <c r="HF129" s="51"/>
      <c r="HG129" s="108" t="str">
        <f t="shared" si="74"/>
        <v/>
      </c>
      <c r="HH129" s="109" t="str">
        <f t="shared" si="152"/>
        <v/>
      </c>
      <c r="HI129" s="109" t="str">
        <f t="shared" si="75"/>
        <v/>
      </c>
      <c r="HJ129" s="110" t="str">
        <f t="shared" si="193"/>
        <v/>
      </c>
      <c r="HK129" s="51"/>
      <c r="HL129" s="108" t="str">
        <f t="shared" si="153"/>
        <v/>
      </c>
      <c r="HM129" s="109" t="str">
        <f t="shared" si="154"/>
        <v/>
      </c>
      <c r="HN129" s="109" t="str">
        <f t="shared" si="76"/>
        <v/>
      </c>
      <c r="HO129" s="110" t="str">
        <f t="shared" si="155"/>
        <v/>
      </c>
      <c r="HP129" s="51"/>
      <c r="HQ129" s="108" t="str">
        <f t="shared" si="77"/>
        <v/>
      </c>
      <c r="HR129" s="109" t="str">
        <f t="shared" si="156"/>
        <v/>
      </c>
      <c r="HS129" s="109" t="str">
        <f t="shared" si="78"/>
        <v/>
      </c>
      <c r="HT129" s="110" t="str">
        <f t="shared" si="194"/>
        <v/>
      </c>
      <c r="HU129" s="51"/>
      <c r="HV129" s="108" t="str">
        <f t="shared" si="157"/>
        <v/>
      </c>
      <c r="HW129" s="109" t="str">
        <f t="shared" si="158"/>
        <v/>
      </c>
      <c r="HX129" s="109" t="str">
        <f t="shared" si="79"/>
        <v/>
      </c>
      <c r="HY129" s="110" t="str">
        <f t="shared" si="159"/>
        <v/>
      </c>
      <c r="HZ129" s="51"/>
      <c r="IA129" s="108" t="str">
        <f t="shared" si="80"/>
        <v/>
      </c>
      <c r="IB129" s="109" t="str">
        <f t="shared" si="160"/>
        <v/>
      </c>
      <c r="IC129" s="109" t="str">
        <f t="shared" si="81"/>
        <v/>
      </c>
      <c r="ID129" s="110" t="str">
        <f t="shared" si="195"/>
        <v/>
      </c>
      <c r="IE129" s="51"/>
      <c r="IF129" s="108" t="str">
        <f t="shared" si="161"/>
        <v/>
      </c>
      <c r="IG129" s="109" t="str">
        <f t="shared" si="162"/>
        <v/>
      </c>
      <c r="IH129" s="109" t="str">
        <f t="shared" si="82"/>
        <v/>
      </c>
      <c r="II129" s="110" t="str">
        <f t="shared" si="163"/>
        <v/>
      </c>
      <c r="IJ129" s="51"/>
      <c r="IK129" s="108" t="str">
        <f t="shared" si="83"/>
        <v/>
      </c>
      <c r="IL129" s="109" t="str">
        <f t="shared" si="164"/>
        <v/>
      </c>
      <c r="IM129" s="109" t="str">
        <f t="shared" si="84"/>
        <v/>
      </c>
      <c r="IN129" s="110" t="str">
        <f t="shared" si="196"/>
        <v/>
      </c>
      <c r="IO129" s="51"/>
      <c r="IP129" s="108" t="str">
        <f t="shared" si="165"/>
        <v/>
      </c>
      <c r="IQ129" s="109" t="str">
        <f t="shared" si="166"/>
        <v/>
      </c>
      <c r="IR129" s="109" t="str">
        <f t="shared" si="85"/>
        <v/>
      </c>
      <c r="IS129" s="110" t="str">
        <f t="shared" si="167"/>
        <v/>
      </c>
      <c r="IT129" s="51"/>
      <c r="IU129" s="108" t="str">
        <f t="shared" si="86"/>
        <v/>
      </c>
      <c r="IV129" s="109" t="str">
        <f t="shared" si="168"/>
        <v/>
      </c>
      <c r="IW129" s="109" t="str">
        <f t="shared" si="87"/>
        <v/>
      </c>
      <c r="IX129" s="110" t="str">
        <f t="shared" si="197"/>
        <v/>
      </c>
      <c r="IY129" s="51"/>
      <c r="IZ129" s="108" t="str">
        <f t="shared" si="169"/>
        <v/>
      </c>
      <c r="JA129" s="109" t="str">
        <f t="shared" si="170"/>
        <v/>
      </c>
      <c r="JB129" s="109" t="str">
        <f t="shared" si="88"/>
        <v/>
      </c>
      <c r="JC129" s="110" t="str">
        <f t="shared" si="171"/>
        <v/>
      </c>
      <c r="JD129" s="51"/>
      <c r="JE129" s="108" t="str">
        <f t="shared" si="89"/>
        <v/>
      </c>
      <c r="JF129" s="109" t="str">
        <f t="shared" si="172"/>
        <v/>
      </c>
      <c r="JG129" s="109" t="str">
        <f t="shared" si="90"/>
        <v/>
      </c>
      <c r="JH129" s="110" t="str">
        <f t="shared" si="198"/>
        <v/>
      </c>
      <c r="JI129" s="51"/>
      <c r="JJ129" s="108" t="str">
        <f t="shared" si="173"/>
        <v/>
      </c>
      <c r="JK129" s="109" t="str">
        <f t="shared" si="174"/>
        <v/>
      </c>
      <c r="JL129" s="109" t="str">
        <f t="shared" si="91"/>
        <v/>
      </c>
      <c r="JM129" s="110" t="str">
        <f t="shared" si="175"/>
        <v/>
      </c>
      <c r="JN129" s="51"/>
      <c r="JO129" s="108" t="str">
        <f t="shared" si="92"/>
        <v/>
      </c>
      <c r="JP129" s="109" t="str">
        <f t="shared" si="176"/>
        <v/>
      </c>
      <c r="JQ129" s="109" t="str">
        <f t="shared" si="93"/>
        <v/>
      </c>
      <c r="JR129" s="110" t="str">
        <f t="shared" si="199"/>
        <v/>
      </c>
      <c r="JS129" s="51"/>
      <c r="JT129" s="108" t="str">
        <f t="shared" si="177"/>
        <v/>
      </c>
      <c r="JU129" s="109" t="str">
        <f t="shared" si="178"/>
        <v/>
      </c>
      <c r="JV129" s="109" t="str">
        <f t="shared" si="94"/>
        <v/>
      </c>
      <c r="JW129" s="110" t="str">
        <f t="shared" si="179"/>
        <v/>
      </c>
      <c r="JX129" s="51"/>
      <c r="JY129" s="108" t="str">
        <f t="shared" si="95"/>
        <v/>
      </c>
      <c r="JZ129" s="109" t="str">
        <f t="shared" si="180"/>
        <v/>
      </c>
      <c r="KA129" s="109" t="str">
        <f t="shared" si="96"/>
        <v/>
      </c>
      <c r="KB129" s="110" t="str">
        <f t="shared" si="200"/>
        <v/>
      </c>
      <c r="KC129" s="51"/>
      <c r="KD129" s="108" t="str">
        <f t="shared" si="181"/>
        <v/>
      </c>
      <c r="KE129" s="109" t="str">
        <f t="shared" si="182"/>
        <v/>
      </c>
      <c r="KF129" s="109" t="str">
        <f t="shared" si="97"/>
        <v/>
      </c>
      <c r="KG129" s="110" t="str">
        <f t="shared" si="98"/>
        <v/>
      </c>
    </row>
    <row r="130" spans="1:293" ht="12" customHeight="1">
      <c r="A130" s="105">
        <f t="array" ref="A130">MAX(IF($J$80:J129&gt;0,$C$80:C129,0))</f>
        <v>43535</v>
      </c>
      <c r="B130" s="81" t="str">
        <f t="shared" si="4"/>
        <v/>
      </c>
      <c r="C130" s="82">
        <f t="shared" si="5"/>
        <v>0</v>
      </c>
      <c r="D130" s="83" t="str">
        <f t="shared" si="6"/>
        <v/>
      </c>
      <c r="E130" s="83" t="str">
        <f t="shared" si="99"/>
        <v/>
      </c>
      <c r="F130" s="83" t="str">
        <f t="shared" si="7"/>
        <v/>
      </c>
      <c r="G130" s="83" t="str">
        <f t="shared" si="8"/>
        <v/>
      </c>
      <c r="H130" s="83" t="str">
        <f t="shared" si="9"/>
        <v/>
      </c>
      <c r="I130" s="105">
        <f t="array" ref="I130">MAX(IF($R$80:R129&gt;0,$L$80:L129,0))</f>
        <v>0</v>
      </c>
      <c r="J130" s="106"/>
      <c r="K130" s="2" t="str">
        <f t="shared" si="10"/>
        <v/>
      </c>
      <c r="L130" s="82">
        <f t="shared" si="183"/>
        <v>0</v>
      </c>
      <c r="M130" s="83" t="str">
        <f t="shared" si="11"/>
        <v/>
      </c>
      <c r="N130" s="83" t="str">
        <f t="shared" si="12"/>
        <v/>
      </c>
      <c r="O130" s="83" t="str">
        <f t="shared" si="13"/>
        <v/>
      </c>
      <c r="P130" s="83" t="str">
        <f t="shared" si="14"/>
        <v/>
      </c>
      <c r="Q130" s="83" t="str">
        <f t="shared" si="15"/>
        <v/>
      </c>
      <c r="R130" s="106"/>
      <c r="S130" s="1"/>
      <c r="U130" s="85" t="e">
        <f t="shared" si="0"/>
        <v>#NUM!</v>
      </c>
      <c r="V130" s="86" t="e">
        <f t="shared" si="100"/>
        <v>#NUM!</v>
      </c>
      <c r="W130" s="87" t="e">
        <f t="shared" si="16"/>
        <v>#NUM!</v>
      </c>
      <c r="X130" s="87" t="e">
        <f t="shared" si="17"/>
        <v>#NUM!</v>
      </c>
      <c r="Y130" s="87" t="e">
        <f t="shared" si="18"/>
        <v>#NUM!</v>
      </c>
      <c r="Z130" s="88" t="e">
        <f t="shared" si="1"/>
        <v>#NUM!</v>
      </c>
      <c r="AA130" t="s">
        <v>282</v>
      </c>
      <c r="AB130" s="89">
        <f t="shared" si="101"/>
        <v>0</v>
      </c>
      <c r="AC130" s="87">
        <f t="shared" si="19"/>
        <v>0</v>
      </c>
      <c r="AD130" s="87" t="str">
        <f t="shared" si="20"/>
        <v/>
      </c>
      <c r="AE130" s="87" t="str">
        <f t="shared" si="21"/>
        <v/>
      </c>
      <c r="AF130" s="86">
        <f t="shared" si="102"/>
        <v>0</v>
      </c>
      <c r="AG130" s="87">
        <f t="shared" si="2"/>
        <v>0</v>
      </c>
      <c r="AH130" s="87">
        <f t="shared" si="103"/>
        <v>0</v>
      </c>
      <c r="AI130" s="90"/>
      <c r="AJ130" s="87" t="e">
        <f t="shared" si="22"/>
        <v>#NUM!</v>
      </c>
      <c r="AK130" s="87" t="e">
        <f t="shared" si="104"/>
        <v>#NUM!</v>
      </c>
      <c r="AL130" s="87" t="e">
        <f t="shared" si="105"/>
        <v>#NUM!</v>
      </c>
      <c r="AM130" s="87" t="e">
        <f t="shared" si="106"/>
        <v>#NUM!</v>
      </c>
      <c r="AN130" s="86">
        <f t="shared" si="23"/>
        <v>0</v>
      </c>
      <c r="AO130" s="87">
        <f t="shared" si="24"/>
        <v>0</v>
      </c>
      <c r="AP130" s="88">
        <f t="shared" si="25"/>
        <v>0</v>
      </c>
      <c r="AR130" s="91">
        <f t="shared" si="26"/>
        <v>0</v>
      </c>
      <c r="AS130" s="92">
        <f t="shared" si="27"/>
        <v>0</v>
      </c>
      <c r="AT130" s="87" t="str">
        <f t="shared" si="28"/>
        <v/>
      </c>
      <c r="AU130" s="87" t="str">
        <f t="shared" si="29"/>
        <v/>
      </c>
      <c r="AV130" s="86">
        <f t="shared" si="107"/>
        <v>0</v>
      </c>
      <c r="AW130" s="87">
        <f t="shared" si="108"/>
        <v>0</v>
      </c>
      <c r="AX130" s="87">
        <f t="shared" si="109"/>
        <v>0</v>
      </c>
      <c r="AY130" s="93"/>
      <c r="AZ130" s="87">
        <f t="shared" si="201"/>
        <v>0</v>
      </c>
      <c r="BA130" s="87">
        <f t="shared" si="110"/>
        <v>0</v>
      </c>
      <c r="BB130" s="87">
        <f t="shared" si="111"/>
        <v>0</v>
      </c>
      <c r="BC130" s="87">
        <f t="shared" si="184"/>
        <v>0</v>
      </c>
      <c r="BD130" s="86" t="e">
        <f t="shared" si="30"/>
        <v>#NUM!</v>
      </c>
      <c r="BE130" s="87" t="e">
        <f t="shared" si="3"/>
        <v>#NUM!</v>
      </c>
      <c r="BF130" s="88">
        <f t="shared" si="112"/>
        <v>0</v>
      </c>
      <c r="BH130" s="87" t="e">
        <f t="shared" si="31"/>
        <v>#NUM!</v>
      </c>
      <c r="BK130" s="95">
        <v>40642</v>
      </c>
      <c r="BL130" s="96">
        <v>51</v>
      </c>
      <c r="CY130" s="108" t="str">
        <f t="shared" si="32"/>
        <v/>
      </c>
      <c r="CZ130" s="109" t="str">
        <f t="shared" si="33"/>
        <v/>
      </c>
      <c r="DA130" s="109" t="str">
        <f t="shared" si="34"/>
        <v/>
      </c>
      <c r="DB130" s="110" t="str">
        <f t="shared" si="225"/>
        <v/>
      </c>
      <c r="DD130" s="108" t="str">
        <f t="shared" si="36"/>
        <v/>
      </c>
      <c r="DE130" s="109" t="str">
        <f t="shared" si="114"/>
        <v/>
      </c>
      <c r="DF130" s="109" t="str">
        <f t="shared" si="37"/>
        <v/>
      </c>
      <c r="DG130" s="110" t="str">
        <f t="shared" si="226"/>
        <v/>
      </c>
      <c r="DI130" s="108" t="str">
        <f t="shared" si="115"/>
        <v/>
      </c>
      <c r="DJ130" s="109" t="str">
        <f t="shared" si="116"/>
        <v/>
      </c>
      <c r="DK130" s="109" t="str">
        <f t="shared" si="39"/>
        <v/>
      </c>
      <c r="DL130" s="110" t="str">
        <f t="shared" si="227"/>
        <v/>
      </c>
      <c r="DN130" s="108" t="str">
        <f t="shared" si="41"/>
        <v/>
      </c>
      <c r="DO130" s="109" t="str">
        <f t="shared" si="42"/>
        <v/>
      </c>
      <c r="DP130" s="109" t="str">
        <f t="shared" si="43"/>
        <v/>
      </c>
      <c r="DQ130" s="110" t="str">
        <f t="shared" si="228"/>
        <v/>
      </c>
      <c r="DS130" s="108" t="str">
        <f t="shared" si="117"/>
        <v/>
      </c>
      <c r="DT130" s="109" t="str">
        <f t="shared" si="118"/>
        <v/>
      </c>
      <c r="DU130" s="109" t="str">
        <f t="shared" si="45"/>
        <v/>
      </c>
      <c r="DV130" s="110" t="str">
        <f t="shared" si="229"/>
        <v/>
      </c>
      <c r="DX130" s="108" t="str">
        <f t="shared" si="46"/>
        <v/>
      </c>
      <c r="DY130" s="109" t="str">
        <f t="shared" si="119"/>
        <v/>
      </c>
      <c r="DZ130" s="109" t="str">
        <f t="shared" si="47"/>
        <v/>
      </c>
      <c r="EA130" s="110" t="str">
        <f t="shared" si="230"/>
        <v/>
      </c>
      <c r="EC130" s="108" t="str">
        <f t="shared" si="121"/>
        <v/>
      </c>
      <c r="ED130" s="109" t="str">
        <f t="shared" si="122"/>
        <v/>
      </c>
      <c r="EE130" s="109" t="str">
        <f t="shared" si="48"/>
        <v/>
      </c>
      <c r="EF130" s="110" t="str">
        <f t="shared" si="231"/>
        <v/>
      </c>
      <c r="EH130" s="108" t="str">
        <f t="shared" si="49"/>
        <v/>
      </c>
      <c r="EI130" s="109" t="str">
        <f t="shared" si="123"/>
        <v/>
      </c>
      <c r="EJ130" s="109" t="str">
        <f t="shared" si="50"/>
        <v/>
      </c>
      <c r="EK130" s="110" t="str">
        <f t="shared" si="232"/>
        <v/>
      </c>
      <c r="EM130" s="108" t="str">
        <f t="shared" si="125"/>
        <v/>
      </c>
      <c r="EN130" s="109" t="str">
        <f t="shared" si="126"/>
        <v/>
      </c>
      <c r="EO130" s="109" t="str">
        <f t="shared" si="51"/>
        <v/>
      </c>
      <c r="EP130" s="110" t="str">
        <f t="shared" si="233"/>
        <v/>
      </c>
      <c r="ER130" s="108" t="str">
        <f t="shared" si="52"/>
        <v/>
      </c>
      <c r="ES130" s="109" t="str">
        <f t="shared" si="127"/>
        <v/>
      </c>
      <c r="ET130" s="109" t="str">
        <f t="shared" si="53"/>
        <v/>
      </c>
      <c r="EU130" s="110" t="str">
        <f t="shared" si="234"/>
        <v/>
      </c>
      <c r="EW130" s="108" t="str">
        <f t="shared" si="129"/>
        <v/>
      </c>
      <c r="EX130" s="109" t="str">
        <f t="shared" si="130"/>
        <v/>
      </c>
      <c r="EY130" s="109" t="str">
        <f t="shared" si="54"/>
        <v/>
      </c>
      <c r="EZ130" s="110" t="str">
        <f t="shared" si="235"/>
        <v/>
      </c>
      <c r="FB130" s="108" t="str">
        <f t="shared" si="55"/>
        <v/>
      </c>
      <c r="FC130" s="109" t="str">
        <f t="shared" si="131"/>
        <v/>
      </c>
      <c r="FD130" s="109" t="str">
        <f t="shared" si="56"/>
        <v/>
      </c>
      <c r="FE130" s="110" t="str">
        <f t="shared" si="236"/>
        <v/>
      </c>
      <c r="FG130" s="108" t="str">
        <f t="shared" si="133"/>
        <v/>
      </c>
      <c r="FH130" s="109" t="str">
        <f t="shared" si="134"/>
        <v/>
      </c>
      <c r="FI130" s="109" t="str">
        <f t="shared" si="57"/>
        <v/>
      </c>
      <c r="FJ130" s="110" t="str">
        <f t="shared" si="237"/>
        <v/>
      </c>
      <c r="FL130" s="108" t="str">
        <f t="shared" si="58"/>
        <v/>
      </c>
      <c r="FM130" s="109" t="str">
        <f t="shared" si="135"/>
        <v/>
      </c>
      <c r="FN130" s="109" t="str">
        <f t="shared" si="59"/>
        <v/>
      </c>
      <c r="FO130" s="110" t="str">
        <f t="shared" si="238"/>
        <v/>
      </c>
      <c r="FQ130" s="108" t="str">
        <f t="shared" si="137"/>
        <v/>
      </c>
      <c r="FR130" s="109" t="str">
        <f t="shared" si="138"/>
        <v/>
      </c>
      <c r="FS130" s="109" t="str">
        <f t="shared" si="60"/>
        <v/>
      </c>
      <c r="FT130" s="110" t="str">
        <f t="shared" si="239"/>
        <v/>
      </c>
      <c r="FV130" s="108" t="str">
        <f t="shared" si="61"/>
        <v/>
      </c>
      <c r="FW130" s="109" t="str">
        <f t="shared" si="139"/>
        <v/>
      </c>
      <c r="FX130" s="109" t="str">
        <f t="shared" si="62"/>
        <v/>
      </c>
      <c r="FY130" s="110" t="str">
        <f t="shared" si="240"/>
        <v/>
      </c>
      <c r="GA130" s="108" t="str">
        <f t="shared" si="141"/>
        <v/>
      </c>
      <c r="GB130" s="109" t="str">
        <f t="shared" si="142"/>
        <v/>
      </c>
      <c r="GC130" s="109" t="str">
        <f t="shared" si="63"/>
        <v/>
      </c>
      <c r="GD130" s="110" t="str">
        <f t="shared" si="241"/>
        <v/>
      </c>
      <c r="GF130" s="108" t="str">
        <f t="shared" si="64"/>
        <v/>
      </c>
      <c r="GG130" s="109" t="str">
        <f t="shared" si="143"/>
        <v/>
      </c>
      <c r="GH130" s="109" t="str">
        <f t="shared" si="65"/>
        <v/>
      </c>
      <c r="GI130" s="110" t="str">
        <f t="shared" si="242"/>
        <v/>
      </c>
      <c r="GK130" s="108" t="str">
        <f t="shared" si="145"/>
        <v/>
      </c>
      <c r="GL130" s="109" t="str">
        <f t="shared" si="146"/>
        <v/>
      </c>
      <c r="GM130" s="109" t="str">
        <f t="shared" si="147"/>
        <v/>
      </c>
      <c r="GN130" s="110" t="str">
        <f t="shared" si="243"/>
        <v/>
      </c>
      <c r="GR130" s="108" t="str">
        <f t="shared" si="66"/>
        <v/>
      </c>
      <c r="GS130" s="109" t="str">
        <f t="shared" si="67"/>
        <v/>
      </c>
      <c r="GT130" s="109" t="str">
        <f t="shared" si="68"/>
        <v/>
      </c>
      <c r="GU130" s="110" t="str">
        <f t="shared" si="69"/>
        <v/>
      </c>
      <c r="GV130" s="51"/>
      <c r="GW130" s="108" t="str">
        <f t="shared" si="70"/>
        <v/>
      </c>
      <c r="GX130" s="109" t="str">
        <f t="shared" si="148"/>
        <v/>
      </c>
      <c r="GY130" s="109" t="str">
        <f t="shared" si="71"/>
        <v/>
      </c>
      <c r="GZ130" s="110" t="str">
        <f t="shared" si="72"/>
        <v/>
      </c>
      <c r="HA130" s="51"/>
      <c r="HB130" s="108" t="str">
        <f t="shared" si="149"/>
        <v/>
      </c>
      <c r="HC130" s="109" t="str">
        <f t="shared" si="150"/>
        <v/>
      </c>
      <c r="HD130" s="109" t="str">
        <f t="shared" si="73"/>
        <v/>
      </c>
      <c r="HE130" s="110" t="str">
        <f t="shared" si="151"/>
        <v/>
      </c>
      <c r="HF130" s="51"/>
      <c r="HG130" s="108" t="str">
        <f t="shared" si="74"/>
        <v/>
      </c>
      <c r="HH130" s="109" t="str">
        <f t="shared" si="152"/>
        <v/>
      </c>
      <c r="HI130" s="109" t="str">
        <f t="shared" si="75"/>
        <v/>
      </c>
      <c r="HJ130" s="110" t="str">
        <f t="shared" si="193"/>
        <v/>
      </c>
      <c r="HK130" s="51"/>
      <c r="HL130" s="108" t="str">
        <f t="shared" si="153"/>
        <v/>
      </c>
      <c r="HM130" s="109" t="str">
        <f t="shared" si="154"/>
        <v/>
      </c>
      <c r="HN130" s="109" t="str">
        <f t="shared" si="76"/>
        <v/>
      </c>
      <c r="HO130" s="110" t="str">
        <f t="shared" si="155"/>
        <v/>
      </c>
      <c r="HP130" s="51"/>
      <c r="HQ130" s="108" t="str">
        <f t="shared" si="77"/>
        <v/>
      </c>
      <c r="HR130" s="109" t="str">
        <f t="shared" si="156"/>
        <v/>
      </c>
      <c r="HS130" s="109" t="str">
        <f t="shared" si="78"/>
        <v/>
      </c>
      <c r="HT130" s="110" t="str">
        <f t="shared" si="194"/>
        <v/>
      </c>
      <c r="HU130" s="51"/>
      <c r="HV130" s="108" t="str">
        <f t="shared" si="157"/>
        <v/>
      </c>
      <c r="HW130" s="109" t="str">
        <f t="shared" si="158"/>
        <v/>
      </c>
      <c r="HX130" s="109" t="str">
        <f t="shared" si="79"/>
        <v/>
      </c>
      <c r="HY130" s="110" t="str">
        <f t="shared" si="159"/>
        <v/>
      </c>
      <c r="HZ130" s="51"/>
      <c r="IA130" s="108" t="str">
        <f t="shared" si="80"/>
        <v/>
      </c>
      <c r="IB130" s="109" t="str">
        <f t="shared" si="160"/>
        <v/>
      </c>
      <c r="IC130" s="109" t="str">
        <f t="shared" si="81"/>
        <v/>
      </c>
      <c r="ID130" s="110" t="str">
        <f t="shared" si="195"/>
        <v/>
      </c>
      <c r="IE130" s="51"/>
      <c r="IF130" s="108" t="str">
        <f t="shared" si="161"/>
        <v/>
      </c>
      <c r="IG130" s="109" t="str">
        <f t="shared" si="162"/>
        <v/>
      </c>
      <c r="IH130" s="109" t="str">
        <f t="shared" si="82"/>
        <v/>
      </c>
      <c r="II130" s="110" t="str">
        <f t="shared" si="163"/>
        <v/>
      </c>
      <c r="IJ130" s="51"/>
      <c r="IK130" s="108" t="str">
        <f t="shared" si="83"/>
        <v/>
      </c>
      <c r="IL130" s="109" t="str">
        <f t="shared" si="164"/>
        <v/>
      </c>
      <c r="IM130" s="109" t="str">
        <f t="shared" si="84"/>
        <v/>
      </c>
      <c r="IN130" s="110" t="str">
        <f t="shared" si="196"/>
        <v/>
      </c>
      <c r="IO130" s="51"/>
      <c r="IP130" s="108" t="str">
        <f t="shared" si="165"/>
        <v/>
      </c>
      <c r="IQ130" s="109" t="str">
        <f t="shared" si="166"/>
        <v/>
      </c>
      <c r="IR130" s="109" t="str">
        <f t="shared" si="85"/>
        <v/>
      </c>
      <c r="IS130" s="110" t="str">
        <f t="shared" si="167"/>
        <v/>
      </c>
      <c r="IT130" s="51"/>
      <c r="IU130" s="108" t="str">
        <f t="shared" si="86"/>
        <v/>
      </c>
      <c r="IV130" s="109" t="str">
        <f t="shared" si="168"/>
        <v/>
      </c>
      <c r="IW130" s="109" t="str">
        <f t="shared" si="87"/>
        <v/>
      </c>
      <c r="IX130" s="110" t="str">
        <f t="shared" si="197"/>
        <v/>
      </c>
      <c r="IY130" s="51"/>
      <c r="IZ130" s="108" t="str">
        <f t="shared" si="169"/>
        <v/>
      </c>
      <c r="JA130" s="109" t="str">
        <f t="shared" si="170"/>
        <v/>
      </c>
      <c r="JB130" s="109" t="str">
        <f t="shared" si="88"/>
        <v/>
      </c>
      <c r="JC130" s="110" t="str">
        <f t="shared" si="171"/>
        <v/>
      </c>
      <c r="JD130" s="51"/>
      <c r="JE130" s="108" t="str">
        <f t="shared" si="89"/>
        <v/>
      </c>
      <c r="JF130" s="109" t="str">
        <f t="shared" si="172"/>
        <v/>
      </c>
      <c r="JG130" s="109" t="str">
        <f t="shared" si="90"/>
        <v/>
      </c>
      <c r="JH130" s="110" t="str">
        <f t="shared" si="198"/>
        <v/>
      </c>
      <c r="JI130" s="51"/>
      <c r="JJ130" s="108" t="str">
        <f t="shared" si="173"/>
        <v/>
      </c>
      <c r="JK130" s="109" t="str">
        <f t="shared" si="174"/>
        <v/>
      </c>
      <c r="JL130" s="109" t="str">
        <f t="shared" si="91"/>
        <v/>
      </c>
      <c r="JM130" s="110" t="str">
        <f t="shared" si="175"/>
        <v/>
      </c>
      <c r="JN130" s="51"/>
      <c r="JO130" s="108" t="str">
        <f t="shared" si="92"/>
        <v/>
      </c>
      <c r="JP130" s="109" t="str">
        <f t="shared" si="176"/>
        <v/>
      </c>
      <c r="JQ130" s="109" t="str">
        <f t="shared" si="93"/>
        <v/>
      </c>
      <c r="JR130" s="110" t="str">
        <f t="shared" si="199"/>
        <v/>
      </c>
      <c r="JS130" s="51"/>
      <c r="JT130" s="108" t="str">
        <f t="shared" si="177"/>
        <v/>
      </c>
      <c r="JU130" s="109" t="str">
        <f t="shared" si="178"/>
        <v/>
      </c>
      <c r="JV130" s="109" t="str">
        <f t="shared" si="94"/>
        <v/>
      </c>
      <c r="JW130" s="110" t="str">
        <f t="shared" si="179"/>
        <v/>
      </c>
      <c r="JX130" s="51"/>
      <c r="JY130" s="108" t="str">
        <f t="shared" si="95"/>
        <v/>
      </c>
      <c r="JZ130" s="109" t="str">
        <f t="shared" si="180"/>
        <v/>
      </c>
      <c r="KA130" s="109" t="str">
        <f t="shared" si="96"/>
        <v/>
      </c>
      <c r="KB130" s="110" t="str">
        <f t="shared" si="200"/>
        <v/>
      </c>
      <c r="KC130" s="51"/>
      <c r="KD130" s="108" t="str">
        <f t="shared" si="181"/>
        <v/>
      </c>
      <c r="KE130" s="109" t="str">
        <f t="shared" si="182"/>
        <v/>
      </c>
      <c r="KF130" s="109" t="str">
        <f t="shared" si="97"/>
        <v/>
      </c>
      <c r="KG130" s="110" t="str">
        <f t="shared" si="98"/>
        <v/>
      </c>
    </row>
    <row r="131" spans="1:293" ht="12" customHeight="1">
      <c r="A131" s="105">
        <f t="array" ref="A131">MAX(IF($J$80:J130&gt;0,$C$80:C130,0))</f>
        <v>43535</v>
      </c>
      <c r="B131" s="81" t="str">
        <f t="shared" si="4"/>
        <v/>
      </c>
      <c r="C131" s="82">
        <f t="shared" si="5"/>
        <v>0</v>
      </c>
      <c r="D131" s="83" t="str">
        <f t="shared" si="6"/>
        <v/>
      </c>
      <c r="E131" s="83" t="str">
        <f t="shared" si="99"/>
        <v/>
      </c>
      <c r="F131" s="83" t="str">
        <f t="shared" si="7"/>
        <v/>
      </c>
      <c r="G131" s="83" t="str">
        <f t="shared" si="8"/>
        <v/>
      </c>
      <c r="H131" s="83" t="str">
        <f t="shared" si="9"/>
        <v/>
      </c>
      <c r="I131" s="105">
        <f t="array" ref="I131">MAX(IF($R$80:R130&gt;0,$L$80:L130,0))</f>
        <v>0</v>
      </c>
      <c r="J131" s="106"/>
      <c r="K131" s="2" t="str">
        <f t="shared" si="10"/>
        <v/>
      </c>
      <c r="L131" s="82">
        <f t="shared" si="183"/>
        <v>0</v>
      </c>
      <c r="M131" s="83" t="str">
        <f t="shared" si="11"/>
        <v/>
      </c>
      <c r="N131" s="83" t="str">
        <f t="shared" si="12"/>
        <v/>
      </c>
      <c r="O131" s="83" t="str">
        <f t="shared" si="13"/>
        <v/>
      </c>
      <c r="P131" s="83" t="str">
        <f t="shared" si="14"/>
        <v/>
      </c>
      <c r="Q131" s="83" t="str">
        <f t="shared" si="15"/>
        <v/>
      </c>
      <c r="R131" s="106"/>
      <c r="S131" s="1"/>
      <c r="U131" s="85" t="e">
        <f t="shared" si="0"/>
        <v>#NUM!</v>
      </c>
      <c r="V131" s="86" t="e">
        <f t="shared" si="100"/>
        <v>#NUM!</v>
      </c>
      <c r="W131" s="87" t="e">
        <f t="shared" si="16"/>
        <v>#NUM!</v>
      </c>
      <c r="X131" s="87" t="e">
        <f t="shared" si="17"/>
        <v>#NUM!</v>
      </c>
      <c r="Y131" s="87" t="e">
        <f t="shared" si="18"/>
        <v>#NUM!</v>
      </c>
      <c r="Z131" s="88" t="e">
        <f t="shared" si="1"/>
        <v>#NUM!</v>
      </c>
      <c r="AA131" t="s">
        <v>282</v>
      </c>
      <c r="AB131" s="89">
        <f t="shared" si="101"/>
        <v>0</v>
      </c>
      <c r="AC131" s="87">
        <f t="shared" si="19"/>
        <v>0</v>
      </c>
      <c r="AD131" s="87" t="str">
        <f t="shared" si="20"/>
        <v/>
      </c>
      <c r="AE131" s="87" t="str">
        <f t="shared" si="21"/>
        <v/>
      </c>
      <c r="AF131" s="86">
        <f t="shared" si="102"/>
        <v>0</v>
      </c>
      <c r="AG131" s="87">
        <f t="shared" si="2"/>
        <v>0</v>
      </c>
      <c r="AH131" s="87">
        <f t="shared" si="103"/>
        <v>0</v>
      </c>
      <c r="AI131" s="90"/>
      <c r="AJ131" s="87" t="e">
        <f t="shared" si="22"/>
        <v>#NUM!</v>
      </c>
      <c r="AK131" s="87" t="e">
        <f t="shared" si="104"/>
        <v>#NUM!</v>
      </c>
      <c r="AL131" s="87" t="e">
        <f t="shared" si="105"/>
        <v>#NUM!</v>
      </c>
      <c r="AM131" s="87" t="e">
        <f t="shared" si="106"/>
        <v>#NUM!</v>
      </c>
      <c r="AN131" s="86">
        <f t="shared" si="23"/>
        <v>0</v>
      </c>
      <c r="AO131" s="87">
        <f t="shared" si="24"/>
        <v>0</v>
      </c>
      <c r="AP131" s="88">
        <f t="shared" si="25"/>
        <v>0</v>
      </c>
      <c r="AR131" s="91">
        <f t="shared" si="26"/>
        <v>0</v>
      </c>
      <c r="AS131" s="92">
        <f t="shared" si="27"/>
        <v>0</v>
      </c>
      <c r="AT131" s="87" t="str">
        <f t="shared" si="28"/>
        <v/>
      </c>
      <c r="AU131" s="87" t="str">
        <f t="shared" si="29"/>
        <v/>
      </c>
      <c r="AV131" s="86">
        <f t="shared" si="107"/>
        <v>0</v>
      </c>
      <c r="AW131" s="87">
        <f t="shared" si="108"/>
        <v>0</v>
      </c>
      <c r="AX131" s="87">
        <f t="shared" si="109"/>
        <v>0</v>
      </c>
      <c r="AY131" s="93"/>
      <c r="AZ131" s="87">
        <f t="shared" si="201"/>
        <v>0</v>
      </c>
      <c r="BA131" s="87">
        <f t="shared" si="110"/>
        <v>0</v>
      </c>
      <c r="BB131" s="87">
        <f t="shared" si="111"/>
        <v>0</v>
      </c>
      <c r="BC131" s="87">
        <f t="shared" si="184"/>
        <v>0</v>
      </c>
      <c r="BD131" s="86" t="e">
        <f t="shared" si="30"/>
        <v>#NUM!</v>
      </c>
      <c r="BE131" s="87" t="e">
        <f t="shared" si="3"/>
        <v>#NUM!</v>
      </c>
      <c r="BF131" s="88">
        <f t="shared" si="112"/>
        <v>0</v>
      </c>
      <c r="BH131" s="87" t="e">
        <f t="shared" si="31"/>
        <v>#NUM!</v>
      </c>
      <c r="BK131" s="95">
        <v>40655</v>
      </c>
      <c r="BL131" s="96">
        <v>52</v>
      </c>
      <c r="CY131" s="108" t="str">
        <f t="shared" si="32"/>
        <v/>
      </c>
      <c r="CZ131" s="109" t="str">
        <f t="shared" si="33"/>
        <v/>
      </c>
      <c r="DA131" s="109" t="str">
        <f t="shared" si="34"/>
        <v/>
      </c>
      <c r="DB131" s="110" t="str">
        <f t="shared" si="225"/>
        <v/>
      </c>
      <c r="DD131" s="108" t="str">
        <f t="shared" si="36"/>
        <v/>
      </c>
      <c r="DE131" s="109" t="str">
        <f t="shared" si="114"/>
        <v/>
      </c>
      <c r="DF131" s="109" t="str">
        <f t="shared" si="37"/>
        <v/>
      </c>
      <c r="DG131" s="110" t="str">
        <f t="shared" si="226"/>
        <v/>
      </c>
      <c r="DI131" s="108" t="str">
        <f t="shared" si="115"/>
        <v/>
      </c>
      <c r="DJ131" s="109" t="str">
        <f t="shared" si="116"/>
        <v/>
      </c>
      <c r="DK131" s="109" t="str">
        <f t="shared" si="39"/>
        <v/>
      </c>
      <c r="DL131" s="110" t="str">
        <f t="shared" si="227"/>
        <v/>
      </c>
      <c r="DN131" s="108" t="str">
        <f t="shared" si="41"/>
        <v/>
      </c>
      <c r="DO131" s="109" t="str">
        <f t="shared" si="42"/>
        <v/>
      </c>
      <c r="DP131" s="109" t="str">
        <f t="shared" si="43"/>
        <v/>
      </c>
      <c r="DQ131" s="110" t="str">
        <f t="shared" si="228"/>
        <v/>
      </c>
      <c r="DS131" s="108" t="str">
        <f t="shared" si="117"/>
        <v/>
      </c>
      <c r="DT131" s="109" t="str">
        <f t="shared" si="118"/>
        <v/>
      </c>
      <c r="DU131" s="109" t="str">
        <f t="shared" si="45"/>
        <v/>
      </c>
      <c r="DV131" s="110" t="str">
        <f t="shared" si="229"/>
        <v/>
      </c>
      <c r="DX131" s="108" t="str">
        <f t="shared" si="46"/>
        <v/>
      </c>
      <c r="DY131" s="109" t="str">
        <f t="shared" si="119"/>
        <v/>
      </c>
      <c r="DZ131" s="109" t="str">
        <f t="shared" si="47"/>
        <v/>
      </c>
      <c r="EA131" s="110" t="str">
        <f t="shared" si="230"/>
        <v/>
      </c>
      <c r="EC131" s="108" t="str">
        <f t="shared" si="121"/>
        <v/>
      </c>
      <c r="ED131" s="109" t="str">
        <f t="shared" si="122"/>
        <v/>
      </c>
      <c r="EE131" s="109" t="str">
        <f t="shared" si="48"/>
        <v/>
      </c>
      <c r="EF131" s="110" t="str">
        <f t="shared" si="231"/>
        <v/>
      </c>
      <c r="EH131" s="108" t="str">
        <f t="shared" si="49"/>
        <v/>
      </c>
      <c r="EI131" s="109" t="str">
        <f t="shared" si="123"/>
        <v/>
      </c>
      <c r="EJ131" s="109" t="str">
        <f t="shared" si="50"/>
        <v/>
      </c>
      <c r="EK131" s="110" t="str">
        <f t="shared" si="232"/>
        <v/>
      </c>
      <c r="EM131" s="108" t="str">
        <f t="shared" si="125"/>
        <v/>
      </c>
      <c r="EN131" s="109" t="str">
        <f t="shared" si="126"/>
        <v/>
      </c>
      <c r="EO131" s="109" t="str">
        <f t="shared" si="51"/>
        <v/>
      </c>
      <c r="EP131" s="110" t="str">
        <f t="shared" si="233"/>
        <v/>
      </c>
      <c r="ER131" s="108" t="str">
        <f t="shared" si="52"/>
        <v/>
      </c>
      <c r="ES131" s="109" t="str">
        <f t="shared" si="127"/>
        <v/>
      </c>
      <c r="ET131" s="109" t="str">
        <f t="shared" si="53"/>
        <v/>
      </c>
      <c r="EU131" s="110" t="str">
        <f t="shared" si="234"/>
        <v/>
      </c>
      <c r="EW131" s="108" t="str">
        <f t="shared" si="129"/>
        <v/>
      </c>
      <c r="EX131" s="109" t="str">
        <f t="shared" si="130"/>
        <v/>
      </c>
      <c r="EY131" s="109" t="str">
        <f t="shared" si="54"/>
        <v/>
      </c>
      <c r="EZ131" s="110" t="str">
        <f t="shared" si="235"/>
        <v/>
      </c>
      <c r="FB131" s="108" t="str">
        <f t="shared" si="55"/>
        <v/>
      </c>
      <c r="FC131" s="109" t="str">
        <f t="shared" si="131"/>
        <v/>
      </c>
      <c r="FD131" s="109" t="str">
        <f t="shared" si="56"/>
        <v/>
      </c>
      <c r="FE131" s="110" t="str">
        <f t="shared" si="236"/>
        <v/>
      </c>
      <c r="FG131" s="108" t="str">
        <f t="shared" si="133"/>
        <v/>
      </c>
      <c r="FH131" s="109" t="str">
        <f t="shared" si="134"/>
        <v/>
      </c>
      <c r="FI131" s="109" t="str">
        <f t="shared" si="57"/>
        <v/>
      </c>
      <c r="FJ131" s="110" t="str">
        <f t="shared" si="237"/>
        <v/>
      </c>
      <c r="FL131" s="108" t="str">
        <f t="shared" si="58"/>
        <v/>
      </c>
      <c r="FM131" s="109" t="str">
        <f t="shared" si="135"/>
        <v/>
      </c>
      <c r="FN131" s="109" t="str">
        <f t="shared" si="59"/>
        <v/>
      </c>
      <c r="FO131" s="110" t="str">
        <f t="shared" si="238"/>
        <v/>
      </c>
      <c r="FQ131" s="108" t="str">
        <f t="shared" si="137"/>
        <v/>
      </c>
      <c r="FR131" s="109" t="str">
        <f t="shared" si="138"/>
        <v/>
      </c>
      <c r="FS131" s="109" t="str">
        <f t="shared" si="60"/>
        <v/>
      </c>
      <c r="FT131" s="110" t="str">
        <f t="shared" si="239"/>
        <v/>
      </c>
      <c r="FV131" s="108" t="str">
        <f t="shared" si="61"/>
        <v/>
      </c>
      <c r="FW131" s="109" t="str">
        <f t="shared" si="139"/>
        <v/>
      </c>
      <c r="FX131" s="109" t="str">
        <f t="shared" si="62"/>
        <v/>
      </c>
      <c r="FY131" s="110" t="str">
        <f t="shared" si="240"/>
        <v/>
      </c>
      <c r="GA131" s="108" t="str">
        <f t="shared" si="141"/>
        <v/>
      </c>
      <c r="GB131" s="109" t="str">
        <f t="shared" si="142"/>
        <v/>
      </c>
      <c r="GC131" s="109" t="str">
        <f t="shared" si="63"/>
        <v/>
      </c>
      <c r="GD131" s="110" t="str">
        <f t="shared" si="241"/>
        <v/>
      </c>
      <c r="GF131" s="108" t="str">
        <f t="shared" si="64"/>
        <v/>
      </c>
      <c r="GG131" s="109" t="str">
        <f t="shared" si="143"/>
        <v/>
      </c>
      <c r="GH131" s="109" t="str">
        <f t="shared" si="65"/>
        <v/>
      </c>
      <c r="GI131" s="110" t="str">
        <f t="shared" si="242"/>
        <v/>
      </c>
      <c r="GK131" s="108" t="str">
        <f t="shared" si="145"/>
        <v/>
      </c>
      <c r="GL131" s="109" t="str">
        <f t="shared" si="146"/>
        <v/>
      </c>
      <c r="GM131" s="109" t="str">
        <f t="shared" si="147"/>
        <v/>
      </c>
      <c r="GN131" s="110" t="str">
        <f t="shared" si="243"/>
        <v/>
      </c>
      <c r="GR131" s="108" t="str">
        <f t="shared" si="66"/>
        <v/>
      </c>
      <c r="GS131" s="109" t="str">
        <f t="shared" si="67"/>
        <v/>
      </c>
      <c r="GT131" s="109" t="str">
        <f t="shared" si="68"/>
        <v/>
      </c>
      <c r="GU131" s="110" t="str">
        <f t="shared" si="69"/>
        <v/>
      </c>
      <c r="GV131" s="51"/>
      <c r="GW131" s="108" t="str">
        <f t="shared" si="70"/>
        <v/>
      </c>
      <c r="GX131" s="109" t="str">
        <f t="shared" si="148"/>
        <v/>
      </c>
      <c r="GY131" s="109" t="str">
        <f t="shared" si="71"/>
        <v/>
      </c>
      <c r="GZ131" s="110" t="str">
        <f t="shared" si="72"/>
        <v/>
      </c>
      <c r="HA131" s="51"/>
      <c r="HB131" s="108" t="str">
        <f t="shared" si="149"/>
        <v/>
      </c>
      <c r="HC131" s="109" t="str">
        <f t="shared" si="150"/>
        <v/>
      </c>
      <c r="HD131" s="109" t="str">
        <f t="shared" si="73"/>
        <v/>
      </c>
      <c r="HE131" s="110" t="str">
        <f t="shared" si="151"/>
        <v/>
      </c>
      <c r="HF131" s="51"/>
      <c r="HG131" s="108" t="str">
        <f t="shared" si="74"/>
        <v/>
      </c>
      <c r="HH131" s="109" t="str">
        <f t="shared" si="152"/>
        <v/>
      </c>
      <c r="HI131" s="109" t="str">
        <f t="shared" si="75"/>
        <v/>
      </c>
      <c r="HJ131" s="110" t="str">
        <f t="shared" si="193"/>
        <v/>
      </c>
      <c r="HK131" s="51"/>
      <c r="HL131" s="108" t="str">
        <f t="shared" si="153"/>
        <v/>
      </c>
      <c r="HM131" s="109" t="str">
        <f t="shared" si="154"/>
        <v/>
      </c>
      <c r="HN131" s="109" t="str">
        <f t="shared" si="76"/>
        <v/>
      </c>
      <c r="HO131" s="110" t="str">
        <f t="shared" si="155"/>
        <v/>
      </c>
      <c r="HP131" s="51"/>
      <c r="HQ131" s="108" t="str">
        <f t="shared" si="77"/>
        <v/>
      </c>
      <c r="HR131" s="109" t="str">
        <f t="shared" si="156"/>
        <v/>
      </c>
      <c r="HS131" s="109" t="str">
        <f t="shared" si="78"/>
        <v/>
      </c>
      <c r="HT131" s="110" t="str">
        <f t="shared" si="194"/>
        <v/>
      </c>
      <c r="HU131" s="51"/>
      <c r="HV131" s="108" t="str">
        <f t="shared" si="157"/>
        <v/>
      </c>
      <c r="HW131" s="109" t="str">
        <f t="shared" si="158"/>
        <v/>
      </c>
      <c r="HX131" s="109" t="str">
        <f t="shared" si="79"/>
        <v/>
      </c>
      <c r="HY131" s="110" t="str">
        <f t="shared" si="159"/>
        <v/>
      </c>
      <c r="HZ131" s="51"/>
      <c r="IA131" s="108" t="str">
        <f t="shared" si="80"/>
        <v/>
      </c>
      <c r="IB131" s="109" t="str">
        <f t="shared" si="160"/>
        <v/>
      </c>
      <c r="IC131" s="109" t="str">
        <f t="shared" si="81"/>
        <v/>
      </c>
      <c r="ID131" s="110" t="str">
        <f t="shared" si="195"/>
        <v/>
      </c>
      <c r="IE131" s="51"/>
      <c r="IF131" s="108" t="str">
        <f t="shared" si="161"/>
        <v/>
      </c>
      <c r="IG131" s="109" t="str">
        <f t="shared" si="162"/>
        <v/>
      </c>
      <c r="IH131" s="109" t="str">
        <f t="shared" si="82"/>
        <v/>
      </c>
      <c r="II131" s="110" t="str">
        <f t="shared" si="163"/>
        <v/>
      </c>
      <c r="IJ131" s="51"/>
      <c r="IK131" s="108" t="str">
        <f t="shared" si="83"/>
        <v/>
      </c>
      <c r="IL131" s="109" t="str">
        <f t="shared" si="164"/>
        <v/>
      </c>
      <c r="IM131" s="109" t="str">
        <f t="shared" si="84"/>
        <v/>
      </c>
      <c r="IN131" s="110" t="str">
        <f t="shared" si="196"/>
        <v/>
      </c>
      <c r="IO131" s="51"/>
      <c r="IP131" s="108" t="str">
        <f t="shared" si="165"/>
        <v/>
      </c>
      <c r="IQ131" s="109" t="str">
        <f t="shared" si="166"/>
        <v/>
      </c>
      <c r="IR131" s="109" t="str">
        <f t="shared" si="85"/>
        <v/>
      </c>
      <c r="IS131" s="110" t="str">
        <f t="shared" si="167"/>
        <v/>
      </c>
      <c r="IT131" s="51"/>
      <c r="IU131" s="108" t="str">
        <f t="shared" si="86"/>
        <v/>
      </c>
      <c r="IV131" s="109" t="str">
        <f t="shared" si="168"/>
        <v/>
      </c>
      <c r="IW131" s="109" t="str">
        <f t="shared" si="87"/>
        <v/>
      </c>
      <c r="IX131" s="110" t="str">
        <f t="shared" si="197"/>
        <v/>
      </c>
      <c r="IY131" s="51"/>
      <c r="IZ131" s="108" t="str">
        <f t="shared" si="169"/>
        <v/>
      </c>
      <c r="JA131" s="109" t="str">
        <f t="shared" si="170"/>
        <v/>
      </c>
      <c r="JB131" s="109" t="str">
        <f t="shared" si="88"/>
        <v/>
      </c>
      <c r="JC131" s="110" t="str">
        <f t="shared" si="171"/>
        <v/>
      </c>
      <c r="JD131" s="51"/>
      <c r="JE131" s="108" t="str">
        <f t="shared" si="89"/>
        <v/>
      </c>
      <c r="JF131" s="109" t="str">
        <f t="shared" si="172"/>
        <v/>
      </c>
      <c r="JG131" s="109" t="str">
        <f t="shared" si="90"/>
        <v/>
      </c>
      <c r="JH131" s="110" t="str">
        <f t="shared" si="198"/>
        <v/>
      </c>
      <c r="JI131" s="51"/>
      <c r="JJ131" s="108" t="str">
        <f t="shared" si="173"/>
        <v/>
      </c>
      <c r="JK131" s="109" t="str">
        <f t="shared" si="174"/>
        <v/>
      </c>
      <c r="JL131" s="109" t="str">
        <f t="shared" si="91"/>
        <v/>
      </c>
      <c r="JM131" s="110" t="str">
        <f t="shared" si="175"/>
        <v/>
      </c>
      <c r="JN131" s="51"/>
      <c r="JO131" s="108" t="str">
        <f t="shared" si="92"/>
        <v/>
      </c>
      <c r="JP131" s="109" t="str">
        <f t="shared" si="176"/>
        <v/>
      </c>
      <c r="JQ131" s="109" t="str">
        <f t="shared" si="93"/>
        <v/>
      </c>
      <c r="JR131" s="110" t="str">
        <f t="shared" si="199"/>
        <v/>
      </c>
      <c r="JS131" s="51"/>
      <c r="JT131" s="108" t="str">
        <f t="shared" si="177"/>
        <v/>
      </c>
      <c r="JU131" s="109" t="str">
        <f t="shared" si="178"/>
        <v/>
      </c>
      <c r="JV131" s="109" t="str">
        <f t="shared" si="94"/>
        <v/>
      </c>
      <c r="JW131" s="110" t="str">
        <f t="shared" si="179"/>
        <v/>
      </c>
      <c r="JX131" s="51"/>
      <c r="JY131" s="108" t="str">
        <f t="shared" si="95"/>
        <v/>
      </c>
      <c r="JZ131" s="109" t="str">
        <f t="shared" si="180"/>
        <v/>
      </c>
      <c r="KA131" s="109" t="str">
        <f t="shared" si="96"/>
        <v/>
      </c>
      <c r="KB131" s="110" t="str">
        <f t="shared" si="200"/>
        <v/>
      </c>
      <c r="KC131" s="51"/>
      <c r="KD131" s="108" t="str">
        <f t="shared" si="181"/>
        <v/>
      </c>
      <c r="KE131" s="109" t="str">
        <f t="shared" si="182"/>
        <v/>
      </c>
      <c r="KF131" s="109" t="str">
        <f t="shared" si="97"/>
        <v/>
      </c>
      <c r="KG131" s="110" t="str">
        <f t="shared" si="98"/>
        <v/>
      </c>
    </row>
    <row r="132" spans="1:293" ht="12" customHeight="1">
      <c r="A132" s="105">
        <f t="array" ref="A132">MAX(IF($J$80:J131&gt;0,$C$80:C131,0))</f>
        <v>43535</v>
      </c>
      <c r="B132" s="81" t="str">
        <f t="shared" si="4"/>
        <v/>
      </c>
      <c r="C132" s="82">
        <f t="shared" si="5"/>
        <v>0</v>
      </c>
      <c r="D132" s="83" t="str">
        <f t="shared" si="6"/>
        <v/>
      </c>
      <c r="E132" s="83" t="str">
        <f t="shared" si="99"/>
        <v/>
      </c>
      <c r="F132" s="83" t="str">
        <f t="shared" si="7"/>
        <v/>
      </c>
      <c r="G132" s="83" t="str">
        <f t="shared" si="8"/>
        <v/>
      </c>
      <c r="H132" s="83" t="str">
        <f t="shared" si="9"/>
        <v/>
      </c>
      <c r="I132" s="105">
        <f t="array" ref="I132">MAX(IF($R$80:R131&gt;0,$L$80:L131,0))</f>
        <v>0</v>
      </c>
      <c r="J132" s="106"/>
      <c r="K132" s="2" t="str">
        <f t="shared" si="10"/>
        <v/>
      </c>
      <c r="L132" s="82">
        <f t="shared" si="183"/>
        <v>0</v>
      </c>
      <c r="M132" s="83" t="str">
        <f t="shared" si="11"/>
        <v/>
      </c>
      <c r="N132" s="83" t="str">
        <f t="shared" si="12"/>
        <v/>
      </c>
      <c r="O132" s="83" t="str">
        <f t="shared" si="13"/>
        <v/>
      </c>
      <c r="P132" s="83" t="str">
        <f t="shared" si="14"/>
        <v/>
      </c>
      <c r="Q132" s="83" t="str">
        <f t="shared" si="15"/>
        <v/>
      </c>
      <c r="R132" s="106"/>
      <c r="S132" s="1"/>
      <c r="U132" s="85" t="e">
        <f t="shared" si="0"/>
        <v>#NUM!</v>
      </c>
      <c r="V132" s="86" t="e">
        <f t="shared" si="100"/>
        <v>#NUM!</v>
      </c>
      <c r="W132" s="87" t="e">
        <f t="shared" si="16"/>
        <v>#NUM!</v>
      </c>
      <c r="X132" s="87" t="e">
        <f t="shared" si="17"/>
        <v>#NUM!</v>
      </c>
      <c r="Y132" s="87" t="e">
        <f t="shared" si="18"/>
        <v>#NUM!</v>
      </c>
      <c r="Z132" s="88" t="e">
        <f t="shared" si="1"/>
        <v>#NUM!</v>
      </c>
      <c r="AA132" t="s">
        <v>282</v>
      </c>
      <c r="AB132" s="89">
        <f t="shared" si="101"/>
        <v>0</v>
      </c>
      <c r="AC132" s="87">
        <f t="shared" si="19"/>
        <v>0</v>
      </c>
      <c r="AD132" s="87" t="str">
        <f t="shared" si="20"/>
        <v/>
      </c>
      <c r="AE132" s="87" t="str">
        <f t="shared" si="21"/>
        <v/>
      </c>
      <c r="AF132" s="86">
        <f t="shared" si="102"/>
        <v>0</v>
      </c>
      <c r="AG132" s="87">
        <f t="shared" si="2"/>
        <v>0</v>
      </c>
      <c r="AH132" s="87">
        <f t="shared" si="103"/>
        <v>0</v>
      </c>
      <c r="AI132" s="90"/>
      <c r="AJ132" s="87" t="e">
        <f t="shared" si="22"/>
        <v>#NUM!</v>
      </c>
      <c r="AK132" s="87" t="e">
        <f t="shared" si="104"/>
        <v>#NUM!</v>
      </c>
      <c r="AL132" s="87" t="e">
        <f t="shared" si="105"/>
        <v>#NUM!</v>
      </c>
      <c r="AM132" s="87" t="e">
        <f t="shared" si="106"/>
        <v>#NUM!</v>
      </c>
      <c r="AN132" s="86">
        <f t="shared" si="23"/>
        <v>0</v>
      </c>
      <c r="AO132" s="87">
        <f t="shared" si="24"/>
        <v>0</v>
      </c>
      <c r="AP132" s="88">
        <f t="shared" si="25"/>
        <v>0</v>
      </c>
      <c r="AR132" s="91">
        <f t="shared" si="26"/>
        <v>0</v>
      </c>
      <c r="AS132" s="92">
        <f t="shared" si="27"/>
        <v>0</v>
      </c>
      <c r="AT132" s="87" t="str">
        <f t="shared" si="28"/>
        <v/>
      </c>
      <c r="AU132" s="87" t="str">
        <f t="shared" si="29"/>
        <v/>
      </c>
      <c r="AV132" s="86">
        <f t="shared" si="107"/>
        <v>0</v>
      </c>
      <c r="AW132" s="87">
        <f t="shared" si="108"/>
        <v>0</v>
      </c>
      <c r="AX132" s="87">
        <f t="shared" si="109"/>
        <v>0</v>
      </c>
      <c r="AY132" s="93"/>
      <c r="AZ132" s="87">
        <f t="shared" si="201"/>
        <v>0</v>
      </c>
      <c r="BA132" s="87">
        <f t="shared" si="110"/>
        <v>0</v>
      </c>
      <c r="BB132" s="87">
        <f t="shared" si="111"/>
        <v>0</v>
      </c>
      <c r="BC132" s="87">
        <f t="shared" si="184"/>
        <v>0</v>
      </c>
      <c r="BD132" s="86" t="e">
        <f t="shared" si="30"/>
        <v>#NUM!</v>
      </c>
      <c r="BE132" s="87" t="e">
        <f t="shared" si="3"/>
        <v>#NUM!</v>
      </c>
      <c r="BF132" s="88">
        <f t="shared" si="112"/>
        <v>0</v>
      </c>
      <c r="BH132" s="87" t="e">
        <f t="shared" si="31"/>
        <v>#NUM!</v>
      </c>
      <c r="BK132" s="95">
        <v>40658</v>
      </c>
      <c r="BL132" s="96">
        <v>53</v>
      </c>
      <c r="CY132" s="108" t="str">
        <f t="shared" si="32"/>
        <v/>
      </c>
      <c r="CZ132" s="109" t="str">
        <f t="shared" si="33"/>
        <v/>
      </c>
      <c r="DA132" s="109" t="str">
        <f t="shared" si="34"/>
        <v/>
      </c>
      <c r="DB132" s="110" t="str">
        <f t="shared" si="225"/>
        <v/>
      </c>
      <c r="DD132" s="108" t="str">
        <f t="shared" si="36"/>
        <v/>
      </c>
      <c r="DE132" s="109" t="str">
        <f t="shared" si="114"/>
        <v/>
      </c>
      <c r="DF132" s="109" t="str">
        <f t="shared" si="37"/>
        <v/>
      </c>
      <c r="DG132" s="110" t="str">
        <f t="shared" si="226"/>
        <v/>
      </c>
      <c r="DI132" s="108" t="str">
        <f t="shared" si="115"/>
        <v/>
      </c>
      <c r="DJ132" s="109" t="str">
        <f t="shared" si="116"/>
        <v/>
      </c>
      <c r="DK132" s="109" t="str">
        <f t="shared" si="39"/>
        <v/>
      </c>
      <c r="DL132" s="110" t="str">
        <f t="shared" si="227"/>
        <v/>
      </c>
      <c r="DN132" s="108" t="str">
        <f t="shared" si="41"/>
        <v/>
      </c>
      <c r="DO132" s="109" t="str">
        <f t="shared" si="42"/>
        <v/>
      </c>
      <c r="DP132" s="109" t="str">
        <f t="shared" si="43"/>
        <v/>
      </c>
      <c r="DQ132" s="110" t="str">
        <f t="shared" si="228"/>
        <v/>
      </c>
      <c r="DS132" s="108" t="str">
        <f t="shared" si="117"/>
        <v/>
      </c>
      <c r="DT132" s="109" t="str">
        <f t="shared" si="118"/>
        <v/>
      </c>
      <c r="DU132" s="109" t="str">
        <f t="shared" si="45"/>
        <v/>
      </c>
      <c r="DV132" s="110" t="str">
        <f t="shared" si="229"/>
        <v/>
      </c>
      <c r="DX132" s="108" t="str">
        <f t="shared" si="46"/>
        <v/>
      </c>
      <c r="DY132" s="109" t="str">
        <f t="shared" si="119"/>
        <v/>
      </c>
      <c r="DZ132" s="109" t="str">
        <f t="shared" si="47"/>
        <v/>
      </c>
      <c r="EA132" s="110" t="str">
        <f t="shared" si="230"/>
        <v/>
      </c>
      <c r="EC132" s="108" t="str">
        <f t="shared" si="121"/>
        <v/>
      </c>
      <c r="ED132" s="109" t="str">
        <f t="shared" si="122"/>
        <v/>
      </c>
      <c r="EE132" s="109" t="str">
        <f t="shared" si="48"/>
        <v/>
      </c>
      <c r="EF132" s="110" t="str">
        <f t="shared" si="231"/>
        <v/>
      </c>
      <c r="EH132" s="108" t="str">
        <f t="shared" si="49"/>
        <v/>
      </c>
      <c r="EI132" s="109" t="str">
        <f t="shared" si="123"/>
        <v/>
      </c>
      <c r="EJ132" s="109" t="str">
        <f t="shared" si="50"/>
        <v/>
      </c>
      <c r="EK132" s="110" t="str">
        <f t="shared" si="232"/>
        <v/>
      </c>
      <c r="EM132" s="108" t="str">
        <f t="shared" si="125"/>
        <v/>
      </c>
      <c r="EN132" s="109" t="str">
        <f t="shared" si="126"/>
        <v/>
      </c>
      <c r="EO132" s="109" t="str">
        <f t="shared" si="51"/>
        <v/>
      </c>
      <c r="EP132" s="110" t="str">
        <f t="shared" si="233"/>
        <v/>
      </c>
      <c r="ER132" s="108" t="str">
        <f t="shared" si="52"/>
        <v/>
      </c>
      <c r="ES132" s="109" t="str">
        <f t="shared" si="127"/>
        <v/>
      </c>
      <c r="ET132" s="109" t="str">
        <f t="shared" si="53"/>
        <v/>
      </c>
      <c r="EU132" s="110" t="str">
        <f t="shared" si="234"/>
        <v/>
      </c>
      <c r="EW132" s="108" t="str">
        <f t="shared" si="129"/>
        <v/>
      </c>
      <c r="EX132" s="109" t="str">
        <f t="shared" si="130"/>
        <v/>
      </c>
      <c r="EY132" s="109" t="str">
        <f t="shared" si="54"/>
        <v/>
      </c>
      <c r="EZ132" s="110" t="str">
        <f t="shared" si="235"/>
        <v/>
      </c>
      <c r="FB132" s="108" t="str">
        <f t="shared" si="55"/>
        <v/>
      </c>
      <c r="FC132" s="109" t="str">
        <f t="shared" si="131"/>
        <v/>
      </c>
      <c r="FD132" s="109" t="str">
        <f t="shared" si="56"/>
        <v/>
      </c>
      <c r="FE132" s="110" t="str">
        <f t="shared" si="236"/>
        <v/>
      </c>
      <c r="FG132" s="108" t="str">
        <f t="shared" si="133"/>
        <v/>
      </c>
      <c r="FH132" s="109" t="str">
        <f t="shared" si="134"/>
        <v/>
      </c>
      <c r="FI132" s="109" t="str">
        <f t="shared" si="57"/>
        <v/>
      </c>
      <c r="FJ132" s="110" t="str">
        <f t="shared" si="237"/>
        <v/>
      </c>
      <c r="FL132" s="108" t="str">
        <f t="shared" si="58"/>
        <v/>
      </c>
      <c r="FM132" s="109" t="str">
        <f t="shared" si="135"/>
        <v/>
      </c>
      <c r="FN132" s="109" t="str">
        <f t="shared" si="59"/>
        <v/>
      </c>
      <c r="FO132" s="110" t="str">
        <f t="shared" si="238"/>
        <v/>
      </c>
      <c r="FQ132" s="108" t="str">
        <f t="shared" si="137"/>
        <v/>
      </c>
      <c r="FR132" s="109" t="str">
        <f t="shared" si="138"/>
        <v/>
      </c>
      <c r="FS132" s="109" t="str">
        <f t="shared" si="60"/>
        <v/>
      </c>
      <c r="FT132" s="110" t="str">
        <f t="shared" si="239"/>
        <v/>
      </c>
      <c r="FV132" s="108" t="str">
        <f t="shared" si="61"/>
        <v/>
      </c>
      <c r="FW132" s="109" t="str">
        <f t="shared" si="139"/>
        <v/>
      </c>
      <c r="FX132" s="109" t="str">
        <f t="shared" si="62"/>
        <v/>
      </c>
      <c r="FY132" s="110" t="str">
        <f t="shared" si="240"/>
        <v/>
      </c>
      <c r="GA132" s="108" t="str">
        <f t="shared" si="141"/>
        <v/>
      </c>
      <c r="GB132" s="109" t="str">
        <f t="shared" si="142"/>
        <v/>
      </c>
      <c r="GC132" s="109" t="str">
        <f t="shared" si="63"/>
        <v/>
      </c>
      <c r="GD132" s="110" t="str">
        <f t="shared" si="241"/>
        <v/>
      </c>
      <c r="GF132" s="108" t="str">
        <f t="shared" si="64"/>
        <v/>
      </c>
      <c r="GG132" s="109" t="str">
        <f t="shared" si="143"/>
        <v/>
      </c>
      <c r="GH132" s="109" t="str">
        <f t="shared" si="65"/>
        <v/>
      </c>
      <c r="GI132" s="110" t="str">
        <f t="shared" si="242"/>
        <v/>
      </c>
      <c r="GK132" s="108" t="str">
        <f t="shared" si="145"/>
        <v/>
      </c>
      <c r="GL132" s="109" t="str">
        <f t="shared" si="146"/>
        <v/>
      </c>
      <c r="GM132" s="109" t="str">
        <f t="shared" si="147"/>
        <v/>
      </c>
      <c r="GN132" s="110" t="str">
        <f t="shared" si="243"/>
        <v/>
      </c>
      <c r="GR132" s="108" t="str">
        <f t="shared" si="66"/>
        <v/>
      </c>
      <c r="GS132" s="109" t="str">
        <f t="shared" si="67"/>
        <v/>
      </c>
      <c r="GT132" s="109" t="str">
        <f t="shared" si="68"/>
        <v/>
      </c>
      <c r="GU132" s="110" t="str">
        <f t="shared" si="69"/>
        <v/>
      </c>
      <c r="GV132" s="51"/>
      <c r="GW132" s="108" t="str">
        <f t="shared" si="70"/>
        <v/>
      </c>
      <c r="GX132" s="109" t="str">
        <f t="shared" si="148"/>
        <v/>
      </c>
      <c r="GY132" s="109" t="str">
        <f t="shared" si="71"/>
        <v/>
      </c>
      <c r="GZ132" s="110" t="str">
        <f t="shared" si="72"/>
        <v/>
      </c>
      <c r="HA132" s="51"/>
      <c r="HB132" s="108" t="str">
        <f t="shared" si="149"/>
        <v/>
      </c>
      <c r="HC132" s="109" t="str">
        <f t="shared" si="150"/>
        <v/>
      </c>
      <c r="HD132" s="109" t="str">
        <f t="shared" si="73"/>
        <v/>
      </c>
      <c r="HE132" s="110" t="str">
        <f t="shared" si="151"/>
        <v/>
      </c>
      <c r="HF132" s="51"/>
      <c r="HG132" s="108" t="str">
        <f t="shared" si="74"/>
        <v/>
      </c>
      <c r="HH132" s="109" t="str">
        <f t="shared" si="152"/>
        <v/>
      </c>
      <c r="HI132" s="109" t="str">
        <f t="shared" si="75"/>
        <v/>
      </c>
      <c r="HJ132" s="110" t="str">
        <f t="shared" si="193"/>
        <v/>
      </c>
      <c r="HK132" s="51"/>
      <c r="HL132" s="108" t="str">
        <f t="shared" si="153"/>
        <v/>
      </c>
      <c r="HM132" s="109" t="str">
        <f t="shared" si="154"/>
        <v/>
      </c>
      <c r="HN132" s="109" t="str">
        <f t="shared" si="76"/>
        <v/>
      </c>
      <c r="HO132" s="110" t="str">
        <f t="shared" si="155"/>
        <v/>
      </c>
      <c r="HP132" s="51"/>
      <c r="HQ132" s="108" t="str">
        <f t="shared" si="77"/>
        <v/>
      </c>
      <c r="HR132" s="109" t="str">
        <f t="shared" si="156"/>
        <v/>
      </c>
      <c r="HS132" s="109" t="str">
        <f t="shared" si="78"/>
        <v/>
      </c>
      <c r="HT132" s="110" t="str">
        <f t="shared" si="194"/>
        <v/>
      </c>
      <c r="HU132" s="51"/>
      <c r="HV132" s="108" t="str">
        <f t="shared" si="157"/>
        <v/>
      </c>
      <c r="HW132" s="109" t="str">
        <f t="shared" si="158"/>
        <v/>
      </c>
      <c r="HX132" s="109" t="str">
        <f t="shared" si="79"/>
        <v/>
      </c>
      <c r="HY132" s="110" t="str">
        <f t="shared" si="159"/>
        <v/>
      </c>
      <c r="HZ132" s="51"/>
      <c r="IA132" s="108" t="str">
        <f t="shared" si="80"/>
        <v/>
      </c>
      <c r="IB132" s="109" t="str">
        <f t="shared" si="160"/>
        <v/>
      </c>
      <c r="IC132" s="109" t="str">
        <f t="shared" si="81"/>
        <v/>
      </c>
      <c r="ID132" s="110" t="str">
        <f t="shared" si="195"/>
        <v/>
      </c>
      <c r="IE132" s="51"/>
      <c r="IF132" s="108" t="str">
        <f t="shared" si="161"/>
        <v/>
      </c>
      <c r="IG132" s="109" t="str">
        <f t="shared" si="162"/>
        <v/>
      </c>
      <c r="IH132" s="109" t="str">
        <f t="shared" si="82"/>
        <v/>
      </c>
      <c r="II132" s="110" t="str">
        <f t="shared" si="163"/>
        <v/>
      </c>
      <c r="IJ132" s="51"/>
      <c r="IK132" s="108" t="str">
        <f t="shared" si="83"/>
        <v/>
      </c>
      <c r="IL132" s="109" t="str">
        <f t="shared" si="164"/>
        <v/>
      </c>
      <c r="IM132" s="109" t="str">
        <f t="shared" si="84"/>
        <v/>
      </c>
      <c r="IN132" s="110" t="str">
        <f t="shared" si="196"/>
        <v/>
      </c>
      <c r="IO132" s="51"/>
      <c r="IP132" s="108" t="str">
        <f t="shared" si="165"/>
        <v/>
      </c>
      <c r="IQ132" s="109" t="str">
        <f t="shared" si="166"/>
        <v/>
      </c>
      <c r="IR132" s="109" t="str">
        <f t="shared" si="85"/>
        <v/>
      </c>
      <c r="IS132" s="110" t="str">
        <f t="shared" si="167"/>
        <v/>
      </c>
      <c r="IT132" s="51"/>
      <c r="IU132" s="108" t="str">
        <f t="shared" si="86"/>
        <v/>
      </c>
      <c r="IV132" s="109" t="str">
        <f t="shared" si="168"/>
        <v/>
      </c>
      <c r="IW132" s="109" t="str">
        <f t="shared" si="87"/>
        <v/>
      </c>
      <c r="IX132" s="110" t="str">
        <f t="shared" si="197"/>
        <v/>
      </c>
      <c r="IY132" s="51"/>
      <c r="IZ132" s="108" t="str">
        <f t="shared" si="169"/>
        <v/>
      </c>
      <c r="JA132" s="109" t="str">
        <f t="shared" si="170"/>
        <v/>
      </c>
      <c r="JB132" s="109" t="str">
        <f t="shared" si="88"/>
        <v/>
      </c>
      <c r="JC132" s="110" t="str">
        <f t="shared" si="171"/>
        <v/>
      </c>
      <c r="JD132" s="51"/>
      <c r="JE132" s="108" t="str">
        <f t="shared" si="89"/>
        <v/>
      </c>
      <c r="JF132" s="109" t="str">
        <f t="shared" si="172"/>
        <v/>
      </c>
      <c r="JG132" s="109" t="str">
        <f t="shared" si="90"/>
        <v/>
      </c>
      <c r="JH132" s="110" t="str">
        <f t="shared" si="198"/>
        <v/>
      </c>
      <c r="JI132" s="51"/>
      <c r="JJ132" s="108" t="str">
        <f t="shared" si="173"/>
        <v/>
      </c>
      <c r="JK132" s="109" t="str">
        <f t="shared" si="174"/>
        <v/>
      </c>
      <c r="JL132" s="109" t="str">
        <f t="shared" si="91"/>
        <v/>
      </c>
      <c r="JM132" s="110" t="str">
        <f t="shared" si="175"/>
        <v/>
      </c>
      <c r="JN132" s="51"/>
      <c r="JO132" s="108" t="str">
        <f t="shared" si="92"/>
        <v/>
      </c>
      <c r="JP132" s="109" t="str">
        <f t="shared" si="176"/>
        <v/>
      </c>
      <c r="JQ132" s="109" t="str">
        <f t="shared" si="93"/>
        <v/>
      </c>
      <c r="JR132" s="110" t="str">
        <f t="shared" si="199"/>
        <v/>
      </c>
      <c r="JS132" s="51"/>
      <c r="JT132" s="108" t="str">
        <f t="shared" si="177"/>
        <v/>
      </c>
      <c r="JU132" s="109" t="str">
        <f t="shared" si="178"/>
        <v/>
      </c>
      <c r="JV132" s="109" t="str">
        <f t="shared" si="94"/>
        <v/>
      </c>
      <c r="JW132" s="110" t="str">
        <f t="shared" si="179"/>
        <v/>
      </c>
      <c r="JX132" s="51"/>
      <c r="JY132" s="108" t="str">
        <f t="shared" si="95"/>
        <v/>
      </c>
      <c r="JZ132" s="109" t="str">
        <f t="shared" si="180"/>
        <v/>
      </c>
      <c r="KA132" s="109" t="str">
        <f t="shared" si="96"/>
        <v/>
      </c>
      <c r="KB132" s="110" t="str">
        <f t="shared" si="200"/>
        <v/>
      </c>
      <c r="KC132" s="51"/>
      <c r="KD132" s="108" t="str">
        <f t="shared" si="181"/>
        <v/>
      </c>
      <c r="KE132" s="109" t="str">
        <f t="shared" si="182"/>
        <v/>
      </c>
      <c r="KF132" s="109" t="str">
        <f t="shared" si="97"/>
        <v/>
      </c>
      <c r="KG132" s="110" t="str">
        <f t="shared" si="98"/>
        <v/>
      </c>
    </row>
    <row r="133" spans="1:293" ht="12" customHeight="1">
      <c r="A133" s="105">
        <f t="array" ref="A133">MAX(IF($J$80:J132&gt;0,$C$80:C132,0))</f>
        <v>43535</v>
      </c>
      <c r="B133" s="81" t="str">
        <f t="shared" si="4"/>
        <v/>
      </c>
      <c r="C133" s="82">
        <f t="shared" si="5"/>
        <v>0</v>
      </c>
      <c r="D133" s="83" t="str">
        <f t="shared" si="6"/>
        <v/>
      </c>
      <c r="E133" s="83" t="str">
        <f t="shared" si="99"/>
        <v/>
      </c>
      <c r="F133" s="83" t="str">
        <f t="shared" si="7"/>
        <v/>
      </c>
      <c r="G133" s="83" t="str">
        <f t="shared" si="8"/>
        <v/>
      </c>
      <c r="H133" s="83" t="str">
        <f t="shared" si="9"/>
        <v/>
      </c>
      <c r="I133" s="105">
        <f t="array" ref="I133">MAX(IF($R$80:R132&gt;0,$L$80:L132,0))</f>
        <v>0</v>
      </c>
      <c r="J133" s="106"/>
      <c r="K133" s="2" t="str">
        <f t="shared" si="10"/>
        <v/>
      </c>
      <c r="L133" s="82">
        <f t="shared" si="183"/>
        <v>0</v>
      </c>
      <c r="M133" s="83" t="str">
        <f t="shared" si="11"/>
        <v/>
      </c>
      <c r="N133" s="83" t="str">
        <f t="shared" si="12"/>
        <v/>
      </c>
      <c r="O133" s="83" t="str">
        <f t="shared" si="13"/>
        <v/>
      </c>
      <c r="P133" s="83" t="str">
        <f t="shared" si="14"/>
        <v/>
      </c>
      <c r="Q133" s="83" t="str">
        <f t="shared" si="15"/>
        <v/>
      </c>
      <c r="R133" s="106"/>
      <c r="S133" s="1"/>
      <c r="U133" s="85" t="e">
        <f t="shared" si="0"/>
        <v>#NUM!</v>
      </c>
      <c r="V133" s="86" t="e">
        <f t="shared" si="100"/>
        <v>#NUM!</v>
      </c>
      <c r="W133" s="87" t="e">
        <f t="shared" si="16"/>
        <v>#NUM!</v>
      </c>
      <c r="X133" s="87" t="e">
        <f t="shared" si="17"/>
        <v>#NUM!</v>
      </c>
      <c r="Y133" s="87" t="e">
        <f t="shared" si="18"/>
        <v>#NUM!</v>
      </c>
      <c r="Z133" s="88" t="e">
        <f t="shared" si="1"/>
        <v>#NUM!</v>
      </c>
      <c r="AA133" t="s">
        <v>282</v>
      </c>
      <c r="AB133" s="89">
        <f t="shared" si="101"/>
        <v>0</v>
      </c>
      <c r="AC133" s="87">
        <f t="shared" si="19"/>
        <v>0</v>
      </c>
      <c r="AD133" s="87" t="str">
        <f t="shared" si="20"/>
        <v/>
      </c>
      <c r="AE133" s="87" t="str">
        <f t="shared" si="21"/>
        <v/>
      </c>
      <c r="AF133" s="86">
        <f t="shared" si="102"/>
        <v>0</v>
      </c>
      <c r="AG133" s="87">
        <f t="shared" si="2"/>
        <v>0</v>
      </c>
      <c r="AH133" s="87">
        <f t="shared" si="103"/>
        <v>0</v>
      </c>
      <c r="AI133" s="90"/>
      <c r="AJ133" s="87" t="e">
        <f t="shared" si="22"/>
        <v>#NUM!</v>
      </c>
      <c r="AK133" s="87" t="e">
        <f t="shared" si="104"/>
        <v>#NUM!</v>
      </c>
      <c r="AL133" s="87" t="e">
        <f t="shared" si="105"/>
        <v>#NUM!</v>
      </c>
      <c r="AM133" s="87" t="e">
        <f t="shared" si="106"/>
        <v>#NUM!</v>
      </c>
      <c r="AN133" s="86">
        <f t="shared" si="23"/>
        <v>0</v>
      </c>
      <c r="AO133" s="87">
        <f t="shared" si="24"/>
        <v>0</v>
      </c>
      <c r="AP133" s="88">
        <f t="shared" si="25"/>
        <v>0</v>
      </c>
      <c r="AR133" s="91">
        <f t="shared" si="26"/>
        <v>0</v>
      </c>
      <c r="AS133" s="92">
        <f t="shared" si="27"/>
        <v>0</v>
      </c>
      <c r="AT133" s="87" t="str">
        <f t="shared" si="28"/>
        <v/>
      </c>
      <c r="AU133" s="87" t="str">
        <f t="shared" si="29"/>
        <v/>
      </c>
      <c r="AV133" s="86">
        <f t="shared" si="107"/>
        <v>0</v>
      </c>
      <c r="AW133" s="87">
        <f t="shared" si="108"/>
        <v>0</v>
      </c>
      <c r="AX133" s="87">
        <f t="shared" si="109"/>
        <v>0</v>
      </c>
      <c r="AY133" s="93"/>
      <c r="AZ133" s="87">
        <f t="shared" si="201"/>
        <v>0</v>
      </c>
      <c r="BA133" s="87">
        <f t="shared" si="110"/>
        <v>0</v>
      </c>
      <c r="BB133" s="87">
        <f t="shared" si="111"/>
        <v>0</v>
      </c>
      <c r="BC133" s="87">
        <f t="shared" si="184"/>
        <v>0</v>
      </c>
      <c r="BD133" s="86" t="e">
        <f t="shared" si="30"/>
        <v>#NUM!</v>
      </c>
      <c r="BE133" s="87" t="e">
        <f t="shared" si="3"/>
        <v>#NUM!</v>
      </c>
      <c r="BF133" s="88">
        <f t="shared" si="112"/>
        <v>0</v>
      </c>
      <c r="BH133" s="87" t="e">
        <f t="shared" si="31"/>
        <v>#NUM!</v>
      </c>
      <c r="BK133" s="95">
        <v>40672</v>
      </c>
      <c r="BL133" s="96">
        <v>54</v>
      </c>
      <c r="CY133" s="108" t="str">
        <f t="shared" si="32"/>
        <v/>
      </c>
      <c r="CZ133" s="109" t="str">
        <f t="shared" si="33"/>
        <v/>
      </c>
      <c r="DA133" s="109" t="str">
        <f t="shared" si="34"/>
        <v/>
      </c>
      <c r="DB133" s="110" t="str">
        <f t="shared" si="225"/>
        <v/>
      </c>
      <c r="DD133" s="108" t="str">
        <f t="shared" si="36"/>
        <v/>
      </c>
      <c r="DE133" s="109" t="str">
        <f t="shared" si="114"/>
        <v/>
      </c>
      <c r="DF133" s="109" t="str">
        <f t="shared" si="37"/>
        <v/>
      </c>
      <c r="DG133" s="110" t="str">
        <f t="shared" si="226"/>
        <v/>
      </c>
      <c r="DI133" s="108" t="str">
        <f t="shared" si="115"/>
        <v/>
      </c>
      <c r="DJ133" s="109" t="str">
        <f t="shared" si="116"/>
        <v/>
      </c>
      <c r="DK133" s="109" t="str">
        <f t="shared" si="39"/>
        <v/>
      </c>
      <c r="DL133" s="110" t="str">
        <f t="shared" si="227"/>
        <v/>
      </c>
      <c r="DN133" s="108" t="str">
        <f t="shared" si="41"/>
        <v/>
      </c>
      <c r="DO133" s="109" t="str">
        <f t="shared" si="42"/>
        <v/>
      </c>
      <c r="DP133" s="109" t="str">
        <f t="shared" si="43"/>
        <v/>
      </c>
      <c r="DQ133" s="110" t="str">
        <f t="shared" si="228"/>
        <v/>
      </c>
      <c r="DS133" s="108" t="str">
        <f t="shared" si="117"/>
        <v/>
      </c>
      <c r="DT133" s="109" t="str">
        <f t="shared" si="118"/>
        <v/>
      </c>
      <c r="DU133" s="109" t="str">
        <f t="shared" si="45"/>
        <v/>
      </c>
      <c r="DV133" s="110" t="str">
        <f t="shared" si="229"/>
        <v/>
      </c>
      <c r="DX133" s="108" t="str">
        <f t="shared" si="46"/>
        <v/>
      </c>
      <c r="DY133" s="109" t="str">
        <f t="shared" si="119"/>
        <v/>
      </c>
      <c r="DZ133" s="109" t="str">
        <f t="shared" si="47"/>
        <v/>
      </c>
      <c r="EA133" s="110" t="str">
        <f t="shared" si="230"/>
        <v/>
      </c>
      <c r="EC133" s="108" t="str">
        <f t="shared" si="121"/>
        <v/>
      </c>
      <c r="ED133" s="109" t="str">
        <f t="shared" si="122"/>
        <v/>
      </c>
      <c r="EE133" s="109" t="str">
        <f t="shared" si="48"/>
        <v/>
      </c>
      <c r="EF133" s="110" t="str">
        <f t="shared" si="231"/>
        <v/>
      </c>
      <c r="EH133" s="108" t="str">
        <f t="shared" si="49"/>
        <v/>
      </c>
      <c r="EI133" s="109" t="str">
        <f t="shared" si="123"/>
        <v/>
      </c>
      <c r="EJ133" s="109" t="str">
        <f t="shared" si="50"/>
        <v/>
      </c>
      <c r="EK133" s="110" t="str">
        <f t="shared" si="232"/>
        <v/>
      </c>
      <c r="EM133" s="108" t="str">
        <f t="shared" si="125"/>
        <v/>
      </c>
      <c r="EN133" s="109" t="str">
        <f t="shared" si="126"/>
        <v/>
      </c>
      <c r="EO133" s="109" t="str">
        <f t="shared" si="51"/>
        <v/>
      </c>
      <c r="EP133" s="110" t="str">
        <f t="shared" si="233"/>
        <v/>
      </c>
      <c r="ER133" s="108" t="str">
        <f t="shared" si="52"/>
        <v/>
      </c>
      <c r="ES133" s="109" t="str">
        <f t="shared" si="127"/>
        <v/>
      </c>
      <c r="ET133" s="109" t="str">
        <f t="shared" si="53"/>
        <v/>
      </c>
      <c r="EU133" s="110" t="str">
        <f t="shared" si="234"/>
        <v/>
      </c>
      <c r="EW133" s="108" t="str">
        <f t="shared" si="129"/>
        <v/>
      </c>
      <c r="EX133" s="109" t="str">
        <f t="shared" si="130"/>
        <v/>
      </c>
      <c r="EY133" s="109" t="str">
        <f t="shared" si="54"/>
        <v/>
      </c>
      <c r="EZ133" s="110" t="str">
        <f t="shared" si="235"/>
        <v/>
      </c>
      <c r="FB133" s="108" t="str">
        <f t="shared" si="55"/>
        <v/>
      </c>
      <c r="FC133" s="109" t="str">
        <f t="shared" si="131"/>
        <v/>
      </c>
      <c r="FD133" s="109" t="str">
        <f t="shared" si="56"/>
        <v/>
      </c>
      <c r="FE133" s="110" t="str">
        <f t="shared" si="236"/>
        <v/>
      </c>
      <c r="FG133" s="108" t="str">
        <f t="shared" si="133"/>
        <v/>
      </c>
      <c r="FH133" s="109" t="str">
        <f t="shared" si="134"/>
        <v/>
      </c>
      <c r="FI133" s="109" t="str">
        <f t="shared" si="57"/>
        <v/>
      </c>
      <c r="FJ133" s="110" t="str">
        <f t="shared" si="237"/>
        <v/>
      </c>
      <c r="FL133" s="108" t="str">
        <f t="shared" si="58"/>
        <v/>
      </c>
      <c r="FM133" s="109" t="str">
        <f t="shared" si="135"/>
        <v/>
      </c>
      <c r="FN133" s="109" t="str">
        <f t="shared" si="59"/>
        <v/>
      </c>
      <c r="FO133" s="110" t="str">
        <f t="shared" si="238"/>
        <v/>
      </c>
      <c r="FQ133" s="108" t="str">
        <f t="shared" si="137"/>
        <v/>
      </c>
      <c r="FR133" s="109" t="str">
        <f t="shared" si="138"/>
        <v/>
      </c>
      <c r="FS133" s="109" t="str">
        <f t="shared" si="60"/>
        <v/>
      </c>
      <c r="FT133" s="110" t="str">
        <f t="shared" si="239"/>
        <v/>
      </c>
      <c r="FV133" s="108" t="str">
        <f t="shared" si="61"/>
        <v/>
      </c>
      <c r="FW133" s="109" t="str">
        <f t="shared" si="139"/>
        <v/>
      </c>
      <c r="FX133" s="109" t="str">
        <f t="shared" si="62"/>
        <v/>
      </c>
      <c r="FY133" s="110" t="str">
        <f t="shared" si="240"/>
        <v/>
      </c>
      <c r="GA133" s="108" t="str">
        <f t="shared" si="141"/>
        <v/>
      </c>
      <c r="GB133" s="109" t="str">
        <f t="shared" si="142"/>
        <v/>
      </c>
      <c r="GC133" s="109" t="str">
        <f t="shared" si="63"/>
        <v/>
      </c>
      <c r="GD133" s="110" t="str">
        <f t="shared" si="241"/>
        <v/>
      </c>
      <c r="GF133" s="108" t="str">
        <f t="shared" si="64"/>
        <v/>
      </c>
      <c r="GG133" s="109" t="str">
        <f t="shared" si="143"/>
        <v/>
      </c>
      <c r="GH133" s="109" t="str">
        <f t="shared" si="65"/>
        <v/>
      </c>
      <c r="GI133" s="110" t="str">
        <f t="shared" si="242"/>
        <v/>
      </c>
      <c r="GK133" s="108" t="str">
        <f t="shared" si="145"/>
        <v/>
      </c>
      <c r="GL133" s="109" t="str">
        <f t="shared" si="146"/>
        <v/>
      </c>
      <c r="GM133" s="109" t="str">
        <f t="shared" si="147"/>
        <v/>
      </c>
      <c r="GN133" s="110" t="str">
        <f t="shared" si="243"/>
        <v/>
      </c>
      <c r="GR133" s="108" t="str">
        <f t="shared" si="66"/>
        <v/>
      </c>
      <c r="GS133" s="109" t="str">
        <f t="shared" si="67"/>
        <v/>
      </c>
      <c r="GT133" s="109" t="str">
        <f t="shared" si="68"/>
        <v/>
      </c>
      <c r="GU133" s="110" t="str">
        <f t="shared" si="69"/>
        <v/>
      </c>
      <c r="GV133" s="51"/>
      <c r="GW133" s="108" t="str">
        <f t="shared" si="70"/>
        <v/>
      </c>
      <c r="GX133" s="109" t="str">
        <f t="shared" si="148"/>
        <v/>
      </c>
      <c r="GY133" s="109" t="str">
        <f t="shared" si="71"/>
        <v/>
      </c>
      <c r="GZ133" s="110" t="str">
        <f t="shared" si="72"/>
        <v/>
      </c>
      <c r="HA133" s="51"/>
      <c r="HB133" s="108" t="str">
        <f t="shared" si="149"/>
        <v/>
      </c>
      <c r="HC133" s="109" t="str">
        <f t="shared" si="150"/>
        <v/>
      </c>
      <c r="HD133" s="109" t="str">
        <f t="shared" si="73"/>
        <v/>
      </c>
      <c r="HE133" s="110" t="str">
        <f t="shared" si="151"/>
        <v/>
      </c>
      <c r="HF133" s="51"/>
      <c r="HG133" s="108" t="str">
        <f t="shared" si="74"/>
        <v/>
      </c>
      <c r="HH133" s="109" t="str">
        <f t="shared" si="152"/>
        <v/>
      </c>
      <c r="HI133" s="109" t="str">
        <f t="shared" si="75"/>
        <v/>
      </c>
      <c r="HJ133" s="110" t="str">
        <f t="shared" si="193"/>
        <v/>
      </c>
      <c r="HK133" s="51"/>
      <c r="HL133" s="108" t="str">
        <f t="shared" si="153"/>
        <v/>
      </c>
      <c r="HM133" s="109" t="str">
        <f t="shared" si="154"/>
        <v/>
      </c>
      <c r="HN133" s="109" t="str">
        <f t="shared" si="76"/>
        <v/>
      </c>
      <c r="HO133" s="110" t="str">
        <f t="shared" si="155"/>
        <v/>
      </c>
      <c r="HP133" s="51"/>
      <c r="HQ133" s="108" t="str">
        <f t="shared" si="77"/>
        <v/>
      </c>
      <c r="HR133" s="109" t="str">
        <f t="shared" si="156"/>
        <v/>
      </c>
      <c r="HS133" s="109" t="str">
        <f t="shared" si="78"/>
        <v/>
      </c>
      <c r="HT133" s="110" t="str">
        <f t="shared" si="194"/>
        <v/>
      </c>
      <c r="HU133" s="51"/>
      <c r="HV133" s="108" t="str">
        <f t="shared" si="157"/>
        <v/>
      </c>
      <c r="HW133" s="109" t="str">
        <f t="shared" si="158"/>
        <v/>
      </c>
      <c r="HX133" s="109" t="str">
        <f t="shared" si="79"/>
        <v/>
      </c>
      <c r="HY133" s="110" t="str">
        <f t="shared" si="159"/>
        <v/>
      </c>
      <c r="HZ133" s="51"/>
      <c r="IA133" s="108" t="str">
        <f t="shared" si="80"/>
        <v/>
      </c>
      <c r="IB133" s="109" t="str">
        <f t="shared" si="160"/>
        <v/>
      </c>
      <c r="IC133" s="109" t="str">
        <f t="shared" si="81"/>
        <v/>
      </c>
      <c r="ID133" s="110" t="str">
        <f t="shared" si="195"/>
        <v/>
      </c>
      <c r="IE133" s="51"/>
      <c r="IF133" s="108" t="str">
        <f t="shared" si="161"/>
        <v/>
      </c>
      <c r="IG133" s="109" t="str">
        <f t="shared" si="162"/>
        <v/>
      </c>
      <c r="IH133" s="109" t="str">
        <f t="shared" si="82"/>
        <v/>
      </c>
      <c r="II133" s="110" t="str">
        <f t="shared" si="163"/>
        <v/>
      </c>
      <c r="IJ133" s="51"/>
      <c r="IK133" s="108" t="str">
        <f t="shared" si="83"/>
        <v/>
      </c>
      <c r="IL133" s="109" t="str">
        <f t="shared" si="164"/>
        <v/>
      </c>
      <c r="IM133" s="109" t="str">
        <f t="shared" si="84"/>
        <v/>
      </c>
      <c r="IN133" s="110" t="str">
        <f t="shared" si="196"/>
        <v/>
      </c>
      <c r="IO133" s="51"/>
      <c r="IP133" s="108" t="str">
        <f t="shared" si="165"/>
        <v/>
      </c>
      <c r="IQ133" s="109" t="str">
        <f t="shared" si="166"/>
        <v/>
      </c>
      <c r="IR133" s="109" t="str">
        <f t="shared" si="85"/>
        <v/>
      </c>
      <c r="IS133" s="110" t="str">
        <f t="shared" si="167"/>
        <v/>
      </c>
      <c r="IT133" s="51"/>
      <c r="IU133" s="108" t="str">
        <f t="shared" si="86"/>
        <v/>
      </c>
      <c r="IV133" s="109" t="str">
        <f t="shared" si="168"/>
        <v/>
      </c>
      <c r="IW133" s="109" t="str">
        <f t="shared" si="87"/>
        <v/>
      </c>
      <c r="IX133" s="110" t="str">
        <f t="shared" si="197"/>
        <v/>
      </c>
      <c r="IY133" s="51"/>
      <c r="IZ133" s="108" t="str">
        <f t="shared" si="169"/>
        <v/>
      </c>
      <c r="JA133" s="109" t="str">
        <f t="shared" si="170"/>
        <v/>
      </c>
      <c r="JB133" s="109" t="str">
        <f t="shared" si="88"/>
        <v/>
      </c>
      <c r="JC133" s="110" t="str">
        <f t="shared" si="171"/>
        <v/>
      </c>
      <c r="JD133" s="51"/>
      <c r="JE133" s="108" t="str">
        <f t="shared" si="89"/>
        <v/>
      </c>
      <c r="JF133" s="109" t="str">
        <f t="shared" si="172"/>
        <v/>
      </c>
      <c r="JG133" s="109" t="str">
        <f t="shared" si="90"/>
        <v/>
      </c>
      <c r="JH133" s="110" t="str">
        <f t="shared" si="198"/>
        <v/>
      </c>
      <c r="JI133" s="51"/>
      <c r="JJ133" s="108" t="str">
        <f t="shared" si="173"/>
        <v/>
      </c>
      <c r="JK133" s="109" t="str">
        <f t="shared" si="174"/>
        <v/>
      </c>
      <c r="JL133" s="109" t="str">
        <f t="shared" si="91"/>
        <v/>
      </c>
      <c r="JM133" s="110" t="str">
        <f t="shared" si="175"/>
        <v/>
      </c>
      <c r="JN133" s="51"/>
      <c r="JO133" s="108" t="str">
        <f t="shared" si="92"/>
        <v/>
      </c>
      <c r="JP133" s="109" t="str">
        <f t="shared" si="176"/>
        <v/>
      </c>
      <c r="JQ133" s="109" t="str">
        <f t="shared" si="93"/>
        <v/>
      </c>
      <c r="JR133" s="110" t="str">
        <f t="shared" si="199"/>
        <v/>
      </c>
      <c r="JS133" s="51"/>
      <c r="JT133" s="108" t="str">
        <f t="shared" si="177"/>
        <v/>
      </c>
      <c r="JU133" s="109" t="str">
        <f t="shared" si="178"/>
        <v/>
      </c>
      <c r="JV133" s="109" t="str">
        <f t="shared" si="94"/>
        <v/>
      </c>
      <c r="JW133" s="110" t="str">
        <f t="shared" si="179"/>
        <v/>
      </c>
      <c r="JX133" s="51"/>
      <c r="JY133" s="108" t="str">
        <f t="shared" si="95"/>
        <v/>
      </c>
      <c r="JZ133" s="109" t="str">
        <f t="shared" si="180"/>
        <v/>
      </c>
      <c r="KA133" s="109" t="str">
        <f t="shared" si="96"/>
        <v/>
      </c>
      <c r="KB133" s="110" t="str">
        <f t="shared" si="200"/>
        <v/>
      </c>
      <c r="KC133" s="51"/>
      <c r="KD133" s="108" t="str">
        <f t="shared" si="181"/>
        <v/>
      </c>
      <c r="KE133" s="109" t="str">
        <f t="shared" si="182"/>
        <v/>
      </c>
      <c r="KF133" s="109" t="str">
        <f t="shared" si="97"/>
        <v/>
      </c>
      <c r="KG133" s="110" t="str">
        <f t="shared" si="98"/>
        <v/>
      </c>
    </row>
    <row r="134" spans="1:293" ht="12" customHeight="1">
      <c r="A134" s="105">
        <f t="array" ref="A134">MAX(IF($J$80:J133&gt;0,$C$80:C133,0))</f>
        <v>43535</v>
      </c>
      <c r="B134" s="81" t="str">
        <f t="shared" si="4"/>
        <v/>
      </c>
      <c r="C134" s="82">
        <f t="shared" si="5"/>
        <v>0</v>
      </c>
      <c r="D134" s="83" t="str">
        <f t="shared" si="6"/>
        <v/>
      </c>
      <c r="E134" s="83" t="str">
        <f t="shared" si="99"/>
        <v/>
      </c>
      <c r="F134" s="83" t="str">
        <f t="shared" si="7"/>
        <v/>
      </c>
      <c r="G134" s="83" t="str">
        <f t="shared" si="8"/>
        <v/>
      </c>
      <c r="H134" s="83" t="str">
        <f t="shared" si="9"/>
        <v/>
      </c>
      <c r="I134" s="105">
        <f t="array" ref="I134">MAX(IF($R$80:R133&gt;0,$L$80:L133,0))</f>
        <v>0</v>
      </c>
      <c r="J134" s="106"/>
      <c r="K134" s="2" t="str">
        <f t="shared" si="10"/>
        <v/>
      </c>
      <c r="L134" s="82">
        <f t="shared" si="183"/>
        <v>0</v>
      </c>
      <c r="M134" s="83" t="str">
        <f t="shared" si="11"/>
        <v/>
      </c>
      <c r="N134" s="83" t="str">
        <f t="shared" si="12"/>
        <v/>
      </c>
      <c r="O134" s="83" t="str">
        <f t="shared" si="13"/>
        <v/>
      </c>
      <c r="P134" s="83" t="str">
        <f t="shared" si="14"/>
        <v/>
      </c>
      <c r="Q134" s="83" t="str">
        <f t="shared" si="15"/>
        <v/>
      </c>
      <c r="R134" s="106"/>
      <c r="S134" s="1"/>
      <c r="U134" s="85" t="e">
        <f t="shared" si="0"/>
        <v>#NUM!</v>
      </c>
      <c r="V134" s="86" t="e">
        <f t="shared" si="100"/>
        <v>#NUM!</v>
      </c>
      <c r="W134" s="87" t="e">
        <f t="shared" si="16"/>
        <v>#NUM!</v>
      </c>
      <c r="X134" s="87" t="e">
        <f t="shared" si="17"/>
        <v>#NUM!</v>
      </c>
      <c r="Y134" s="87" t="e">
        <f t="shared" si="18"/>
        <v>#NUM!</v>
      </c>
      <c r="Z134" s="88" t="e">
        <f t="shared" si="1"/>
        <v>#NUM!</v>
      </c>
      <c r="AA134" t="s">
        <v>282</v>
      </c>
      <c r="AB134" s="89">
        <f t="shared" si="101"/>
        <v>0</v>
      </c>
      <c r="AC134" s="87">
        <f t="shared" si="19"/>
        <v>0</v>
      </c>
      <c r="AD134" s="87" t="str">
        <f t="shared" si="20"/>
        <v/>
      </c>
      <c r="AE134" s="87" t="str">
        <f t="shared" si="21"/>
        <v/>
      </c>
      <c r="AF134" s="86">
        <f t="shared" si="102"/>
        <v>0</v>
      </c>
      <c r="AG134" s="87">
        <f t="shared" si="2"/>
        <v>0</v>
      </c>
      <c r="AH134" s="87">
        <f t="shared" si="103"/>
        <v>0</v>
      </c>
      <c r="AI134" s="90"/>
      <c r="AJ134" s="87" t="e">
        <f t="shared" si="22"/>
        <v>#NUM!</v>
      </c>
      <c r="AK134" s="87" t="e">
        <f t="shared" si="104"/>
        <v>#NUM!</v>
      </c>
      <c r="AL134" s="87" t="e">
        <f t="shared" si="105"/>
        <v>#NUM!</v>
      </c>
      <c r="AM134" s="87" t="e">
        <f t="shared" si="106"/>
        <v>#NUM!</v>
      </c>
      <c r="AN134" s="86">
        <f t="shared" si="23"/>
        <v>0</v>
      </c>
      <c r="AO134" s="87">
        <f t="shared" si="24"/>
        <v>0</v>
      </c>
      <c r="AP134" s="88">
        <f t="shared" si="25"/>
        <v>0</v>
      </c>
      <c r="AR134" s="91">
        <f t="shared" si="26"/>
        <v>0</v>
      </c>
      <c r="AS134" s="92">
        <f t="shared" si="27"/>
        <v>0</v>
      </c>
      <c r="AT134" s="87" t="str">
        <f t="shared" si="28"/>
        <v/>
      </c>
      <c r="AU134" s="87" t="str">
        <f t="shared" si="29"/>
        <v/>
      </c>
      <c r="AV134" s="86">
        <f t="shared" si="107"/>
        <v>0</v>
      </c>
      <c r="AW134" s="87">
        <f t="shared" si="108"/>
        <v>0</v>
      </c>
      <c r="AX134" s="87">
        <f t="shared" si="109"/>
        <v>0</v>
      </c>
      <c r="AY134" s="93"/>
      <c r="AZ134" s="87">
        <f t="shared" si="201"/>
        <v>0</v>
      </c>
      <c r="BA134" s="87">
        <f t="shared" si="110"/>
        <v>0</v>
      </c>
      <c r="BB134" s="87">
        <f t="shared" si="111"/>
        <v>0</v>
      </c>
      <c r="BC134" s="87">
        <f t="shared" si="184"/>
        <v>0</v>
      </c>
      <c r="BD134" s="86" t="e">
        <f t="shared" si="30"/>
        <v>#NUM!</v>
      </c>
      <c r="BE134" s="87" t="e">
        <f t="shared" si="3"/>
        <v>#NUM!</v>
      </c>
      <c r="BF134" s="88">
        <f t="shared" si="112"/>
        <v>0</v>
      </c>
      <c r="BH134" s="87" t="e">
        <f t="shared" si="31"/>
        <v>#NUM!</v>
      </c>
      <c r="BK134" s="95">
        <v>40675</v>
      </c>
      <c r="BL134" s="96">
        <v>55</v>
      </c>
      <c r="BT134" s="51"/>
      <c r="BU134" s="51"/>
      <c r="BV134" s="30"/>
      <c r="BW134" s="107"/>
      <c r="CY134" s="108" t="str">
        <f t="shared" si="32"/>
        <v/>
      </c>
      <c r="CZ134" s="109" t="str">
        <f t="shared" si="33"/>
        <v/>
      </c>
      <c r="DA134" s="109" t="str">
        <f t="shared" si="34"/>
        <v/>
      </c>
      <c r="DB134" s="110" t="str">
        <f t="shared" si="225"/>
        <v/>
      </c>
      <c r="DD134" s="108" t="str">
        <f t="shared" si="36"/>
        <v/>
      </c>
      <c r="DE134" s="109" t="str">
        <f t="shared" si="114"/>
        <v/>
      </c>
      <c r="DF134" s="109" t="str">
        <f t="shared" si="37"/>
        <v/>
      </c>
      <c r="DG134" s="110" t="str">
        <f t="shared" si="226"/>
        <v/>
      </c>
      <c r="DI134" s="108" t="str">
        <f t="shared" si="115"/>
        <v/>
      </c>
      <c r="DJ134" s="109" t="str">
        <f t="shared" si="116"/>
        <v/>
      </c>
      <c r="DK134" s="109" t="str">
        <f t="shared" si="39"/>
        <v/>
      </c>
      <c r="DL134" s="110" t="str">
        <f t="shared" si="227"/>
        <v/>
      </c>
      <c r="DN134" s="108" t="str">
        <f t="shared" si="41"/>
        <v/>
      </c>
      <c r="DO134" s="109" t="str">
        <f t="shared" si="42"/>
        <v/>
      </c>
      <c r="DP134" s="109" t="str">
        <f t="shared" si="43"/>
        <v/>
      </c>
      <c r="DQ134" s="110" t="str">
        <f t="shared" si="228"/>
        <v/>
      </c>
      <c r="DS134" s="108" t="str">
        <f t="shared" si="117"/>
        <v/>
      </c>
      <c r="DT134" s="109" t="str">
        <f t="shared" si="118"/>
        <v/>
      </c>
      <c r="DU134" s="109" t="str">
        <f t="shared" si="45"/>
        <v/>
      </c>
      <c r="DV134" s="110" t="str">
        <f t="shared" si="229"/>
        <v/>
      </c>
      <c r="DX134" s="108" t="str">
        <f t="shared" si="46"/>
        <v/>
      </c>
      <c r="DY134" s="109" t="str">
        <f t="shared" si="119"/>
        <v/>
      </c>
      <c r="DZ134" s="109" t="str">
        <f t="shared" si="47"/>
        <v/>
      </c>
      <c r="EA134" s="110" t="str">
        <f t="shared" si="230"/>
        <v/>
      </c>
      <c r="EC134" s="108" t="str">
        <f t="shared" si="121"/>
        <v/>
      </c>
      <c r="ED134" s="109" t="str">
        <f t="shared" si="122"/>
        <v/>
      </c>
      <c r="EE134" s="109" t="str">
        <f t="shared" si="48"/>
        <v/>
      </c>
      <c r="EF134" s="110" t="str">
        <f t="shared" si="231"/>
        <v/>
      </c>
      <c r="EH134" s="108" t="str">
        <f t="shared" si="49"/>
        <v/>
      </c>
      <c r="EI134" s="109" t="str">
        <f t="shared" si="123"/>
        <v/>
      </c>
      <c r="EJ134" s="109" t="str">
        <f t="shared" si="50"/>
        <v/>
      </c>
      <c r="EK134" s="110" t="str">
        <f t="shared" si="232"/>
        <v/>
      </c>
      <c r="EM134" s="108" t="str">
        <f t="shared" si="125"/>
        <v/>
      </c>
      <c r="EN134" s="109" t="str">
        <f t="shared" si="126"/>
        <v/>
      </c>
      <c r="EO134" s="109" t="str">
        <f t="shared" si="51"/>
        <v/>
      </c>
      <c r="EP134" s="110" t="str">
        <f t="shared" si="233"/>
        <v/>
      </c>
      <c r="ER134" s="108" t="str">
        <f t="shared" si="52"/>
        <v/>
      </c>
      <c r="ES134" s="109" t="str">
        <f t="shared" si="127"/>
        <v/>
      </c>
      <c r="ET134" s="109" t="str">
        <f t="shared" si="53"/>
        <v/>
      </c>
      <c r="EU134" s="110" t="str">
        <f t="shared" si="234"/>
        <v/>
      </c>
      <c r="EW134" s="108" t="str">
        <f t="shared" si="129"/>
        <v/>
      </c>
      <c r="EX134" s="109" t="str">
        <f t="shared" si="130"/>
        <v/>
      </c>
      <c r="EY134" s="109" t="str">
        <f t="shared" si="54"/>
        <v/>
      </c>
      <c r="EZ134" s="110" t="str">
        <f t="shared" si="235"/>
        <v/>
      </c>
      <c r="FB134" s="108" t="str">
        <f t="shared" si="55"/>
        <v/>
      </c>
      <c r="FC134" s="109" t="str">
        <f t="shared" si="131"/>
        <v/>
      </c>
      <c r="FD134" s="109" t="str">
        <f t="shared" si="56"/>
        <v/>
      </c>
      <c r="FE134" s="110" t="str">
        <f t="shared" si="236"/>
        <v/>
      </c>
      <c r="FG134" s="108" t="str">
        <f t="shared" si="133"/>
        <v/>
      </c>
      <c r="FH134" s="109" t="str">
        <f t="shared" si="134"/>
        <v/>
      </c>
      <c r="FI134" s="109" t="str">
        <f t="shared" si="57"/>
        <v/>
      </c>
      <c r="FJ134" s="110" t="str">
        <f t="shared" si="237"/>
        <v/>
      </c>
      <c r="FL134" s="108" t="str">
        <f t="shared" si="58"/>
        <v/>
      </c>
      <c r="FM134" s="109" t="str">
        <f t="shared" si="135"/>
        <v/>
      </c>
      <c r="FN134" s="109" t="str">
        <f t="shared" si="59"/>
        <v/>
      </c>
      <c r="FO134" s="110" t="str">
        <f t="shared" si="238"/>
        <v/>
      </c>
      <c r="FQ134" s="108" t="str">
        <f t="shared" si="137"/>
        <v/>
      </c>
      <c r="FR134" s="109" t="str">
        <f t="shared" si="138"/>
        <v/>
      </c>
      <c r="FS134" s="109" t="str">
        <f t="shared" si="60"/>
        <v/>
      </c>
      <c r="FT134" s="110" t="str">
        <f t="shared" si="239"/>
        <v/>
      </c>
      <c r="FV134" s="108" t="str">
        <f t="shared" si="61"/>
        <v/>
      </c>
      <c r="FW134" s="109" t="str">
        <f t="shared" si="139"/>
        <v/>
      </c>
      <c r="FX134" s="109" t="str">
        <f t="shared" si="62"/>
        <v/>
      </c>
      <c r="FY134" s="110" t="str">
        <f t="shared" si="240"/>
        <v/>
      </c>
      <c r="GA134" s="108" t="str">
        <f t="shared" si="141"/>
        <v/>
      </c>
      <c r="GB134" s="109" t="str">
        <f t="shared" si="142"/>
        <v/>
      </c>
      <c r="GC134" s="109" t="str">
        <f t="shared" si="63"/>
        <v/>
      </c>
      <c r="GD134" s="110" t="str">
        <f t="shared" si="241"/>
        <v/>
      </c>
      <c r="GF134" s="108" t="str">
        <f t="shared" si="64"/>
        <v/>
      </c>
      <c r="GG134" s="109" t="str">
        <f t="shared" si="143"/>
        <v/>
      </c>
      <c r="GH134" s="109" t="str">
        <f t="shared" si="65"/>
        <v/>
      </c>
      <c r="GI134" s="110" t="str">
        <f t="shared" si="242"/>
        <v/>
      </c>
      <c r="GK134" s="108" t="str">
        <f t="shared" si="145"/>
        <v/>
      </c>
      <c r="GL134" s="109" t="str">
        <f t="shared" si="146"/>
        <v/>
      </c>
      <c r="GM134" s="109" t="str">
        <f t="shared" si="147"/>
        <v/>
      </c>
      <c r="GN134" s="110" t="str">
        <f t="shared" si="243"/>
        <v/>
      </c>
      <c r="GR134" s="108" t="str">
        <f t="shared" si="66"/>
        <v/>
      </c>
      <c r="GS134" s="109" t="str">
        <f t="shared" si="67"/>
        <v/>
      </c>
      <c r="GT134" s="109" t="str">
        <f t="shared" si="68"/>
        <v/>
      </c>
      <c r="GU134" s="110" t="str">
        <f t="shared" si="69"/>
        <v/>
      </c>
      <c r="GV134" s="51"/>
      <c r="GW134" s="108" t="str">
        <f t="shared" si="70"/>
        <v/>
      </c>
      <c r="GX134" s="109" t="str">
        <f t="shared" si="148"/>
        <v/>
      </c>
      <c r="GY134" s="109" t="str">
        <f t="shared" si="71"/>
        <v/>
      </c>
      <c r="GZ134" s="110" t="str">
        <f t="shared" si="72"/>
        <v/>
      </c>
      <c r="HA134" s="51"/>
      <c r="HB134" s="108" t="str">
        <f t="shared" si="149"/>
        <v/>
      </c>
      <c r="HC134" s="109" t="str">
        <f t="shared" si="150"/>
        <v/>
      </c>
      <c r="HD134" s="109" t="str">
        <f t="shared" si="73"/>
        <v/>
      </c>
      <c r="HE134" s="110" t="str">
        <f t="shared" si="151"/>
        <v/>
      </c>
      <c r="HF134" s="51"/>
      <c r="HG134" s="108" t="str">
        <f t="shared" si="74"/>
        <v/>
      </c>
      <c r="HH134" s="109" t="str">
        <f t="shared" si="152"/>
        <v/>
      </c>
      <c r="HI134" s="109" t="str">
        <f t="shared" si="75"/>
        <v/>
      </c>
      <c r="HJ134" s="110" t="str">
        <f t="shared" si="193"/>
        <v/>
      </c>
      <c r="HK134" s="51"/>
      <c r="HL134" s="108" t="str">
        <f t="shared" si="153"/>
        <v/>
      </c>
      <c r="HM134" s="109" t="str">
        <f t="shared" si="154"/>
        <v/>
      </c>
      <c r="HN134" s="109" t="str">
        <f t="shared" si="76"/>
        <v/>
      </c>
      <c r="HO134" s="110" t="str">
        <f t="shared" si="155"/>
        <v/>
      </c>
      <c r="HP134" s="51"/>
      <c r="HQ134" s="108" t="str">
        <f t="shared" si="77"/>
        <v/>
      </c>
      <c r="HR134" s="109" t="str">
        <f t="shared" si="156"/>
        <v/>
      </c>
      <c r="HS134" s="109" t="str">
        <f t="shared" si="78"/>
        <v/>
      </c>
      <c r="HT134" s="110" t="str">
        <f t="shared" si="194"/>
        <v/>
      </c>
      <c r="HU134" s="51"/>
      <c r="HV134" s="108" t="str">
        <f t="shared" si="157"/>
        <v/>
      </c>
      <c r="HW134" s="109" t="str">
        <f t="shared" si="158"/>
        <v/>
      </c>
      <c r="HX134" s="109" t="str">
        <f t="shared" si="79"/>
        <v/>
      </c>
      <c r="HY134" s="110" t="str">
        <f t="shared" si="159"/>
        <v/>
      </c>
      <c r="HZ134" s="51"/>
      <c r="IA134" s="108" t="str">
        <f t="shared" si="80"/>
        <v/>
      </c>
      <c r="IB134" s="109" t="str">
        <f t="shared" si="160"/>
        <v/>
      </c>
      <c r="IC134" s="109" t="str">
        <f t="shared" si="81"/>
        <v/>
      </c>
      <c r="ID134" s="110" t="str">
        <f t="shared" si="195"/>
        <v/>
      </c>
      <c r="IE134" s="51"/>
      <c r="IF134" s="108" t="str">
        <f t="shared" si="161"/>
        <v/>
      </c>
      <c r="IG134" s="109" t="str">
        <f t="shared" si="162"/>
        <v/>
      </c>
      <c r="IH134" s="109" t="str">
        <f t="shared" si="82"/>
        <v/>
      </c>
      <c r="II134" s="110" t="str">
        <f t="shared" si="163"/>
        <v/>
      </c>
      <c r="IJ134" s="51"/>
      <c r="IK134" s="108" t="str">
        <f t="shared" si="83"/>
        <v/>
      </c>
      <c r="IL134" s="109" t="str">
        <f t="shared" si="164"/>
        <v/>
      </c>
      <c r="IM134" s="109" t="str">
        <f t="shared" si="84"/>
        <v/>
      </c>
      <c r="IN134" s="110" t="str">
        <f t="shared" si="196"/>
        <v/>
      </c>
      <c r="IO134" s="51"/>
      <c r="IP134" s="108" t="str">
        <f t="shared" si="165"/>
        <v/>
      </c>
      <c r="IQ134" s="109" t="str">
        <f t="shared" si="166"/>
        <v/>
      </c>
      <c r="IR134" s="109" t="str">
        <f t="shared" si="85"/>
        <v/>
      </c>
      <c r="IS134" s="110" t="str">
        <f t="shared" si="167"/>
        <v/>
      </c>
      <c r="IT134" s="51"/>
      <c r="IU134" s="108" t="str">
        <f t="shared" si="86"/>
        <v/>
      </c>
      <c r="IV134" s="109" t="str">
        <f t="shared" si="168"/>
        <v/>
      </c>
      <c r="IW134" s="109" t="str">
        <f t="shared" si="87"/>
        <v/>
      </c>
      <c r="IX134" s="110" t="str">
        <f t="shared" si="197"/>
        <v/>
      </c>
      <c r="IY134" s="51"/>
      <c r="IZ134" s="108" t="str">
        <f t="shared" si="169"/>
        <v/>
      </c>
      <c r="JA134" s="109" t="str">
        <f t="shared" si="170"/>
        <v/>
      </c>
      <c r="JB134" s="109" t="str">
        <f t="shared" si="88"/>
        <v/>
      </c>
      <c r="JC134" s="110" t="str">
        <f t="shared" si="171"/>
        <v/>
      </c>
      <c r="JD134" s="51"/>
      <c r="JE134" s="108" t="str">
        <f t="shared" si="89"/>
        <v/>
      </c>
      <c r="JF134" s="109" t="str">
        <f t="shared" si="172"/>
        <v/>
      </c>
      <c r="JG134" s="109" t="str">
        <f t="shared" si="90"/>
        <v/>
      </c>
      <c r="JH134" s="110" t="str">
        <f t="shared" si="198"/>
        <v/>
      </c>
      <c r="JI134" s="51"/>
      <c r="JJ134" s="108" t="str">
        <f t="shared" si="173"/>
        <v/>
      </c>
      <c r="JK134" s="109" t="str">
        <f t="shared" si="174"/>
        <v/>
      </c>
      <c r="JL134" s="109" t="str">
        <f t="shared" si="91"/>
        <v/>
      </c>
      <c r="JM134" s="110" t="str">
        <f t="shared" si="175"/>
        <v/>
      </c>
      <c r="JN134" s="51"/>
      <c r="JO134" s="108" t="str">
        <f t="shared" si="92"/>
        <v/>
      </c>
      <c r="JP134" s="109" t="str">
        <f t="shared" si="176"/>
        <v/>
      </c>
      <c r="JQ134" s="109" t="str">
        <f t="shared" si="93"/>
        <v/>
      </c>
      <c r="JR134" s="110" t="str">
        <f t="shared" si="199"/>
        <v/>
      </c>
      <c r="JS134" s="51"/>
      <c r="JT134" s="108" t="str">
        <f t="shared" si="177"/>
        <v/>
      </c>
      <c r="JU134" s="109" t="str">
        <f t="shared" si="178"/>
        <v/>
      </c>
      <c r="JV134" s="109" t="str">
        <f t="shared" si="94"/>
        <v/>
      </c>
      <c r="JW134" s="110" t="str">
        <f t="shared" si="179"/>
        <v/>
      </c>
      <c r="JX134" s="51"/>
      <c r="JY134" s="108" t="str">
        <f t="shared" si="95"/>
        <v/>
      </c>
      <c r="JZ134" s="109" t="str">
        <f t="shared" si="180"/>
        <v/>
      </c>
      <c r="KA134" s="109" t="str">
        <f t="shared" si="96"/>
        <v/>
      </c>
      <c r="KB134" s="110" t="str">
        <f t="shared" si="200"/>
        <v/>
      </c>
      <c r="KC134" s="51"/>
      <c r="KD134" s="108" t="str">
        <f t="shared" si="181"/>
        <v/>
      </c>
      <c r="KE134" s="109" t="str">
        <f t="shared" si="182"/>
        <v/>
      </c>
      <c r="KF134" s="109" t="str">
        <f t="shared" si="97"/>
        <v/>
      </c>
      <c r="KG134" s="110" t="str">
        <f t="shared" si="98"/>
        <v/>
      </c>
    </row>
    <row r="135" spans="1:293" ht="12" customHeight="1">
      <c r="A135" s="105">
        <f t="array" ref="A135">MAX(IF($J$80:J134&gt;0,$C$80:C134,0))</f>
        <v>43535</v>
      </c>
      <c r="B135" s="81" t="str">
        <f t="shared" si="4"/>
        <v/>
      </c>
      <c r="C135" s="82">
        <f t="shared" si="5"/>
        <v>0</v>
      </c>
      <c r="D135" s="83" t="str">
        <f t="shared" si="6"/>
        <v/>
      </c>
      <c r="E135" s="83" t="str">
        <f t="shared" si="99"/>
        <v/>
      </c>
      <c r="F135" s="83" t="str">
        <f t="shared" si="7"/>
        <v/>
      </c>
      <c r="G135" s="83" t="str">
        <f t="shared" si="8"/>
        <v/>
      </c>
      <c r="H135" s="83" t="str">
        <f t="shared" si="9"/>
        <v/>
      </c>
      <c r="I135" s="105">
        <f t="array" ref="I135">MAX(IF($R$80:R134&gt;0,$L$80:L134,0))</f>
        <v>0</v>
      </c>
      <c r="J135" s="106"/>
      <c r="K135" s="2" t="str">
        <f t="shared" si="10"/>
        <v/>
      </c>
      <c r="L135" s="82">
        <f t="shared" si="183"/>
        <v>0</v>
      </c>
      <c r="M135" s="83" t="str">
        <f t="shared" si="11"/>
        <v/>
      </c>
      <c r="N135" s="83" t="str">
        <f t="shared" si="12"/>
        <v/>
      </c>
      <c r="O135" s="83" t="str">
        <f t="shared" si="13"/>
        <v/>
      </c>
      <c r="P135" s="83" t="str">
        <f t="shared" si="14"/>
        <v/>
      </c>
      <c r="Q135" s="83" t="str">
        <f t="shared" si="15"/>
        <v/>
      </c>
      <c r="R135" s="106"/>
      <c r="S135" s="1"/>
      <c r="U135" s="85" t="e">
        <f t="shared" si="0"/>
        <v>#NUM!</v>
      </c>
      <c r="V135" s="86" t="e">
        <f t="shared" si="100"/>
        <v>#NUM!</v>
      </c>
      <c r="W135" s="87" t="e">
        <f t="shared" si="16"/>
        <v>#NUM!</v>
      </c>
      <c r="X135" s="87" t="e">
        <f t="shared" si="17"/>
        <v>#NUM!</v>
      </c>
      <c r="Y135" s="87" t="e">
        <f t="shared" si="18"/>
        <v>#NUM!</v>
      </c>
      <c r="Z135" s="88" t="e">
        <f t="shared" si="1"/>
        <v>#NUM!</v>
      </c>
      <c r="AA135" t="s">
        <v>282</v>
      </c>
      <c r="AB135" s="89">
        <f t="shared" si="101"/>
        <v>0</v>
      </c>
      <c r="AC135" s="87">
        <f t="shared" si="19"/>
        <v>0</v>
      </c>
      <c r="AD135" s="87" t="str">
        <f t="shared" si="20"/>
        <v/>
      </c>
      <c r="AE135" s="87" t="str">
        <f t="shared" si="21"/>
        <v/>
      </c>
      <c r="AF135" s="86">
        <f t="shared" si="102"/>
        <v>0</v>
      </c>
      <c r="AG135" s="87">
        <f t="shared" si="2"/>
        <v>0</v>
      </c>
      <c r="AH135" s="87">
        <f t="shared" si="103"/>
        <v>0</v>
      </c>
      <c r="AI135" s="90"/>
      <c r="AJ135" s="87" t="e">
        <f t="shared" si="22"/>
        <v>#NUM!</v>
      </c>
      <c r="AK135" s="87" t="e">
        <f t="shared" si="104"/>
        <v>#NUM!</v>
      </c>
      <c r="AL135" s="87" t="e">
        <f t="shared" si="105"/>
        <v>#NUM!</v>
      </c>
      <c r="AM135" s="87" t="e">
        <f t="shared" si="106"/>
        <v>#NUM!</v>
      </c>
      <c r="AN135" s="86">
        <f t="shared" si="23"/>
        <v>0</v>
      </c>
      <c r="AO135" s="87">
        <f t="shared" si="24"/>
        <v>0</v>
      </c>
      <c r="AP135" s="88">
        <f t="shared" si="25"/>
        <v>0</v>
      </c>
      <c r="AR135" s="91">
        <f t="shared" si="26"/>
        <v>0</v>
      </c>
      <c r="AS135" s="92">
        <f t="shared" si="27"/>
        <v>0</v>
      </c>
      <c r="AT135" s="87" t="str">
        <f t="shared" si="28"/>
        <v/>
      </c>
      <c r="AU135" s="87" t="str">
        <f t="shared" si="29"/>
        <v/>
      </c>
      <c r="AV135" s="86">
        <f t="shared" si="107"/>
        <v>0</v>
      </c>
      <c r="AW135" s="87">
        <f t="shared" si="108"/>
        <v>0</v>
      </c>
      <c r="AX135" s="87">
        <f t="shared" si="109"/>
        <v>0</v>
      </c>
      <c r="AY135" s="93"/>
      <c r="AZ135" s="87">
        <f t="shared" si="201"/>
        <v>0</v>
      </c>
      <c r="BA135" s="87">
        <f t="shared" si="110"/>
        <v>0</v>
      </c>
      <c r="BB135" s="87">
        <f t="shared" si="111"/>
        <v>0</v>
      </c>
      <c r="BC135" s="87">
        <f t="shared" si="184"/>
        <v>0</v>
      </c>
      <c r="BD135" s="86" t="e">
        <f t="shared" si="30"/>
        <v>#NUM!</v>
      </c>
      <c r="BE135" s="87" t="e">
        <f t="shared" si="3"/>
        <v>#NUM!</v>
      </c>
      <c r="BF135" s="88">
        <f t="shared" si="112"/>
        <v>0</v>
      </c>
      <c r="BH135" s="87" t="e">
        <f t="shared" si="31"/>
        <v>#NUM!</v>
      </c>
      <c r="BK135" s="95">
        <v>40689</v>
      </c>
      <c r="BL135" s="96">
        <v>56</v>
      </c>
      <c r="BT135" s="51"/>
      <c r="BU135" s="51"/>
      <c r="BV135" s="30"/>
      <c r="BW135" s="107"/>
      <c r="CY135" s="108" t="str">
        <f t="shared" si="32"/>
        <v/>
      </c>
      <c r="CZ135" s="109" t="str">
        <f t="shared" si="33"/>
        <v/>
      </c>
      <c r="DA135" s="109" t="str">
        <f t="shared" si="34"/>
        <v/>
      </c>
      <c r="DB135" s="110" t="str">
        <f t="shared" si="225"/>
        <v/>
      </c>
      <c r="DD135" s="108" t="str">
        <f t="shared" si="36"/>
        <v/>
      </c>
      <c r="DE135" s="109" t="str">
        <f t="shared" si="114"/>
        <v/>
      </c>
      <c r="DF135" s="109" t="str">
        <f t="shared" si="37"/>
        <v/>
      </c>
      <c r="DG135" s="110" t="str">
        <f t="shared" si="226"/>
        <v/>
      </c>
      <c r="DI135" s="108" t="str">
        <f t="shared" si="115"/>
        <v/>
      </c>
      <c r="DJ135" s="109" t="str">
        <f t="shared" si="116"/>
        <v/>
      </c>
      <c r="DK135" s="109" t="str">
        <f t="shared" si="39"/>
        <v/>
      </c>
      <c r="DL135" s="110" t="str">
        <f t="shared" si="227"/>
        <v/>
      </c>
      <c r="DN135" s="108" t="str">
        <f t="shared" si="41"/>
        <v/>
      </c>
      <c r="DO135" s="109" t="str">
        <f t="shared" si="42"/>
        <v/>
      </c>
      <c r="DP135" s="109" t="str">
        <f t="shared" si="43"/>
        <v/>
      </c>
      <c r="DQ135" s="110" t="str">
        <f t="shared" si="228"/>
        <v/>
      </c>
      <c r="DS135" s="108" t="str">
        <f t="shared" si="117"/>
        <v/>
      </c>
      <c r="DT135" s="109" t="str">
        <f t="shared" si="118"/>
        <v/>
      </c>
      <c r="DU135" s="109" t="str">
        <f t="shared" si="45"/>
        <v/>
      </c>
      <c r="DV135" s="110" t="str">
        <f t="shared" si="229"/>
        <v/>
      </c>
      <c r="DX135" s="108" t="str">
        <f t="shared" si="46"/>
        <v/>
      </c>
      <c r="DY135" s="109" t="str">
        <f t="shared" si="119"/>
        <v/>
      </c>
      <c r="DZ135" s="109" t="str">
        <f t="shared" si="47"/>
        <v/>
      </c>
      <c r="EA135" s="110" t="str">
        <f t="shared" si="230"/>
        <v/>
      </c>
      <c r="EC135" s="108" t="str">
        <f t="shared" si="121"/>
        <v/>
      </c>
      <c r="ED135" s="109" t="str">
        <f t="shared" si="122"/>
        <v/>
      </c>
      <c r="EE135" s="109" t="str">
        <f t="shared" si="48"/>
        <v/>
      </c>
      <c r="EF135" s="110" t="str">
        <f t="shared" si="231"/>
        <v/>
      </c>
      <c r="EH135" s="108" t="str">
        <f t="shared" si="49"/>
        <v/>
      </c>
      <c r="EI135" s="109" t="str">
        <f t="shared" si="123"/>
        <v/>
      </c>
      <c r="EJ135" s="109" t="str">
        <f t="shared" si="50"/>
        <v/>
      </c>
      <c r="EK135" s="110" t="str">
        <f t="shared" si="232"/>
        <v/>
      </c>
      <c r="EM135" s="108" t="str">
        <f t="shared" si="125"/>
        <v/>
      </c>
      <c r="EN135" s="109" t="str">
        <f t="shared" si="126"/>
        <v/>
      </c>
      <c r="EO135" s="109" t="str">
        <f t="shared" si="51"/>
        <v/>
      </c>
      <c r="EP135" s="110" t="str">
        <f t="shared" si="233"/>
        <v/>
      </c>
      <c r="ER135" s="108" t="str">
        <f t="shared" si="52"/>
        <v/>
      </c>
      <c r="ES135" s="109" t="str">
        <f t="shared" si="127"/>
        <v/>
      </c>
      <c r="ET135" s="109" t="str">
        <f t="shared" si="53"/>
        <v/>
      </c>
      <c r="EU135" s="110" t="str">
        <f t="shared" si="234"/>
        <v/>
      </c>
      <c r="EW135" s="108" t="str">
        <f t="shared" si="129"/>
        <v/>
      </c>
      <c r="EX135" s="109" t="str">
        <f t="shared" si="130"/>
        <v/>
      </c>
      <c r="EY135" s="109" t="str">
        <f t="shared" si="54"/>
        <v/>
      </c>
      <c r="EZ135" s="110" t="str">
        <f t="shared" si="235"/>
        <v/>
      </c>
      <c r="FB135" s="108" t="str">
        <f t="shared" si="55"/>
        <v/>
      </c>
      <c r="FC135" s="109" t="str">
        <f t="shared" si="131"/>
        <v/>
      </c>
      <c r="FD135" s="109" t="str">
        <f t="shared" si="56"/>
        <v/>
      </c>
      <c r="FE135" s="110" t="str">
        <f t="shared" si="236"/>
        <v/>
      </c>
      <c r="FG135" s="108" t="str">
        <f t="shared" si="133"/>
        <v/>
      </c>
      <c r="FH135" s="109" t="str">
        <f t="shared" si="134"/>
        <v/>
      </c>
      <c r="FI135" s="109" t="str">
        <f t="shared" si="57"/>
        <v/>
      </c>
      <c r="FJ135" s="110" t="str">
        <f t="shared" si="237"/>
        <v/>
      </c>
      <c r="FL135" s="108" t="str">
        <f t="shared" si="58"/>
        <v/>
      </c>
      <c r="FM135" s="109" t="str">
        <f t="shared" si="135"/>
        <v/>
      </c>
      <c r="FN135" s="109" t="str">
        <f t="shared" si="59"/>
        <v/>
      </c>
      <c r="FO135" s="110" t="str">
        <f t="shared" si="238"/>
        <v/>
      </c>
      <c r="FQ135" s="108" t="str">
        <f t="shared" si="137"/>
        <v/>
      </c>
      <c r="FR135" s="109" t="str">
        <f t="shared" si="138"/>
        <v/>
      </c>
      <c r="FS135" s="109" t="str">
        <f t="shared" si="60"/>
        <v/>
      </c>
      <c r="FT135" s="110" t="str">
        <f t="shared" si="239"/>
        <v/>
      </c>
      <c r="FV135" s="108" t="str">
        <f t="shared" si="61"/>
        <v/>
      </c>
      <c r="FW135" s="109" t="str">
        <f t="shared" si="139"/>
        <v/>
      </c>
      <c r="FX135" s="109" t="str">
        <f t="shared" si="62"/>
        <v/>
      </c>
      <c r="FY135" s="110" t="str">
        <f t="shared" si="240"/>
        <v/>
      </c>
      <c r="GA135" s="108" t="str">
        <f t="shared" si="141"/>
        <v/>
      </c>
      <c r="GB135" s="109" t="str">
        <f t="shared" si="142"/>
        <v/>
      </c>
      <c r="GC135" s="109" t="str">
        <f t="shared" si="63"/>
        <v/>
      </c>
      <c r="GD135" s="110" t="str">
        <f t="shared" si="241"/>
        <v/>
      </c>
      <c r="GF135" s="108" t="str">
        <f t="shared" si="64"/>
        <v/>
      </c>
      <c r="GG135" s="109" t="str">
        <f t="shared" si="143"/>
        <v/>
      </c>
      <c r="GH135" s="109" t="str">
        <f t="shared" si="65"/>
        <v/>
      </c>
      <c r="GI135" s="110" t="str">
        <f t="shared" si="242"/>
        <v/>
      </c>
      <c r="GK135" s="108" t="str">
        <f t="shared" si="145"/>
        <v/>
      </c>
      <c r="GL135" s="109" t="str">
        <f t="shared" si="146"/>
        <v/>
      </c>
      <c r="GM135" s="109" t="str">
        <f t="shared" si="147"/>
        <v/>
      </c>
      <c r="GN135" s="110" t="str">
        <f t="shared" si="243"/>
        <v/>
      </c>
      <c r="GR135" s="108" t="str">
        <f t="shared" si="66"/>
        <v/>
      </c>
      <c r="GS135" s="109" t="str">
        <f t="shared" si="67"/>
        <v/>
      </c>
      <c r="GT135" s="109" t="str">
        <f t="shared" si="68"/>
        <v/>
      </c>
      <c r="GU135" s="110" t="str">
        <f t="shared" si="69"/>
        <v/>
      </c>
      <c r="GV135" s="51"/>
      <c r="GW135" s="108" t="str">
        <f t="shared" si="70"/>
        <v/>
      </c>
      <c r="GX135" s="109" t="str">
        <f t="shared" si="148"/>
        <v/>
      </c>
      <c r="GY135" s="109" t="str">
        <f t="shared" si="71"/>
        <v/>
      </c>
      <c r="GZ135" s="110" t="str">
        <f t="shared" si="72"/>
        <v/>
      </c>
      <c r="HA135" s="51"/>
      <c r="HB135" s="108" t="str">
        <f t="shared" si="149"/>
        <v/>
      </c>
      <c r="HC135" s="109" t="str">
        <f t="shared" si="150"/>
        <v/>
      </c>
      <c r="HD135" s="109" t="str">
        <f t="shared" si="73"/>
        <v/>
      </c>
      <c r="HE135" s="110" t="str">
        <f t="shared" si="151"/>
        <v/>
      </c>
      <c r="HF135" s="51"/>
      <c r="HG135" s="108" t="str">
        <f t="shared" si="74"/>
        <v/>
      </c>
      <c r="HH135" s="109" t="str">
        <f t="shared" si="152"/>
        <v/>
      </c>
      <c r="HI135" s="109" t="str">
        <f t="shared" si="75"/>
        <v/>
      </c>
      <c r="HJ135" s="110" t="str">
        <f t="shared" si="193"/>
        <v/>
      </c>
      <c r="HK135" s="51"/>
      <c r="HL135" s="108" t="str">
        <f t="shared" si="153"/>
        <v/>
      </c>
      <c r="HM135" s="109" t="str">
        <f t="shared" si="154"/>
        <v/>
      </c>
      <c r="HN135" s="109" t="str">
        <f t="shared" si="76"/>
        <v/>
      </c>
      <c r="HO135" s="110" t="str">
        <f t="shared" si="155"/>
        <v/>
      </c>
      <c r="HP135" s="51"/>
      <c r="HQ135" s="108" t="str">
        <f t="shared" si="77"/>
        <v/>
      </c>
      <c r="HR135" s="109" t="str">
        <f t="shared" si="156"/>
        <v/>
      </c>
      <c r="HS135" s="109" t="str">
        <f t="shared" si="78"/>
        <v/>
      </c>
      <c r="HT135" s="110" t="str">
        <f t="shared" si="194"/>
        <v/>
      </c>
      <c r="HU135" s="51"/>
      <c r="HV135" s="108" t="str">
        <f t="shared" si="157"/>
        <v/>
      </c>
      <c r="HW135" s="109" t="str">
        <f t="shared" si="158"/>
        <v/>
      </c>
      <c r="HX135" s="109" t="str">
        <f t="shared" si="79"/>
        <v/>
      </c>
      <c r="HY135" s="110" t="str">
        <f t="shared" si="159"/>
        <v/>
      </c>
      <c r="HZ135" s="51"/>
      <c r="IA135" s="108" t="str">
        <f t="shared" si="80"/>
        <v/>
      </c>
      <c r="IB135" s="109" t="str">
        <f t="shared" si="160"/>
        <v/>
      </c>
      <c r="IC135" s="109" t="str">
        <f t="shared" si="81"/>
        <v/>
      </c>
      <c r="ID135" s="110" t="str">
        <f t="shared" si="195"/>
        <v/>
      </c>
      <c r="IE135" s="51"/>
      <c r="IF135" s="108" t="str">
        <f t="shared" si="161"/>
        <v/>
      </c>
      <c r="IG135" s="109" t="str">
        <f t="shared" si="162"/>
        <v/>
      </c>
      <c r="IH135" s="109" t="str">
        <f t="shared" si="82"/>
        <v/>
      </c>
      <c r="II135" s="110" t="str">
        <f t="shared" si="163"/>
        <v/>
      </c>
      <c r="IJ135" s="51"/>
      <c r="IK135" s="108" t="str">
        <f t="shared" si="83"/>
        <v/>
      </c>
      <c r="IL135" s="109" t="str">
        <f t="shared" si="164"/>
        <v/>
      </c>
      <c r="IM135" s="109" t="str">
        <f t="shared" si="84"/>
        <v/>
      </c>
      <c r="IN135" s="110" t="str">
        <f t="shared" si="196"/>
        <v/>
      </c>
      <c r="IO135" s="51"/>
      <c r="IP135" s="108" t="str">
        <f t="shared" si="165"/>
        <v/>
      </c>
      <c r="IQ135" s="109" t="str">
        <f t="shared" si="166"/>
        <v/>
      </c>
      <c r="IR135" s="109" t="str">
        <f t="shared" si="85"/>
        <v/>
      </c>
      <c r="IS135" s="110" t="str">
        <f t="shared" si="167"/>
        <v/>
      </c>
      <c r="IT135" s="51"/>
      <c r="IU135" s="108" t="str">
        <f t="shared" si="86"/>
        <v/>
      </c>
      <c r="IV135" s="109" t="str">
        <f t="shared" si="168"/>
        <v/>
      </c>
      <c r="IW135" s="109" t="str">
        <f t="shared" si="87"/>
        <v/>
      </c>
      <c r="IX135" s="110" t="str">
        <f t="shared" si="197"/>
        <v/>
      </c>
      <c r="IY135" s="51"/>
      <c r="IZ135" s="108" t="str">
        <f t="shared" si="169"/>
        <v/>
      </c>
      <c r="JA135" s="109" t="str">
        <f t="shared" si="170"/>
        <v/>
      </c>
      <c r="JB135" s="109" t="str">
        <f t="shared" si="88"/>
        <v/>
      </c>
      <c r="JC135" s="110" t="str">
        <f t="shared" si="171"/>
        <v/>
      </c>
      <c r="JD135" s="51"/>
      <c r="JE135" s="108" t="str">
        <f t="shared" si="89"/>
        <v/>
      </c>
      <c r="JF135" s="109" t="str">
        <f t="shared" si="172"/>
        <v/>
      </c>
      <c r="JG135" s="109" t="str">
        <f t="shared" si="90"/>
        <v/>
      </c>
      <c r="JH135" s="110" t="str">
        <f t="shared" si="198"/>
        <v/>
      </c>
      <c r="JI135" s="51"/>
      <c r="JJ135" s="108" t="str">
        <f t="shared" si="173"/>
        <v/>
      </c>
      <c r="JK135" s="109" t="str">
        <f t="shared" si="174"/>
        <v/>
      </c>
      <c r="JL135" s="109" t="str">
        <f t="shared" si="91"/>
        <v/>
      </c>
      <c r="JM135" s="110" t="str">
        <f t="shared" si="175"/>
        <v/>
      </c>
      <c r="JN135" s="51"/>
      <c r="JO135" s="108" t="str">
        <f t="shared" si="92"/>
        <v/>
      </c>
      <c r="JP135" s="109" t="str">
        <f t="shared" si="176"/>
        <v/>
      </c>
      <c r="JQ135" s="109" t="str">
        <f t="shared" si="93"/>
        <v/>
      </c>
      <c r="JR135" s="110" t="str">
        <f t="shared" si="199"/>
        <v/>
      </c>
      <c r="JS135" s="51"/>
      <c r="JT135" s="108" t="str">
        <f t="shared" si="177"/>
        <v/>
      </c>
      <c r="JU135" s="109" t="str">
        <f t="shared" si="178"/>
        <v/>
      </c>
      <c r="JV135" s="109" t="str">
        <f t="shared" si="94"/>
        <v/>
      </c>
      <c r="JW135" s="110" t="str">
        <f t="shared" si="179"/>
        <v/>
      </c>
      <c r="JX135" s="51"/>
      <c r="JY135" s="108" t="str">
        <f t="shared" si="95"/>
        <v/>
      </c>
      <c r="JZ135" s="109" t="str">
        <f t="shared" si="180"/>
        <v/>
      </c>
      <c r="KA135" s="109" t="str">
        <f t="shared" si="96"/>
        <v/>
      </c>
      <c r="KB135" s="110" t="str">
        <f t="shared" si="200"/>
        <v/>
      </c>
      <c r="KC135" s="51"/>
      <c r="KD135" s="108" t="str">
        <f t="shared" si="181"/>
        <v/>
      </c>
      <c r="KE135" s="109" t="str">
        <f t="shared" si="182"/>
        <v/>
      </c>
      <c r="KF135" s="109" t="str">
        <f t="shared" si="97"/>
        <v/>
      </c>
      <c r="KG135" s="110" t="str">
        <f t="shared" si="98"/>
        <v/>
      </c>
    </row>
    <row r="136" spans="1:293" ht="12" customHeight="1">
      <c r="A136" s="105">
        <f t="array" ref="A136">MAX(IF($J$80:J135&gt;0,$C$80:C135,0))</f>
        <v>43535</v>
      </c>
      <c r="B136" s="81" t="str">
        <f t="shared" si="4"/>
        <v/>
      </c>
      <c r="C136" s="82">
        <f t="shared" si="5"/>
        <v>0</v>
      </c>
      <c r="D136" s="83" t="str">
        <f t="shared" si="6"/>
        <v/>
      </c>
      <c r="E136" s="83" t="str">
        <f t="shared" si="99"/>
        <v/>
      </c>
      <c r="F136" s="83" t="str">
        <f t="shared" si="7"/>
        <v/>
      </c>
      <c r="G136" s="83" t="str">
        <f t="shared" si="8"/>
        <v/>
      </c>
      <c r="H136" s="83" t="str">
        <f t="shared" si="9"/>
        <v/>
      </c>
      <c r="I136" s="105">
        <f t="array" ref="I136">MAX(IF($R$80:R135&gt;0,$L$80:L135,0))</f>
        <v>0</v>
      </c>
      <c r="J136" s="106"/>
      <c r="K136" s="2" t="str">
        <f t="shared" si="10"/>
        <v/>
      </c>
      <c r="L136" s="82">
        <f t="shared" si="183"/>
        <v>0</v>
      </c>
      <c r="M136" s="83" t="str">
        <f t="shared" si="11"/>
        <v/>
      </c>
      <c r="N136" s="83" t="str">
        <f t="shared" si="12"/>
        <v/>
      </c>
      <c r="O136" s="83" t="str">
        <f t="shared" si="13"/>
        <v/>
      </c>
      <c r="P136" s="83" t="str">
        <f t="shared" si="14"/>
        <v/>
      </c>
      <c r="Q136" s="83" t="str">
        <f t="shared" si="15"/>
        <v/>
      </c>
      <c r="R136" s="106"/>
      <c r="S136" s="1"/>
      <c r="U136" s="85" t="e">
        <f t="shared" si="0"/>
        <v>#NUM!</v>
      </c>
      <c r="V136" s="86" t="e">
        <f t="shared" si="100"/>
        <v>#NUM!</v>
      </c>
      <c r="W136" s="87" t="e">
        <f t="shared" si="16"/>
        <v>#NUM!</v>
      </c>
      <c r="X136" s="87" t="e">
        <f t="shared" si="17"/>
        <v>#NUM!</v>
      </c>
      <c r="Y136" s="87" t="e">
        <f t="shared" si="18"/>
        <v>#NUM!</v>
      </c>
      <c r="Z136" s="88" t="e">
        <f t="shared" si="1"/>
        <v>#NUM!</v>
      </c>
      <c r="AA136" t="s">
        <v>282</v>
      </c>
      <c r="AB136" s="89">
        <f t="shared" si="101"/>
        <v>0</v>
      </c>
      <c r="AC136" s="87">
        <f t="shared" si="19"/>
        <v>0</v>
      </c>
      <c r="AD136" s="87" t="str">
        <f t="shared" si="20"/>
        <v/>
      </c>
      <c r="AE136" s="87" t="str">
        <f t="shared" si="21"/>
        <v/>
      </c>
      <c r="AF136" s="86">
        <f t="shared" si="102"/>
        <v>0</v>
      </c>
      <c r="AG136" s="87">
        <f t="shared" si="2"/>
        <v>0</v>
      </c>
      <c r="AH136" s="87">
        <f t="shared" si="103"/>
        <v>0</v>
      </c>
      <c r="AI136" s="90"/>
      <c r="AJ136" s="87" t="e">
        <f t="shared" si="22"/>
        <v>#NUM!</v>
      </c>
      <c r="AK136" s="87" t="e">
        <f t="shared" si="104"/>
        <v>#NUM!</v>
      </c>
      <c r="AL136" s="87" t="e">
        <f t="shared" si="105"/>
        <v>#NUM!</v>
      </c>
      <c r="AM136" s="87" t="e">
        <f t="shared" si="106"/>
        <v>#NUM!</v>
      </c>
      <c r="AN136" s="86">
        <f t="shared" si="23"/>
        <v>0</v>
      </c>
      <c r="AO136" s="87">
        <f t="shared" si="24"/>
        <v>0</v>
      </c>
      <c r="AP136" s="88">
        <f t="shared" si="25"/>
        <v>0</v>
      </c>
      <c r="AR136" s="91">
        <f t="shared" si="26"/>
        <v>0</v>
      </c>
      <c r="AS136" s="92">
        <f t="shared" si="27"/>
        <v>0</v>
      </c>
      <c r="AT136" s="87" t="str">
        <f t="shared" si="28"/>
        <v/>
      </c>
      <c r="AU136" s="87" t="str">
        <f t="shared" si="29"/>
        <v/>
      </c>
      <c r="AV136" s="86">
        <f t="shared" si="107"/>
        <v>0</v>
      </c>
      <c r="AW136" s="87">
        <f t="shared" si="108"/>
        <v>0</v>
      </c>
      <c r="AX136" s="87">
        <f t="shared" si="109"/>
        <v>0</v>
      </c>
      <c r="AY136" s="93"/>
      <c r="AZ136" s="87">
        <f t="shared" si="201"/>
        <v>0</v>
      </c>
      <c r="BA136" s="87">
        <f t="shared" si="110"/>
        <v>0</v>
      </c>
      <c r="BB136" s="87">
        <f t="shared" si="111"/>
        <v>0</v>
      </c>
      <c r="BC136" s="87">
        <f t="shared" si="184"/>
        <v>0</v>
      </c>
      <c r="BD136" s="86" t="e">
        <f t="shared" si="30"/>
        <v>#NUM!</v>
      </c>
      <c r="BE136" s="87" t="e">
        <f t="shared" si="3"/>
        <v>#NUM!</v>
      </c>
      <c r="BF136" s="88">
        <f t="shared" si="112"/>
        <v>0</v>
      </c>
      <c r="BH136" s="87" t="e">
        <f t="shared" si="31"/>
        <v>#NUM!</v>
      </c>
      <c r="BK136" s="95">
        <v>40783</v>
      </c>
      <c r="BL136" s="96">
        <v>57</v>
      </c>
      <c r="BT136" s="51"/>
      <c r="BU136" s="51"/>
      <c r="BV136" s="30"/>
      <c r="BW136" s="107"/>
      <c r="CY136" s="108" t="str">
        <f t="shared" si="32"/>
        <v/>
      </c>
      <c r="CZ136" s="109" t="str">
        <f t="shared" si="33"/>
        <v/>
      </c>
      <c r="DA136" s="109" t="str">
        <f t="shared" si="34"/>
        <v/>
      </c>
      <c r="DB136" s="110" t="str">
        <f t="shared" si="225"/>
        <v/>
      </c>
      <c r="DD136" s="108" t="str">
        <f t="shared" si="36"/>
        <v/>
      </c>
      <c r="DE136" s="109" t="str">
        <f t="shared" si="114"/>
        <v/>
      </c>
      <c r="DF136" s="109" t="str">
        <f t="shared" si="37"/>
        <v/>
      </c>
      <c r="DG136" s="110" t="str">
        <f t="shared" si="226"/>
        <v/>
      </c>
      <c r="DI136" s="108" t="str">
        <f t="shared" si="115"/>
        <v/>
      </c>
      <c r="DJ136" s="109" t="str">
        <f t="shared" si="116"/>
        <v/>
      </c>
      <c r="DK136" s="109" t="str">
        <f t="shared" si="39"/>
        <v/>
      </c>
      <c r="DL136" s="110" t="str">
        <f t="shared" si="227"/>
        <v/>
      </c>
      <c r="DN136" s="108" t="str">
        <f t="shared" si="41"/>
        <v/>
      </c>
      <c r="DO136" s="109" t="str">
        <f t="shared" si="42"/>
        <v/>
      </c>
      <c r="DP136" s="109" t="str">
        <f t="shared" si="43"/>
        <v/>
      </c>
      <c r="DQ136" s="110" t="str">
        <f t="shared" si="228"/>
        <v/>
      </c>
      <c r="DS136" s="108" t="str">
        <f t="shared" si="117"/>
        <v/>
      </c>
      <c r="DT136" s="109" t="str">
        <f t="shared" si="118"/>
        <v/>
      </c>
      <c r="DU136" s="109" t="str">
        <f t="shared" si="45"/>
        <v/>
      </c>
      <c r="DV136" s="110" t="str">
        <f t="shared" si="229"/>
        <v/>
      </c>
      <c r="DX136" s="108" t="str">
        <f t="shared" si="46"/>
        <v/>
      </c>
      <c r="DY136" s="109" t="str">
        <f t="shared" si="119"/>
        <v/>
      </c>
      <c r="DZ136" s="109" t="str">
        <f t="shared" si="47"/>
        <v/>
      </c>
      <c r="EA136" s="110" t="str">
        <f t="shared" si="230"/>
        <v/>
      </c>
      <c r="EC136" s="108" t="str">
        <f t="shared" si="121"/>
        <v/>
      </c>
      <c r="ED136" s="109" t="str">
        <f t="shared" si="122"/>
        <v/>
      </c>
      <c r="EE136" s="109" t="str">
        <f t="shared" si="48"/>
        <v/>
      </c>
      <c r="EF136" s="110" t="str">
        <f t="shared" si="231"/>
        <v/>
      </c>
      <c r="EH136" s="108" t="str">
        <f t="shared" si="49"/>
        <v/>
      </c>
      <c r="EI136" s="109" t="str">
        <f t="shared" si="123"/>
        <v/>
      </c>
      <c r="EJ136" s="109" t="str">
        <f t="shared" si="50"/>
        <v/>
      </c>
      <c r="EK136" s="110" t="str">
        <f t="shared" si="232"/>
        <v/>
      </c>
      <c r="EM136" s="108" t="str">
        <f t="shared" si="125"/>
        <v/>
      </c>
      <c r="EN136" s="109" t="str">
        <f t="shared" si="126"/>
        <v/>
      </c>
      <c r="EO136" s="109" t="str">
        <f t="shared" si="51"/>
        <v/>
      </c>
      <c r="EP136" s="110" t="str">
        <f t="shared" si="233"/>
        <v/>
      </c>
      <c r="ER136" s="108" t="str">
        <f t="shared" si="52"/>
        <v/>
      </c>
      <c r="ES136" s="109" t="str">
        <f t="shared" si="127"/>
        <v/>
      </c>
      <c r="ET136" s="109" t="str">
        <f t="shared" si="53"/>
        <v/>
      </c>
      <c r="EU136" s="110" t="str">
        <f t="shared" si="234"/>
        <v/>
      </c>
      <c r="EW136" s="108" t="str">
        <f t="shared" si="129"/>
        <v/>
      </c>
      <c r="EX136" s="109" t="str">
        <f t="shared" si="130"/>
        <v/>
      </c>
      <c r="EY136" s="109" t="str">
        <f t="shared" si="54"/>
        <v/>
      </c>
      <c r="EZ136" s="110" t="str">
        <f t="shared" si="235"/>
        <v/>
      </c>
      <c r="FB136" s="108" t="str">
        <f t="shared" si="55"/>
        <v/>
      </c>
      <c r="FC136" s="109" t="str">
        <f t="shared" si="131"/>
        <v/>
      </c>
      <c r="FD136" s="109" t="str">
        <f t="shared" si="56"/>
        <v/>
      </c>
      <c r="FE136" s="110" t="str">
        <f t="shared" si="236"/>
        <v/>
      </c>
      <c r="FG136" s="108" t="str">
        <f t="shared" si="133"/>
        <v/>
      </c>
      <c r="FH136" s="109" t="str">
        <f t="shared" si="134"/>
        <v/>
      </c>
      <c r="FI136" s="109" t="str">
        <f t="shared" si="57"/>
        <v/>
      </c>
      <c r="FJ136" s="110" t="str">
        <f t="shared" si="237"/>
        <v/>
      </c>
      <c r="FL136" s="108" t="str">
        <f t="shared" si="58"/>
        <v/>
      </c>
      <c r="FM136" s="109" t="str">
        <f t="shared" si="135"/>
        <v/>
      </c>
      <c r="FN136" s="109" t="str">
        <f t="shared" si="59"/>
        <v/>
      </c>
      <c r="FO136" s="110" t="str">
        <f t="shared" si="238"/>
        <v/>
      </c>
      <c r="FQ136" s="108" t="str">
        <f t="shared" si="137"/>
        <v/>
      </c>
      <c r="FR136" s="109" t="str">
        <f t="shared" si="138"/>
        <v/>
      </c>
      <c r="FS136" s="109" t="str">
        <f t="shared" si="60"/>
        <v/>
      </c>
      <c r="FT136" s="110" t="str">
        <f t="shared" si="239"/>
        <v/>
      </c>
      <c r="FV136" s="108" t="str">
        <f t="shared" si="61"/>
        <v/>
      </c>
      <c r="FW136" s="109" t="str">
        <f t="shared" si="139"/>
        <v/>
      </c>
      <c r="FX136" s="109" t="str">
        <f t="shared" si="62"/>
        <v/>
      </c>
      <c r="FY136" s="110" t="str">
        <f t="shared" si="240"/>
        <v/>
      </c>
      <c r="GA136" s="108" t="str">
        <f t="shared" si="141"/>
        <v/>
      </c>
      <c r="GB136" s="109" t="str">
        <f t="shared" si="142"/>
        <v/>
      </c>
      <c r="GC136" s="109" t="str">
        <f t="shared" si="63"/>
        <v/>
      </c>
      <c r="GD136" s="110" t="str">
        <f t="shared" si="241"/>
        <v/>
      </c>
      <c r="GF136" s="108" t="str">
        <f t="shared" si="64"/>
        <v/>
      </c>
      <c r="GG136" s="109" t="str">
        <f t="shared" si="143"/>
        <v/>
      </c>
      <c r="GH136" s="109" t="str">
        <f t="shared" si="65"/>
        <v/>
      </c>
      <c r="GI136" s="110" t="str">
        <f t="shared" si="242"/>
        <v/>
      </c>
      <c r="GK136" s="108" t="str">
        <f t="shared" si="145"/>
        <v/>
      </c>
      <c r="GL136" s="109" t="str">
        <f t="shared" si="146"/>
        <v/>
      </c>
      <c r="GM136" s="109" t="str">
        <f t="shared" si="147"/>
        <v/>
      </c>
      <c r="GN136" s="110" t="str">
        <f t="shared" si="243"/>
        <v/>
      </c>
      <c r="GR136" s="108" t="str">
        <f t="shared" si="66"/>
        <v/>
      </c>
      <c r="GS136" s="109" t="str">
        <f t="shared" si="67"/>
        <v/>
      </c>
      <c r="GT136" s="109" t="str">
        <f t="shared" si="68"/>
        <v/>
      </c>
      <c r="GU136" s="110" t="str">
        <f t="shared" si="69"/>
        <v/>
      </c>
      <c r="GV136" s="51"/>
      <c r="GW136" s="108" t="str">
        <f t="shared" si="70"/>
        <v/>
      </c>
      <c r="GX136" s="109" t="str">
        <f t="shared" si="148"/>
        <v/>
      </c>
      <c r="GY136" s="109" t="str">
        <f t="shared" si="71"/>
        <v/>
      </c>
      <c r="GZ136" s="110" t="str">
        <f t="shared" si="72"/>
        <v/>
      </c>
      <c r="HA136" s="51"/>
      <c r="HB136" s="108" t="str">
        <f t="shared" si="149"/>
        <v/>
      </c>
      <c r="HC136" s="109" t="str">
        <f t="shared" si="150"/>
        <v/>
      </c>
      <c r="HD136" s="109" t="str">
        <f t="shared" si="73"/>
        <v/>
      </c>
      <c r="HE136" s="110" t="str">
        <f t="shared" si="151"/>
        <v/>
      </c>
      <c r="HF136" s="51"/>
      <c r="HG136" s="108" t="str">
        <f t="shared" si="74"/>
        <v/>
      </c>
      <c r="HH136" s="109" t="str">
        <f t="shared" si="152"/>
        <v/>
      </c>
      <c r="HI136" s="109" t="str">
        <f t="shared" si="75"/>
        <v/>
      </c>
      <c r="HJ136" s="110" t="str">
        <f t="shared" si="193"/>
        <v/>
      </c>
      <c r="HK136" s="51"/>
      <c r="HL136" s="108" t="str">
        <f t="shared" si="153"/>
        <v/>
      </c>
      <c r="HM136" s="109" t="str">
        <f t="shared" si="154"/>
        <v/>
      </c>
      <c r="HN136" s="109" t="str">
        <f t="shared" si="76"/>
        <v/>
      </c>
      <c r="HO136" s="110" t="str">
        <f t="shared" si="155"/>
        <v/>
      </c>
      <c r="HP136" s="51"/>
      <c r="HQ136" s="108" t="str">
        <f t="shared" si="77"/>
        <v/>
      </c>
      <c r="HR136" s="109" t="str">
        <f t="shared" si="156"/>
        <v/>
      </c>
      <c r="HS136" s="109" t="str">
        <f t="shared" si="78"/>
        <v/>
      </c>
      <c r="HT136" s="110" t="str">
        <f t="shared" si="194"/>
        <v/>
      </c>
      <c r="HU136" s="51"/>
      <c r="HV136" s="108" t="str">
        <f t="shared" si="157"/>
        <v/>
      </c>
      <c r="HW136" s="109" t="str">
        <f t="shared" si="158"/>
        <v/>
      </c>
      <c r="HX136" s="109" t="str">
        <f t="shared" si="79"/>
        <v/>
      </c>
      <c r="HY136" s="110" t="str">
        <f t="shared" si="159"/>
        <v/>
      </c>
      <c r="HZ136" s="51"/>
      <c r="IA136" s="108" t="str">
        <f t="shared" si="80"/>
        <v/>
      </c>
      <c r="IB136" s="109" t="str">
        <f t="shared" si="160"/>
        <v/>
      </c>
      <c r="IC136" s="109" t="str">
        <f t="shared" si="81"/>
        <v/>
      </c>
      <c r="ID136" s="110" t="str">
        <f t="shared" si="195"/>
        <v/>
      </c>
      <c r="IE136" s="51"/>
      <c r="IF136" s="108" t="str">
        <f t="shared" si="161"/>
        <v/>
      </c>
      <c r="IG136" s="109" t="str">
        <f t="shared" si="162"/>
        <v/>
      </c>
      <c r="IH136" s="109" t="str">
        <f t="shared" si="82"/>
        <v/>
      </c>
      <c r="II136" s="110" t="str">
        <f t="shared" si="163"/>
        <v/>
      </c>
      <c r="IJ136" s="51"/>
      <c r="IK136" s="108" t="str">
        <f t="shared" si="83"/>
        <v/>
      </c>
      <c r="IL136" s="109" t="str">
        <f t="shared" si="164"/>
        <v/>
      </c>
      <c r="IM136" s="109" t="str">
        <f t="shared" si="84"/>
        <v/>
      </c>
      <c r="IN136" s="110" t="str">
        <f t="shared" si="196"/>
        <v/>
      </c>
      <c r="IO136" s="51"/>
      <c r="IP136" s="108" t="str">
        <f t="shared" si="165"/>
        <v/>
      </c>
      <c r="IQ136" s="109" t="str">
        <f t="shared" si="166"/>
        <v/>
      </c>
      <c r="IR136" s="109" t="str">
        <f t="shared" si="85"/>
        <v/>
      </c>
      <c r="IS136" s="110" t="str">
        <f t="shared" si="167"/>
        <v/>
      </c>
      <c r="IT136" s="51"/>
      <c r="IU136" s="108" t="str">
        <f t="shared" si="86"/>
        <v/>
      </c>
      <c r="IV136" s="109" t="str">
        <f t="shared" si="168"/>
        <v/>
      </c>
      <c r="IW136" s="109" t="str">
        <f t="shared" si="87"/>
        <v/>
      </c>
      <c r="IX136" s="110" t="str">
        <f t="shared" si="197"/>
        <v/>
      </c>
      <c r="IY136" s="51"/>
      <c r="IZ136" s="108" t="str">
        <f t="shared" si="169"/>
        <v/>
      </c>
      <c r="JA136" s="109" t="str">
        <f t="shared" si="170"/>
        <v/>
      </c>
      <c r="JB136" s="109" t="str">
        <f t="shared" si="88"/>
        <v/>
      </c>
      <c r="JC136" s="110" t="str">
        <f t="shared" si="171"/>
        <v/>
      </c>
      <c r="JD136" s="51"/>
      <c r="JE136" s="108" t="str">
        <f t="shared" si="89"/>
        <v/>
      </c>
      <c r="JF136" s="109" t="str">
        <f t="shared" si="172"/>
        <v/>
      </c>
      <c r="JG136" s="109" t="str">
        <f t="shared" si="90"/>
        <v/>
      </c>
      <c r="JH136" s="110" t="str">
        <f t="shared" si="198"/>
        <v/>
      </c>
      <c r="JI136" s="51"/>
      <c r="JJ136" s="108" t="str">
        <f t="shared" si="173"/>
        <v/>
      </c>
      <c r="JK136" s="109" t="str">
        <f t="shared" si="174"/>
        <v/>
      </c>
      <c r="JL136" s="109" t="str">
        <f t="shared" si="91"/>
        <v/>
      </c>
      <c r="JM136" s="110" t="str">
        <f t="shared" si="175"/>
        <v/>
      </c>
      <c r="JN136" s="51"/>
      <c r="JO136" s="108" t="str">
        <f t="shared" si="92"/>
        <v/>
      </c>
      <c r="JP136" s="109" t="str">
        <f t="shared" si="176"/>
        <v/>
      </c>
      <c r="JQ136" s="109" t="str">
        <f t="shared" si="93"/>
        <v/>
      </c>
      <c r="JR136" s="110" t="str">
        <f t="shared" si="199"/>
        <v/>
      </c>
      <c r="JS136" s="51"/>
      <c r="JT136" s="108" t="str">
        <f t="shared" si="177"/>
        <v/>
      </c>
      <c r="JU136" s="109" t="str">
        <f t="shared" si="178"/>
        <v/>
      </c>
      <c r="JV136" s="109" t="str">
        <f t="shared" si="94"/>
        <v/>
      </c>
      <c r="JW136" s="110" t="str">
        <f t="shared" si="179"/>
        <v/>
      </c>
      <c r="JX136" s="51"/>
      <c r="JY136" s="108" t="str">
        <f t="shared" si="95"/>
        <v/>
      </c>
      <c r="JZ136" s="109" t="str">
        <f t="shared" si="180"/>
        <v/>
      </c>
      <c r="KA136" s="109" t="str">
        <f t="shared" si="96"/>
        <v/>
      </c>
      <c r="KB136" s="110" t="str">
        <f t="shared" si="200"/>
        <v/>
      </c>
      <c r="KC136" s="51"/>
      <c r="KD136" s="108" t="str">
        <f t="shared" si="181"/>
        <v/>
      </c>
      <c r="KE136" s="109" t="str">
        <f t="shared" si="182"/>
        <v/>
      </c>
      <c r="KF136" s="109" t="str">
        <f t="shared" si="97"/>
        <v/>
      </c>
      <c r="KG136" s="110" t="str">
        <f t="shared" si="98"/>
        <v/>
      </c>
    </row>
    <row r="137" spans="1:293" ht="12" customHeight="1">
      <c r="A137" s="105">
        <f t="array" ref="A137">MAX(IF($J$80:J136&gt;0,$C$80:C136,0))</f>
        <v>43535</v>
      </c>
      <c r="B137" s="81" t="str">
        <f t="shared" si="4"/>
        <v/>
      </c>
      <c r="C137" s="82">
        <f t="shared" si="5"/>
        <v>0</v>
      </c>
      <c r="D137" s="83" t="str">
        <f t="shared" si="6"/>
        <v/>
      </c>
      <c r="E137" s="83" t="str">
        <f t="shared" si="99"/>
        <v/>
      </c>
      <c r="F137" s="83" t="str">
        <f t="shared" si="7"/>
        <v/>
      </c>
      <c r="G137" s="83" t="str">
        <f t="shared" si="8"/>
        <v/>
      </c>
      <c r="H137" s="83" t="str">
        <f t="shared" si="9"/>
        <v/>
      </c>
      <c r="I137" s="105">
        <f t="array" ref="I137">MAX(IF($R$80:R136&gt;0,$L$80:L136,0))</f>
        <v>0</v>
      </c>
      <c r="J137" s="106"/>
      <c r="K137" s="2" t="str">
        <f t="shared" si="10"/>
        <v/>
      </c>
      <c r="L137" s="82">
        <f t="shared" si="183"/>
        <v>0</v>
      </c>
      <c r="M137" s="83" t="str">
        <f t="shared" si="11"/>
        <v/>
      </c>
      <c r="N137" s="83" t="str">
        <f t="shared" si="12"/>
        <v/>
      </c>
      <c r="O137" s="83" t="str">
        <f t="shared" si="13"/>
        <v/>
      </c>
      <c r="P137" s="83" t="str">
        <f t="shared" si="14"/>
        <v/>
      </c>
      <c r="Q137" s="83" t="str">
        <f t="shared" si="15"/>
        <v/>
      </c>
      <c r="R137" s="106"/>
      <c r="S137" s="1"/>
      <c r="U137" s="85" t="e">
        <f t="shared" si="0"/>
        <v>#NUM!</v>
      </c>
      <c r="V137" s="86" t="e">
        <f t="shared" si="100"/>
        <v>#NUM!</v>
      </c>
      <c r="W137" s="87" t="e">
        <f t="shared" si="16"/>
        <v>#NUM!</v>
      </c>
      <c r="X137" s="87" t="e">
        <f t="shared" si="17"/>
        <v>#NUM!</v>
      </c>
      <c r="Y137" s="87" t="e">
        <f t="shared" si="18"/>
        <v>#NUM!</v>
      </c>
      <c r="Z137" s="88" t="e">
        <f t="shared" si="1"/>
        <v>#NUM!</v>
      </c>
      <c r="AA137" t="s">
        <v>282</v>
      </c>
      <c r="AB137" s="89">
        <f t="shared" si="101"/>
        <v>0</v>
      </c>
      <c r="AC137" s="87">
        <f t="shared" si="19"/>
        <v>0</v>
      </c>
      <c r="AD137" s="87" t="str">
        <f t="shared" si="20"/>
        <v/>
      </c>
      <c r="AE137" s="87" t="str">
        <f t="shared" si="21"/>
        <v/>
      </c>
      <c r="AF137" s="86">
        <f t="shared" si="102"/>
        <v>0</v>
      </c>
      <c r="AG137" s="87">
        <f t="shared" si="2"/>
        <v>0</v>
      </c>
      <c r="AH137" s="87">
        <f t="shared" si="103"/>
        <v>0</v>
      </c>
      <c r="AI137" s="90"/>
      <c r="AJ137" s="87" t="e">
        <f t="shared" si="22"/>
        <v>#NUM!</v>
      </c>
      <c r="AK137" s="87" t="e">
        <f t="shared" si="104"/>
        <v>#NUM!</v>
      </c>
      <c r="AL137" s="87" t="e">
        <f t="shared" si="105"/>
        <v>#NUM!</v>
      </c>
      <c r="AM137" s="87" t="e">
        <f t="shared" si="106"/>
        <v>#NUM!</v>
      </c>
      <c r="AN137" s="86">
        <f t="shared" si="23"/>
        <v>0</v>
      </c>
      <c r="AO137" s="87">
        <f t="shared" si="24"/>
        <v>0</v>
      </c>
      <c r="AP137" s="88">
        <f t="shared" si="25"/>
        <v>0</v>
      </c>
      <c r="AR137" s="91">
        <f t="shared" si="26"/>
        <v>0</v>
      </c>
      <c r="AS137" s="92">
        <f t="shared" si="27"/>
        <v>0</v>
      </c>
      <c r="AT137" s="87" t="str">
        <f t="shared" si="28"/>
        <v/>
      </c>
      <c r="AU137" s="87" t="str">
        <f t="shared" si="29"/>
        <v/>
      </c>
      <c r="AV137" s="86">
        <f t="shared" si="107"/>
        <v>0</v>
      </c>
      <c r="AW137" s="87">
        <f t="shared" si="108"/>
        <v>0</v>
      </c>
      <c r="AX137" s="87">
        <f t="shared" si="109"/>
        <v>0</v>
      </c>
      <c r="AY137" s="93"/>
      <c r="AZ137" s="87">
        <f t="shared" si="201"/>
        <v>0</v>
      </c>
      <c r="BA137" s="87">
        <f t="shared" si="110"/>
        <v>0</v>
      </c>
      <c r="BB137" s="87">
        <f t="shared" si="111"/>
        <v>0</v>
      </c>
      <c r="BC137" s="87">
        <f t="shared" si="184"/>
        <v>0</v>
      </c>
      <c r="BD137" s="86" t="e">
        <f t="shared" si="30"/>
        <v>#NUM!</v>
      </c>
      <c r="BE137" s="87" t="e">
        <f t="shared" si="3"/>
        <v>#NUM!</v>
      </c>
      <c r="BF137" s="88">
        <f t="shared" si="112"/>
        <v>0</v>
      </c>
      <c r="BH137" s="87" t="e">
        <f t="shared" si="31"/>
        <v>#NUM!</v>
      </c>
      <c r="BK137" s="95">
        <v>40830</v>
      </c>
      <c r="BL137" s="96">
        <v>58</v>
      </c>
      <c r="BT137" s="51"/>
      <c r="BU137" s="51"/>
      <c r="BV137" s="30"/>
      <c r="BW137" s="107"/>
      <c r="CY137" s="108" t="str">
        <f t="shared" si="32"/>
        <v/>
      </c>
      <c r="CZ137" s="109" t="str">
        <f t="shared" si="33"/>
        <v/>
      </c>
      <c r="DA137" s="109" t="str">
        <f t="shared" si="34"/>
        <v/>
      </c>
      <c r="DB137" s="110" t="str">
        <f t="shared" si="225"/>
        <v/>
      </c>
      <c r="DD137" s="108" t="str">
        <f t="shared" si="36"/>
        <v/>
      </c>
      <c r="DE137" s="109" t="str">
        <f t="shared" si="114"/>
        <v/>
      </c>
      <c r="DF137" s="109" t="str">
        <f t="shared" si="37"/>
        <v/>
      </c>
      <c r="DG137" s="110" t="str">
        <f t="shared" si="226"/>
        <v/>
      </c>
      <c r="DI137" s="108" t="str">
        <f t="shared" si="115"/>
        <v/>
      </c>
      <c r="DJ137" s="109" t="str">
        <f t="shared" si="116"/>
        <v/>
      </c>
      <c r="DK137" s="109" t="str">
        <f t="shared" si="39"/>
        <v/>
      </c>
      <c r="DL137" s="110" t="str">
        <f t="shared" si="227"/>
        <v/>
      </c>
      <c r="DN137" s="108" t="str">
        <f t="shared" si="41"/>
        <v/>
      </c>
      <c r="DO137" s="109" t="str">
        <f t="shared" si="42"/>
        <v/>
      </c>
      <c r="DP137" s="109" t="str">
        <f t="shared" si="43"/>
        <v/>
      </c>
      <c r="DQ137" s="110" t="str">
        <f t="shared" si="228"/>
        <v/>
      </c>
      <c r="DS137" s="108" t="str">
        <f t="shared" si="117"/>
        <v/>
      </c>
      <c r="DT137" s="109" t="str">
        <f t="shared" si="118"/>
        <v/>
      </c>
      <c r="DU137" s="109" t="str">
        <f t="shared" si="45"/>
        <v/>
      </c>
      <c r="DV137" s="110" t="str">
        <f t="shared" si="229"/>
        <v/>
      </c>
      <c r="DX137" s="108" t="str">
        <f t="shared" si="46"/>
        <v/>
      </c>
      <c r="DY137" s="109" t="str">
        <f t="shared" si="119"/>
        <v/>
      </c>
      <c r="DZ137" s="109" t="str">
        <f t="shared" si="47"/>
        <v/>
      </c>
      <c r="EA137" s="110" t="str">
        <f t="shared" si="230"/>
        <v/>
      </c>
      <c r="EC137" s="108" t="str">
        <f t="shared" si="121"/>
        <v/>
      </c>
      <c r="ED137" s="109" t="str">
        <f t="shared" si="122"/>
        <v/>
      </c>
      <c r="EE137" s="109" t="str">
        <f t="shared" si="48"/>
        <v/>
      </c>
      <c r="EF137" s="110" t="str">
        <f t="shared" si="231"/>
        <v/>
      </c>
      <c r="EH137" s="108" t="str">
        <f t="shared" si="49"/>
        <v/>
      </c>
      <c r="EI137" s="109" t="str">
        <f t="shared" si="123"/>
        <v/>
      </c>
      <c r="EJ137" s="109" t="str">
        <f t="shared" si="50"/>
        <v/>
      </c>
      <c r="EK137" s="110" t="str">
        <f t="shared" si="232"/>
        <v/>
      </c>
      <c r="EM137" s="108" t="str">
        <f t="shared" si="125"/>
        <v/>
      </c>
      <c r="EN137" s="109" t="str">
        <f t="shared" si="126"/>
        <v/>
      </c>
      <c r="EO137" s="109" t="str">
        <f t="shared" si="51"/>
        <v/>
      </c>
      <c r="EP137" s="110" t="str">
        <f t="shared" si="233"/>
        <v/>
      </c>
      <c r="ER137" s="108" t="str">
        <f t="shared" si="52"/>
        <v/>
      </c>
      <c r="ES137" s="109" t="str">
        <f t="shared" si="127"/>
        <v/>
      </c>
      <c r="ET137" s="109" t="str">
        <f t="shared" si="53"/>
        <v/>
      </c>
      <c r="EU137" s="110" t="str">
        <f t="shared" si="234"/>
        <v/>
      </c>
      <c r="EW137" s="108" t="str">
        <f t="shared" si="129"/>
        <v/>
      </c>
      <c r="EX137" s="109" t="str">
        <f t="shared" si="130"/>
        <v/>
      </c>
      <c r="EY137" s="109" t="str">
        <f t="shared" si="54"/>
        <v/>
      </c>
      <c r="EZ137" s="110" t="str">
        <f t="shared" si="235"/>
        <v/>
      </c>
      <c r="FB137" s="108" t="str">
        <f t="shared" si="55"/>
        <v/>
      </c>
      <c r="FC137" s="109" t="str">
        <f t="shared" si="131"/>
        <v/>
      </c>
      <c r="FD137" s="109" t="str">
        <f t="shared" si="56"/>
        <v/>
      </c>
      <c r="FE137" s="110" t="str">
        <f t="shared" si="236"/>
        <v/>
      </c>
      <c r="FG137" s="108" t="str">
        <f t="shared" si="133"/>
        <v/>
      </c>
      <c r="FH137" s="109" t="str">
        <f t="shared" si="134"/>
        <v/>
      </c>
      <c r="FI137" s="109" t="str">
        <f t="shared" si="57"/>
        <v/>
      </c>
      <c r="FJ137" s="110" t="str">
        <f t="shared" si="237"/>
        <v/>
      </c>
      <c r="FL137" s="108" t="str">
        <f t="shared" si="58"/>
        <v/>
      </c>
      <c r="FM137" s="109" t="str">
        <f t="shared" si="135"/>
        <v/>
      </c>
      <c r="FN137" s="109" t="str">
        <f t="shared" si="59"/>
        <v/>
      </c>
      <c r="FO137" s="110" t="str">
        <f t="shared" si="238"/>
        <v/>
      </c>
      <c r="FQ137" s="108" t="str">
        <f t="shared" si="137"/>
        <v/>
      </c>
      <c r="FR137" s="109" t="str">
        <f t="shared" si="138"/>
        <v/>
      </c>
      <c r="FS137" s="109" t="str">
        <f t="shared" si="60"/>
        <v/>
      </c>
      <c r="FT137" s="110" t="str">
        <f t="shared" si="239"/>
        <v/>
      </c>
      <c r="FV137" s="108" t="str">
        <f t="shared" si="61"/>
        <v/>
      </c>
      <c r="FW137" s="109" t="str">
        <f t="shared" si="139"/>
        <v/>
      </c>
      <c r="FX137" s="109" t="str">
        <f t="shared" si="62"/>
        <v/>
      </c>
      <c r="FY137" s="110" t="str">
        <f t="shared" si="240"/>
        <v/>
      </c>
      <c r="GA137" s="108" t="str">
        <f t="shared" si="141"/>
        <v/>
      </c>
      <c r="GB137" s="109" t="str">
        <f t="shared" si="142"/>
        <v/>
      </c>
      <c r="GC137" s="109" t="str">
        <f t="shared" si="63"/>
        <v/>
      </c>
      <c r="GD137" s="110" t="str">
        <f t="shared" si="241"/>
        <v/>
      </c>
      <c r="GF137" s="108" t="str">
        <f t="shared" si="64"/>
        <v/>
      </c>
      <c r="GG137" s="109" t="str">
        <f t="shared" si="143"/>
        <v/>
      </c>
      <c r="GH137" s="109" t="str">
        <f t="shared" si="65"/>
        <v/>
      </c>
      <c r="GI137" s="110" t="str">
        <f t="shared" si="242"/>
        <v/>
      </c>
      <c r="GK137" s="108" t="str">
        <f t="shared" si="145"/>
        <v/>
      </c>
      <c r="GL137" s="109" t="str">
        <f t="shared" si="146"/>
        <v/>
      </c>
      <c r="GM137" s="109" t="str">
        <f t="shared" si="147"/>
        <v/>
      </c>
      <c r="GN137" s="110" t="str">
        <f t="shared" si="243"/>
        <v/>
      </c>
      <c r="GR137" s="108" t="str">
        <f t="shared" si="66"/>
        <v/>
      </c>
      <c r="GS137" s="109" t="str">
        <f t="shared" si="67"/>
        <v/>
      </c>
      <c r="GT137" s="109" t="str">
        <f t="shared" si="68"/>
        <v/>
      </c>
      <c r="GU137" s="110" t="str">
        <f t="shared" si="69"/>
        <v/>
      </c>
      <c r="GV137" s="51"/>
      <c r="GW137" s="108" t="str">
        <f t="shared" si="70"/>
        <v/>
      </c>
      <c r="GX137" s="109" t="str">
        <f t="shared" si="148"/>
        <v/>
      </c>
      <c r="GY137" s="109" t="str">
        <f t="shared" si="71"/>
        <v/>
      </c>
      <c r="GZ137" s="110" t="str">
        <f t="shared" si="72"/>
        <v/>
      </c>
      <c r="HA137" s="51"/>
      <c r="HB137" s="108" t="str">
        <f t="shared" si="149"/>
        <v/>
      </c>
      <c r="HC137" s="109" t="str">
        <f t="shared" si="150"/>
        <v/>
      </c>
      <c r="HD137" s="109" t="str">
        <f t="shared" si="73"/>
        <v/>
      </c>
      <c r="HE137" s="110" t="str">
        <f t="shared" si="151"/>
        <v/>
      </c>
      <c r="HF137" s="51"/>
      <c r="HG137" s="108" t="str">
        <f t="shared" si="74"/>
        <v/>
      </c>
      <c r="HH137" s="109" t="str">
        <f t="shared" si="152"/>
        <v/>
      </c>
      <c r="HI137" s="109" t="str">
        <f t="shared" si="75"/>
        <v/>
      </c>
      <c r="HJ137" s="110" t="str">
        <f t="shared" si="193"/>
        <v/>
      </c>
      <c r="HK137" s="51"/>
      <c r="HL137" s="108" t="str">
        <f t="shared" si="153"/>
        <v/>
      </c>
      <c r="HM137" s="109" t="str">
        <f t="shared" si="154"/>
        <v/>
      </c>
      <c r="HN137" s="109" t="str">
        <f t="shared" si="76"/>
        <v/>
      </c>
      <c r="HO137" s="110" t="str">
        <f t="shared" si="155"/>
        <v/>
      </c>
      <c r="HP137" s="51"/>
      <c r="HQ137" s="108" t="str">
        <f t="shared" si="77"/>
        <v/>
      </c>
      <c r="HR137" s="109" t="str">
        <f t="shared" si="156"/>
        <v/>
      </c>
      <c r="HS137" s="109" t="str">
        <f t="shared" si="78"/>
        <v/>
      </c>
      <c r="HT137" s="110" t="str">
        <f t="shared" si="194"/>
        <v/>
      </c>
      <c r="HU137" s="51"/>
      <c r="HV137" s="108" t="str">
        <f t="shared" si="157"/>
        <v/>
      </c>
      <c r="HW137" s="109" t="str">
        <f t="shared" si="158"/>
        <v/>
      </c>
      <c r="HX137" s="109" t="str">
        <f t="shared" si="79"/>
        <v/>
      </c>
      <c r="HY137" s="110" t="str">
        <f t="shared" si="159"/>
        <v/>
      </c>
      <c r="HZ137" s="51"/>
      <c r="IA137" s="108" t="str">
        <f t="shared" si="80"/>
        <v/>
      </c>
      <c r="IB137" s="109" t="str">
        <f t="shared" si="160"/>
        <v/>
      </c>
      <c r="IC137" s="109" t="str">
        <f t="shared" si="81"/>
        <v/>
      </c>
      <c r="ID137" s="110" t="str">
        <f t="shared" si="195"/>
        <v/>
      </c>
      <c r="IE137" s="51"/>
      <c r="IF137" s="108" t="str">
        <f t="shared" si="161"/>
        <v/>
      </c>
      <c r="IG137" s="109" t="str">
        <f t="shared" si="162"/>
        <v/>
      </c>
      <c r="IH137" s="109" t="str">
        <f t="shared" si="82"/>
        <v/>
      </c>
      <c r="II137" s="110" t="str">
        <f t="shared" si="163"/>
        <v/>
      </c>
      <c r="IJ137" s="51"/>
      <c r="IK137" s="108" t="str">
        <f t="shared" si="83"/>
        <v/>
      </c>
      <c r="IL137" s="109" t="str">
        <f t="shared" si="164"/>
        <v/>
      </c>
      <c r="IM137" s="109" t="str">
        <f t="shared" si="84"/>
        <v/>
      </c>
      <c r="IN137" s="110" t="str">
        <f t="shared" si="196"/>
        <v/>
      </c>
      <c r="IO137" s="51"/>
      <c r="IP137" s="108" t="str">
        <f t="shared" si="165"/>
        <v/>
      </c>
      <c r="IQ137" s="109" t="str">
        <f t="shared" si="166"/>
        <v/>
      </c>
      <c r="IR137" s="109" t="str">
        <f t="shared" si="85"/>
        <v/>
      </c>
      <c r="IS137" s="110" t="str">
        <f t="shared" si="167"/>
        <v/>
      </c>
      <c r="IT137" s="51"/>
      <c r="IU137" s="108" t="str">
        <f t="shared" si="86"/>
        <v/>
      </c>
      <c r="IV137" s="109" t="str">
        <f t="shared" si="168"/>
        <v/>
      </c>
      <c r="IW137" s="109" t="str">
        <f t="shared" si="87"/>
        <v/>
      </c>
      <c r="IX137" s="110" t="str">
        <f t="shared" si="197"/>
        <v/>
      </c>
      <c r="IY137" s="51"/>
      <c r="IZ137" s="108" t="str">
        <f t="shared" si="169"/>
        <v/>
      </c>
      <c r="JA137" s="109" t="str">
        <f t="shared" si="170"/>
        <v/>
      </c>
      <c r="JB137" s="109" t="str">
        <f t="shared" si="88"/>
        <v/>
      </c>
      <c r="JC137" s="110" t="str">
        <f t="shared" si="171"/>
        <v/>
      </c>
      <c r="JD137" s="51"/>
      <c r="JE137" s="108" t="str">
        <f t="shared" si="89"/>
        <v/>
      </c>
      <c r="JF137" s="109" t="str">
        <f t="shared" si="172"/>
        <v/>
      </c>
      <c r="JG137" s="109" t="str">
        <f t="shared" si="90"/>
        <v/>
      </c>
      <c r="JH137" s="110" t="str">
        <f t="shared" si="198"/>
        <v/>
      </c>
      <c r="JI137" s="51"/>
      <c r="JJ137" s="108" t="str">
        <f t="shared" si="173"/>
        <v/>
      </c>
      <c r="JK137" s="109" t="str">
        <f t="shared" si="174"/>
        <v/>
      </c>
      <c r="JL137" s="109" t="str">
        <f t="shared" si="91"/>
        <v/>
      </c>
      <c r="JM137" s="110" t="str">
        <f t="shared" si="175"/>
        <v/>
      </c>
      <c r="JN137" s="51"/>
      <c r="JO137" s="108" t="str">
        <f t="shared" si="92"/>
        <v/>
      </c>
      <c r="JP137" s="109" t="str">
        <f t="shared" si="176"/>
        <v/>
      </c>
      <c r="JQ137" s="109" t="str">
        <f t="shared" si="93"/>
        <v/>
      </c>
      <c r="JR137" s="110" t="str">
        <f t="shared" si="199"/>
        <v/>
      </c>
      <c r="JS137" s="51"/>
      <c r="JT137" s="108" t="str">
        <f t="shared" si="177"/>
        <v/>
      </c>
      <c r="JU137" s="109" t="str">
        <f t="shared" si="178"/>
        <v/>
      </c>
      <c r="JV137" s="109" t="str">
        <f t="shared" si="94"/>
        <v/>
      </c>
      <c r="JW137" s="110" t="str">
        <f t="shared" si="179"/>
        <v/>
      </c>
      <c r="JX137" s="51"/>
      <c r="JY137" s="108" t="str">
        <f t="shared" si="95"/>
        <v/>
      </c>
      <c r="JZ137" s="109" t="str">
        <f t="shared" si="180"/>
        <v/>
      </c>
      <c r="KA137" s="109" t="str">
        <f t="shared" si="96"/>
        <v/>
      </c>
      <c r="KB137" s="110" t="str">
        <f t="shared" si="200"/>
        <v/>
      </c>
      <c r="KC137" s="51"/>
      <c r="KD137" s="108" t="str">
        <f t="shared" si="181"/>
        <v/>
      </c>
      <c r="KE137" s="109" t="str">
        <f t="shared" si="182"/>
        <v/>
      </c>
      <c r="KF137" s="109" t="str">
        <f t="shared" si="97"/>
        <v/>
      </c>
      <c r="KG137" s="110" t="str">
        <f t="shared" si="98"/>
        <v/>
      </c>
    </row>
    <row r="138" spans="1:293" ht="12" customHeight="1">
      <c r="A138" s="105">
        <f t="array" ref="A138">MAX(IF($J$80:J137&gt;0,$C$80:C137,0))</f>
        <v>43535</v>
      </c>
      <c r="B138" s="81" t="str">
        <f t="shared" si="4"/>
        <v/>
      </c>
      <c r="C138" s="82">
        <f t="shared" si="5"/>
        <v>0</v>
      </c>
      <c r="D138" s="83" t="str">
        <f t="shared" si="6"/>
        <v/>
      </c>
      <c r="E138" s="83" t="str">
        <f t="shared" si="99"/>
        <v/>
      </c>
      <c r="F138" s="83" t="str">
        <f t="shared" si="7"/>
        <v/>
      </c>
      <c r="G138" s="83" t="str">
        <f t="shared" si="8"/>
        <v/>
      </c>
      <c r="H138" s="83" t="str">
        <f t="shared" si="9"/>
        <v/>
      </c>
      <c r="I138" s="105">
        <f t="array" ref="I138">MAX(IF($R$80:R137&gt;0,$L$80:L137,0))</f>
        <v>0</v>
      </c>
      <c r="J138" s="106"/>
      <c r="K138" s="2" t="str">
        <f t="shared" si="10"/>
        <v/>
      </c>
      <c r="L138" s="82">
        <f t="shared" si="183"/>
        <v>0</v>
      </c>
      <c r="M138" s="83" t="str">
        <f t="shared" si="11"/>
        <v/>
      </c>
      <c r="N138" s="83" t="str">
        <f t="shared" si="12"/>
        <v/>
      </c>
      <c r="O138" s="83" t="str">
        <f t="shared" si="13"/>
        <v/>
      </c>
      <c r="P138" s="83" t="str">
        <f t="shared" si="14"/>
        <v/>
      </c>
      <c r="Q138" s="83" t="str">
        <f t="shared" si="15"/>
        <v/>
      </c>
      <c r="R138" s="106"/>
      <c r="S138" s="1"/>
      <c r="U138" s="85" t="e">
        <f t="shared" si="0"/>
        <v>#NUM!</v>
      </c>
      <c r="V138" s="86" t="e">
        <f t="shared" si="100"/>
        <v>#NUM!</v>
      </c>
      <c r="W138" s="87" t="e">
        <f t="shared" si="16"/>
        <v>#NUM!</v>
      </c>
      <c r="X138" s="87" t="e">
        <f t="shared" si="17"/>
        <v>#NUM!</v>
      </c>
      <c r="Y138" s="87" t="e">
        <f t="shared" si="18"/>
        <v>#NUM!</v>
      </c>
      <c r="Z138" s="88" t="e">
        <f t="shared" si="1"/>
        <v>#NUM!</v>
      </c>
      <c r="AA138" t="s">
        <v>282</v>
      </c>
      <c r="AB138" s="89">
        <f t="shared" si="101"/>
        <v>0</v>
      </c>
      <c r="AC138" s="87">
        <f t="shared" si="19"/>
        <v>0</v>
      </c>
      <c r="AD138" s="87" t="str">
        <f t="shared" si="20"/>
        <v/>
      </c>
      <c r="AE138" s="87" t="str">
        <f t="shared" si="21"/>
        <v/>
      </c>
      <c r="AF138" s="86">
        <f t="shared" si="102"/>
        <v>0</v>
      </c>
      <c r="AG138" s="87">
        <f t="shared" si="2"/>
        <v>0</v>
      </c>
      <c r="AH138" s="87">
        <f t="shared" si="103"/>
        <v>0</v>
      </c>
      <c r="AI138" s="90"/>
      <c r="AJ138" s="87" t="e">
        <f t="shared" si="22"/>
        <v>#NUM!</v>
      </c>
      <c r="AK138" s="87" t="e">
        <f t="shared" si="104"/>
        <v>#NUM!</v>
      </c>
      <c r="AL138" s="87" t="e">
        <f t="shared" si="105"/>
        <v>#NUM!</v>
      </c>
      <c r="AM138" s="87" t="e">
        <f t="shared" si="106"/>
        <v>#NUM!</v>
      </c>
      <c r="AN138" s="86">
        <f t="shared" si="23"/>
        <v>0</v>
      </c>
      <c r="AO138" s="87">
        <f t="shared" si="24"/>
        <v>0</v>
      </c>
      <c r="AP138" s="88">
        <f t="shared" si="25"/>
        <v>0</v>
      </c>
      <c r="AR138" s="91">
        <f t="shared" si="26"/>
        <v>0</v>
      </c>
      <c r="AS138" s="92">
        <f t="shared" si="27"/>
        <v>0</v>
      </c>
      <c r="AT138" s="87" t="str">
        <f t="shared" si="28"/>
        <v/>
      </c>
      <c r="AU138" s="87" t="str">
        <f t="shared" si="29"/>
        <v/>
      </c>
      <c r="AV138" s="86">
        <f t="shared" si="107"/>
        <v>0</v>
      </c>
      <c r="AW138" s="87">
        <f t="shared" si="108"/>
        <v>0</v>
      </c>
      <c r="AX138" s="87">
        <f t="shared" si="109"/>
        <v>0</v>
      </c>
      <c r="AY138" s="93"/>
      <c r="AZ138" s="87">
        <f t="shared" si="201"/>
        <v>0</v>
      </c>
      <c r="BA138" s="87">
        <f t="shared" si="110"/>
        <v>0</v>
      </c>
      <c r="BB138" s="87">
        <f t="shared" si="111"/>
        <v>0</v>
      </c>
      <c r="BC138" s="87">
        <f t="shared" si="184"/>
        <v>0</v>
      </c>
      <c r="BD138" s="86" t="e">
        <f t="shared" si="30"/>
        <v>#NUM!</v>
      </c>
      <c r="BE138" s="87" t="e">
        <f t="shared" si="3"/>
        <v>#NUM!</v>
      </c>
      <c r="BF138" s="88">
        <f t="shared" si="112"/>
        <v>0</v>
      </c>
      <c r="BH138" s="87" t="e">
        <f t="shared" si="31"/>
        <v>#NUM!</v>
      </c>
      <c r="BK138" s="95">
        <v>40870</v>
      </c>
      <c r="BL138" s="96">
        <v>59</v>
      </c>
      <c r="BT138" s="51"/>
      <c r="BU138" s="51"/>
      <c r="BV138" s="30"/>
      <c r="BW138" s="107"/>
      <c r="CY138" s="108" t="str">
        <f t="shared" si="32"/>
        <v/>
      </c>
      <c r="CZ138" s="109" t="str">
        <f t="shared" si="33"/>
        <v/>
      </c>
      <c r="DA138" s="109" t="str">
        <f t="shared" si="34"/>
        <v/>
      </c>
      <c r="DB138" s="110" t="str">
        <f t="shared" si="225"/>
        <v/>
      </c>
      <c r="DD138" s="108" t="str">
        <f t="shared" si="36"/>
        <v/>
      </c>
      <c r="DE138" s="109" t="str">
        <f t="shared" si="114"/>
        <v/>
      </c>
      <c r="DF138" s="109" t="str">
        <f t="shared" si="37"/>
        <v/>
      </c>
      <c r="DG138" s="110" t="str">
        <f t="shared" si="226"/>
        <v/>
      </c>
      <c r="DI138" s="108" t="str">
        <f t="shared" si="115"/>
        <v/>
      </c>
      <c r="DJ138" s="109" t="str">
        <f t="shared" si="116"/>
        <v/>
      </c>
      <c r="DK138" s="109" t="str">
        <f t="shared" si="39"/>
        <v/>
      </c>
      <c r="DL138" s="110" t="str">
        <f t="shared" si="227"/>
        <v/>
      </c>
      <c r="DN138" s="108" t="str">
        <f t="shared" si="41"/>
        <v/>
      </c>
      <c r="DO138" s="109" t="str">
        <f t="shared" si="42"/>
        <v/>
      </c>
      <c r="DP138" s="109" t="str">
        <f t="shared" si="43"/>
        <v/>
      </c>
      <c r="DQ138" s="110" t="str">
        <f t="shared" si="228"/>
        <v/>
      </c>
      <c r="DS138" s="108" t="str">
        <f t="shared" si="117"/>
        <v/>
      </c>
      <c r="DT138" s="109" t="str">
        <f t="shared" si="118"/>
        <v/>
      </c>
      <c r="DU138" s="109" t="str">
        <f t="shared" si="45"/>
        <v/>
      </c>
      <c r="DV138" s="110" t="str">
        <f t="shared" si="229"/>
        <v/>
      </c>
      <c r="DX138" s="108" t="str">
        <f t="shared" si="46"/>
        <v/>
      </c>
      <c r="DY138" s="109" t="str">
        <f t="shared" si="119"/>
        <v/>
      </c>
      <c r="DZ138" s="109" t="str">
        <f t="shared" si="47"/>
        <v/>
      </c>
      <c r="EA138" s="110" t="str">
        <f t="shared" si="230"/>
        <v/>
      </c>
      <c r="EC138" s="108" t="str">
        <f t="shared" si="121"/>
        <v/>
      </c>
      <c r="ED138" s="109" t="str">
        <f t="shared" si="122"/>
        <v/>
      </c>
      <c r="EE138" s="109" t="str">
        <f t="shared" si="48"/>
        <v/>
      </c>
      <c r="EF138" s="110" t="str">
        <f t="shared" si="231"/>
        <v/>
      </c>
      <c r="EH138" s="108" t="str">
        <f t="shared" si="49"/>
        <v/>
      </c>
      <c r="EI138" s="109" t="str">
        <f t="shared" si="123"/>
        <v/>
      </c>
      <c r="EJ138" s="109" t="str">
        <f t="shared" si="50"/>
        <v/>
      </c>
      <c r="EK138" s="110" t="str">
        <f t="shared" si="232"/>
        <v/>
      </c>
      <c r="EM138" s="108" t="str">
        <f t="shared" si="125"/>
        <v/>
      </c>
      <c r="EN138" s="109" t="str">
        <f t="shared" si="126"/>
        <v/>
      </c>
      <c r="EO138" s="109" t="str">
        <f t="shared" si="51"/>
        <v/>
      </c>
      <c r="EP138" s="110" t="str">
        <f t="shared" si="233"/>
        <v/>
      </c>
      <c r="ER138" s="108" t="str">
        <f t="shared" si="52"/>
        <v/>
      </c>
      <c r="ES138" s="109" t="str">
        <f t="shared" si="127"/>
        <v/>
      </c>
      <c r="ET138" s="109" t="str">
        <f t="shared" si="53"/>
        <v/>
      </c>
      <c r="EU138" s="110" t="str">
        <f t="shared" si="234"/>
        <v/>
      </c>
      <c r="EW138" s="108" t="str">
        <f t="shared" si="129"/>
        <v/>
      </c>
      <c r="EX138" s="109" t="str">
        <f t="shared" si="130"/>
        <v/>
      </c>
      <c r="EY138" s="109" t="str">
        <f t="shared" si="54"/>
        <v/>
      </c>
      <c r="EZ138" s="110" t="str">
        <f t="shared" si="235"/>
        <v/>
      </c>
      <c r="FB138" s="108" t="str">
        <f t="shared" si="55"/>
        <v/>
      </c>
      <c r="FC138" s="109" t="str">
        <f t="shared" si="131"/>
        <v/>
      </c>
      <c r="FD138" s="109" t="str">
        <f t="shared" si="56"/>
        <v/>
      </c>
      <c r="FE138" s="110" t="str">
        <f t="shared" si="236"/>
        <v/>
      </c>
      <c r="FG138" s="108" t="str">
        <f t="shared" si="133"/>
        <v/>
      </c>
      <c r="FH138" s="109" t="str">
        <f t="shared" si="134"/>
        <v/>
      </c>
      <c r="FI138" s="109" t="str">
        <f t="shared" si="57"/>
        <v/>
      </c>
      <c r="FJ138" s="110" t="str">
        <f t="shared" si="237"/>
        <v/>
      </c>
      <c r="FL138" s="108" t="str">
        <f t="shared" si="58"/>
        <v/>
      </c>
      <c r="FM138" s="109" t="str">
        <f t="shared" si="135"/>
        <v/>
      </c>
      <c r="FN138" s="109" t="str">
        <f t="shared" si="59"/>
        <v/>
      </c>
      <c r="FO138" s="110" t="str">
        <f t="shared" si="238"/>
        <v/>
      </c>
      <c r="FQ138" s="108" t="str">
        <f t="shared" si="137"/>
        <v/>
      </c>
      <c r="FR138" s="109" t="str">
        <f t="shared" si="138"/>
        <v/>
      </c>
      <c r="FS138" s="109" t="str">
        <f t="shared" si="60"/>
        <v/>
      </c>
      <c r="FT138" s="110" t="str">
        <f t="shared" si="239"/>
        <v/>
      </c>
      <c r="FV138" s="108" t="str">
        <f t="shared" si="61"/>
        <v/>
      </c>
      <c r="FW138" s="109" t="str">
        <f t="shared" si="139"/>
        <v/>
      </c>
      <c r="FX138" s="109" t="str">
        <f t="shared" si="62"/>
        <v/>
      </c>
      <c r="FY138" s="110" t="str">
        <f t="shared" si="240"/>
        <v/>
      </c>
      <c r="GA138" s="108" t="str">
        <f t="shared" si="141"/>
        <v/>
      </c>
      <c r="GB138" s="109" t="str">
        <f t="shared" si="142"/>
        <v/>
      </c>
      <c r="GC138" s="109" t="str">
        <f t="shared" si="63"/>
        <v/>
      </c>
      <c r="GD138" s="110" t="str">
        <f t="shared" si="241"/>
        <v/>
      </c>
      <c r="GF138" s="108" t="str">
        <f t="shared" si="64"/>
        <v/>
      </c>
      <c r="GG138" s="109" t="str">
        <f t="shared" si="143"/>
        <v/>
      </c>
      <c r="GH138" s="109" t="str">
        <f t="shared" si="65"/>
        <v/>
      </c>
      <c r="GI138" s="110" t="str">
        <f t="shared" si="242"/>
        <v/>
      </c>
      <c r="GK138" s="108" t="str">
        <f t="shared" si="145"/>
        <v/>
      </c>
      <c r="GL138" s="109" t="str">
        <f t="shared" si="146"/>
        <v/>
      </c>
      <c r="GM138" s="109" t="str">
        <f t="shared" si="147"/>
        <v/>
      </c>
      <c r="GN138" s="110" t="str">
        <f t="shared" si="243"/>
        <v/>
      </c>
      <c r="GR138" s="108" t="str">
        <f t="shared" si="66"/>
        <v/>
      </c>
      <c r="GS138" s="109" t="str">
        <f t="shared" si="67"/>
        <v/>
      </c>
      <c r="GT138" s="109" t="str">
        <f t="shared" si="68"/>
        <v/>
      </c>
      <c r="GU138" s="110" t="str">
        <f t="shared" si="69"/>
        <v/>
      </c>
      <c r="GV138" s="51"/>
      <c r="GW138" s="108" t="str">
        <f t="shared" si="70"/>
        <v/>
      </c>
      <c r="GX138" s="109" t="str">
        <f t="shared" si="148"/>
        <v/>
      </c>
      <c r="GY138" s="109" t="str">
        <f t="shared" si="71"/>
        <v/>
      </c>
      <c r="GZ138" s="110" t="str">
        <f t="shared" si="72"/>
        <v/>
      </c>
      <c r="HA138" s="51"/>
      <c r="HB138" s="108" t="str">
        <f t="shared" si="149"/>
        <v/>
      </c>
      <c r="HC138" s="109" t="str">
        <f t="shared" si="150"/>
        <v/>
      </c>
      <c r="HD138" s="109" t="str">
        <f t="shared" si="73"/>
        <v/>
      </c>
      <c r="HE138" s="110" t="str">
        <f t="shared" si="151"/>
        <v/>
      </c>
      <c r="HF138" s="51"/>
      <c r="HG138" s="108" t="str">
        <f t="shared" si="74"/>
        <v/>
      </c>
      <c r="HH138" s="109" t="str">
        <f t="shared" si="152"/>
        <v/>
      </c>
      <c r="HI138" s="109" t="str">
        <f t="shared" si="75"/>
        <v/>
      </c>
      <c r="HJ138" s="110" t="str">
        <f t="shared" si="193"/>
        <v/>
      </c>
      <c r="HK138" s="51"/>
      <c r="HL138" s="108" t="str">
        <f t="shared" si="153"/>
        <v/>
      </c>
      <c r="HM138" s="109" t="str">
        <f t="shared" si="154"/>
        <v/>
      </c>
      <c r="HN138" s="109" t="str">
        <f t="shared" si="76"/>
        <v/>
      </c>
      <c r="HO138" s="110" t="str">
        <f t="shared" si="155"/>
        <v/>
      </c>
      <c r="HP138" s="51"/>
      <c r="HQ138" s="108" t="str">
        <f t="shared" si="77"/>
        <v/>
      </c>
      <c r="HR138" s="109" t="str">
        <f t="shared" si="156"/>
        <v/>
      </c>
      <c r="HS138" s="109" t="str">
        <f t="shared" si="78"/>
        <v/>
      </c>
      <c r="HT138" s="110" t="str">
        <f t="shared" si="194"/>
        <v/>
      </c>
      <c r="HU138" s="51"/>
      <c r="HV138" s="108" t="str">
        <f t="shared" si="157"/>
        <v/>
      </c>
      <c r="HW138" s="109" t="str">
        <f t="shared" si="158"/>
        <v/>
      </c>
      <c r="HX138" s="109" t="str">
        <f t="shared" si="79"/>
        <v/>
      </c>
      <c r="HY138" s="110" t="str">
        <f t="shared" si="159"/>
        <v/>
      </c>
      <c r="HZ138" s="51"/>
      <c r="IA138" s="108" t="str">
        <f t="shared" si="80"/>
        <v/>
      </c>
      <c r="IB138" s="109" t="str">
        <f t="shared" si="160"/>
        <v/>
      </c>
      <c r="IC138" s="109" t="str">
        <f t="shared" si="81"/>
        <v/>
      </c>
      <c r="ID138" s="110" t="str">
        <f t="shared" si="195"/>
        <v/>
      </c>
      <c r="IE138" s="51"/>
      <c r="IF138" s="108" t="str">
        <f t="shared" si="161"/>
        <v/>
      </c>
      <c r="IG138" s="109" t="str">
        <f t="shared" si="162"/>
        <v/>
      </c>
      <c r="IH138" s="109" t="str">
        <f t="shared" si="82"/>
        <v/>
      </c>
      <c r="II138" s="110" t="str">
        <f t="shared" si="163"/>
        <v/>
      </c>
      <c r="IJ138" s="51"/>
      <c r="IK138" s="108" t="str">
        <f t="shared" si="83"/>
        <v/>
      </c>
      <c r="IL138" s="109" t="str">
        <f t="shared" si="164"/>
        <v/>
      </c>
      <c r="IM138" s="109" t="str">
        <f t="shared" si="84"/>
        <v/>
      </c>
      <c r="IN138" s="110" t="str">
        <f t="shared" si="196"/>
        <v/>
      </c>
      <c r="IO138" s="51"/>
      <c r="IP138" s="108" t="str">
        <f t="shared" si="165"/>
        <v/>
      </c>
      <c r="IQ138" s="109" t="str">
        <f t="shared" si="166"/>
        <v/>
      </c>
      <c r="IR138" s="109" t="str">
        <f t="shared" si="85"/>
        <v/>
      </c>
      <c r="IS138" s="110" t="str">
        <f t="shared" si="167"/>
        <v/>
      </c>
      <c r="IT138" s="51"/>
      <c r="IU138" s="108" t="str">
        <f t="shared" si="86"/>
        <v/>
      </c>
      <c r="IV138" s="109" t="str">
        <f t="shared" si="168"/>
        <v/>
      </c>
      <c r="IW138" s="109" t="str">
        <f t="shared" si="87"/>
        <v/>
      </c>
      <c r="IX138" s="110" t="str">
        <f t="shared" si="197"/>
        <v/>
      </c>
      <c r="IY138" s="51"/>
      <c r="IZ138" s="108" t="str">
        <f t="shared" si="169"/>
        <v/>
      </c>
      <c r="JA138" s="109" t="str">
        <f t="shared" si="170"/>
        <v/>
      </c>
      <c r="JB138" s="109" t="str">
        <f t="shared" si="88"/>
        <v/>
      </c>
      <c r="JC138" s="110" t="str">
        <f t="shared" si="171"/>
        <v/>
      </c>
      <c r="JD138" s="51"/>
      <c r="JE138" s="108" t="str">
        <f t="shared" si="89"/>
        <v/>
      </c>
      <c r="JF138" s="109" t="str">
        <f t="shared" si="172"/>
        <v/>
      </c>
      <c r="JG138" s="109" t="str">
        <f t="shared" si="90"/>
        <v/>
      </c>
      <c r="JH138" s="110" t="str">
        <f t="shared" si="198"/>
        <v/>
      </c>
      <c r="JI138" s="51"/>
      <c r="JJ138" s="108" t="str">
        <f t="shared" si="173"/>
        <v/>
      </c>
      <c r="JK138" s="109" t="str">
        <f t="shared" si="174"/>
        <v/>
      </c>
      <c r="JL138" s="109" t="str">
        <f t="shared" si="91"/>
        <v/>
      </c>
      <c r="JM138" s="110" t="str">
        <f t="shared" si="175"/>
        <v/>
      </c>
      <c r="JN138" s="51"/>
      <c r="JO138" s="108" t="str">
        <f t="shared" si="92"/>
        <v/>
      </c>
      <c r="JP138" s="109" t="str">
        <f t="shared" si="176"/>
        <v/>
      </c>
      <c r="JQ138" s="109" t="str">
        <f t="shared" si="93"/>
        <v/>
      </c>
      <c r="JR138" s="110" t="str">
        <f t="shared" si="199"/>
        <v/>
      </c>
      <c r="JS138" s="51"/>
      <c r="JT138" s="108" t="str">
        <f t="shared" si="177"/>
        <v/>
      </c>
      <c r="JU138" s="109" t="str">
        <f t="shared" si="178"/>
        <v/>
      </c>
      <c r="JV138" s="109" t="str">
        <f t="shared" si="94"/>
        <v/>
      </c>
      <c r="JW138" s="110" t="str">
        <f t="shared" si="179"/>
        <v/>
      </c>
      <c r="JX138" s="51"/>
      <c r="JY138" s="108" t="str">
        <f t="shared" si="95"/>
        <v/>
      </c>
      <c r="JZ138" s="109" t="str">
        <f t="shared" si="180"/>
        <v/>
      </c>
      <c r="KA138" s="109" t="str">
        <f t="shared" si="96"/>
        <v/>
      </c>
      <c r="KB138" s="110" t="str">
        <f t="shared" si="200"/>
        <v/>
      </c>
      <c r="KC138" s="51"/>
      <c r="KD138" s="108" t="str">
        <f t="shared" si="181"/>
        <v/>
      </c>
      <c r="KE138" s="109" t="str">
        <f t="shared" si="182"/>
        <v/>
      </c>
      <c r="KF138" s="109" t="str">
        <f t="shared" si="97"/>
        <v/>
      </c>
      <c r="KG138" s="110" t="str">
        <f t="shared" si="98"/>
        <v/>
      </c>
    </row>
    <row r="139" spans="1:293" ht="12" customHeight="1">
      <c r="A139" s="105">
        <f t="array" ref="A139">MAX(IF($J$80:J138&gt;0,$C$80:C138,0))</f>
        <v>43535</v>
      </c>
      <c r="B139" s="81" t="str">
        <f t="shared" si="4"/>
        <v/>
      </c>
      <c r="C139" s="82">
        <f t="shared" si="5"/>
        <v>0</v>
      </c>
      <c r="D139" s="83" t="str">
        <f t="shared" si="6"/>
        <v/>
      </c>
      <c r="E139" s="83" t="str">
        <f t="shared" si="99"/>
        <v/>
      </c>
      <c r="F139" s="83" t="str">
        <f t="shared" si="7"/>
        <v/>
      </c>
      <c r="G139" s="83" t="str">
        <f t="shared" si="8"/>
        <v/>
      </c>
      <c r="H139" s="83" t="str">
        <f t="shared" si="9"/>
        <v/>
      </c>
      <c r="I139" s="105">
        <f t="array" ref="I139">MAX(IF($R$80:R138&gt;0,$L$80:L138,0))</f>
        <v>0</v>
      </c>
      <c r="J139" s="106"/>
      <c r="K139" s="2" t="str">
        <f t="shared" si="10"/>
        <v/>
      </c>
      <c r="L139" s="82">
        <f t="shared" si="183"/>
        <v>0</v>
      </c>
      <c r="M139" s="83" t="str">
        <f t="shared" si="11"/>
        <v/>
      </c>
      <c r="N139" s="83" t="str">
        <f t="shared" si="12"/>
        <v/>
      </c>
      <c r="O139" s="83" t="str">
        <f t="shared" si="13"/>
        <v/>
      </c>
      <c r="P139" s="83" t="str">
        <f t="shared" si="14"/>
        <v/>
      </c>
      <c r="Q139" s="83" t="str">
        <f t="shared" si="15"/>
        <v/>
      </c>
      <c r="R139" s="106"/>
      <c r="S139" s="1"/>
      <c r="U139" s="85" t="e">
        <f t="shared" si="0"/>
        <v>#NUM!</v>
      </c>
      <c r="V139" s="86" t="e">
        <f t="shared" si="100"/>
        <v>#NUM!</v>
      </c>
      <c r="W139" s="87" t="e">
        <f t="shared" si="16"/>
        <v>#NUM!</v>
      </c>
      <c r="X139" s="87" t="e">
        <f t="shared" si="17"/>
        <v>#NUM!</v>
      </c>
      <c r="Y139" s="87" t="e">
        <f t="shared" si="18"/>
        <v>#NUM!</v>
      </c>
      <c r="Z139" s="88" t="e">
        <f t="shared" si="1"/>
        <v>#NUM!</v>
      </c>
      <c r="AA139" t="s">
        <v>282</v>
      </c>
      <c r="AB139" s="89">
        <f t="shared" si="101"/>
        <v>0</v>
      </c>
      <c r="AC139" s="87">
        <f t="shared" si="19"/>
        <v>0</v>
      </c>
      <c r="AD139" s="87" t="str">
        <f t="shared" si="20"/>
        <v/>
      </c>
      <c r="AE139" s="87" t="str">
        <f t="shared" si="21"/>
        <v/>
      </c>
      <c r="AF139" s="86">
        <f t="shared" si="102"/>
        <v>0</v>
      </c>
      <c r="AG139" s="87">
        <f t="shared" si="2"/>
        <v>0</v>
      </c>
      <c r="AH139" s="87">
        <f t="shared" si="103"/>
        <v>0</v>
      </c>
      <c r="AI139" s="90"/>
      <c r="AJ139" s="87" t="e">
        <f t="shared" si="22"/>
        <v>#NUM!</v>
      </c>
      <c r="AK139" s="87" t="e">
        <f t="shared" si="104"/>
        <v>#NUM!</v>
      </c>
      <c r="AL139" s="87" t="e">
        <f t="shared" si="105"/>
        <v>#NUM!</v>
      </c>
      <c r="AM139" s="87" t="e">
        <f t="shared" si="106"/>
        <v>#NUM!</v>
      </c>
      <c r="AN139" s="86">
        <f t="shared" si="23"/>
        <v>0</v>
      </c>
      <c r="AO139" s="87">
        <f t="shared" si="24"/>
        <v>0</v>
      </c>
      <c r="AP139" s="88">
        <f t="shared" si="25"/>
        <v>0</v>
      </c>
      <c r="AR139" s="91">
        <f t="shared" si="26"/>
        <v>0</v>
      </c>
      <c r="AS139" s="92">
        <f t="shared" si="27"/>
        <v>0</v>
      </c>
      <c r="AT139" s="87" t="str">
        <f t="shared" si="28"/>
        <v/>
      </c>
      <c r="AU139" s="87" t="str">
        <f t="shared" si="29"/>
        <v/>
      </c>
      <c r="AV139" s="86">
        <f t="shared" si="107"/>
        <v>0</v>
      </c>
      <c r="AW139" s="87">
        <f t="shared" si="108"/>
        <v>0</v>
      </c>
      <c r="AX139" s="87">
        <f t="shared" si="109"/>
        <v>0</v>
      </c>
      <c r="AY139" s="93"/>
      <c r="AZ139" s="87">
        <f t="shared" si="201"/>
        <v>0</v>
      </c>
      <c r="BA139" s="87">
        <f t="shared" si="110"/>
        <v>0</v>
      </c>
      <c r="BB139" s="87">
        <f t="shared" si="111"/>
        <v>0</v>
      </c>
      <c r="BC139" s="87">
        <f t="shared" si="184"/>
        <v>0</v>
      </c>
      <c r="BD139" s="86" t="e">
        <f t="shared" si="30"/>
        <v>#NUM!</v>
      </c>
      <c r="BE139" s="87" t="e">
        <f t="shared" si="3"/>
        <v>#NUM!</v>
      </c>
      <c r="BF139" s="88">
        <f t="shared" si="112"/>
        <v>0</v>
      </c>
      <c r="BH139" s="87" t="e">
        <f t="shared" si="31"/>
        <v>#NUM!</v>
      </c>
      <c r="BK139" s="95">
        <v>40909</v>
      </c>
      <c r="BL139" s="96">
        <v>60</v>
      </c>
      <c r="BT139" s="51"/>
      <c r="BU139" s="51"/>
      <c r="BV139" s="30"/>
      <c r="BW139" s="107"/>
      <c r="CY139" s="108" t="str">
        <f t="shared" si="32"/>
        <v/>
      </c>
      <c r="CZ139" s="109" t="str">
        <f t="shared" si="33"/>
        <v/>
      </c>
      <c r="DA139" s="109" t="str">
        <f t="shared" si="34"/>
        <v/>
      </c>
      <c r="DB139" s="110" t="str">
        <f t="shared" si="225"/>
        <v/>
      </c>
      <c r="DD139" s="108" t="str">
        <f t="shared" si="36"/>
        <v/>
      </c>
      <c r="DE139" s="109" t="str">
        <f t="shared" si="114"/>
        <v/>
      </c>
      <c r="DF139" s="109" t="str">
        <f t="shared" si="37"/>
        <v/>
      </c>
      <c r="DG139" s="110" t="str">
        <f t="shared" si="226"/>
        <v/>
      </c>
      <c r="DI139" s="108" t="str">
        <f t="shared" si="115"/>
        <v/>
      </c>
      <c r="DJ139" s="109" t="str">
        <f t="shared" si="116"/>
        <v/>
      </c>
      <c r="DK139" s="109" t="str">
        <f t="shared" si="39"/>
        <v/>
      </c>
      <c r="DL139" s="110" t="str">
        <f t="shared" si="227"/>
        <v/>
      </c>
      <c r="DN139" s="108" t="str">
        <f t="shared" si="41"/>
        <v/>
      </c>
      <c r="DO139" s="109" t="str">
        <f t="shared" si="42"/>
        <v/>
      </c>
      <c r="DP139" s="109" t="str">
        <f t="shared" si="43"/>
        <v/>
      </c>
      <c r="DQ139" s="110" t="str">
        <f t="shared" si="228"/>
        <v/>
      </c>
      <c r="DS139" s="108" t="str">
        <f t="shared" si="117"/>
        <v/>
      </c>
      <c r="DT139" s="109" t="str">
        <f t="shared" si="118"/>
        <v/>
      </c>
      <c r="DU139" s="109" t="str">
        <f t="shared" si="45"/>
        <v/>
      </c>
      <c r="DV139" s="110" t="str">
        <f t="shared" si="229"/>
        <v/>
      </c>
      <c r="DX139" s="108" t="str">
        <f t="shared" si="46"/>
        <v/>
      </c>
      <c r="DY139" s="109" t="str">
        <f t="shared" si="119"/>
        <v/>
      </c>
      <c r="DZ139" s="109" t="str">
        <f t="shared" si="47"/>
        <v/>
      </c>
      <c r="EA139" s="110" t="str">
        <f t="shared" si="230"/>
        <v/>
      </c>
      <c r="EC139" s="108" t="str">
        <f t="shared" si="121"/>
        <v/>
      </c>
      <c r="ED139" s="109" t="str">
        <f t="shared" si="122"/>
        <v/>
      </c>
      <c r="EE139" s="109" t="str">
        <f t="shared" si="48"/>
        <v/>
      </c>
      <c r="EF139" s="110" t="str">
        <f t="shared" si="231"/>
        <v/>
      </c>
      <c r="EH139" s="108" t="str">
        <f t="shared" si="49"/>
        <v/>
      </c>
      <c r="EI139" s="109" t="str">
        <f t="shared" si="123"/>
        <v/>
      </c>
      <c r="EJ139" s="109" t="str">
        <f t="shared" si="50"/>
        <v/>
      </c>
      <c r="EK139" s="110" t="str">
        <f t="shared" si="232"/>
        <v/>
      </c>
      <c r="EM139" s="108" t="str">
        <f t="shared" si="125"/>
        <v/>
      </c>
      <c r="EN139" s="109" t="str">
        <f t="shared" si="126"/>
        <v/>
      </c>
      <c r="EO139" s="109" t="str">
        <f t="shared" si="51"/>
        <v/>
      </c>
      <c r="EP139" s="110" t="str">
        <f t="shared" si="233"/>
        <v/>
      </c>
      <c r="ER139" s="108" t="str">
        <f t="shared" si="52"/>
        <v/>
      </c>
      <c r="ES139" s="109" t="str">
        <f t="shared" si="127"/>
        <v/>
      </c>
      <c r="ET139" s="109" t="str">
        <f t="shared" si="53"/>
        <v/>
      </c>
      <c r="EU139" s="110" t="str">
        <f t="shared" si="234"/>
        <v/>
      </c>
      <c r="EW139" s="108" t="str">
        <f t="shared" si="129"/>
        <v/>
      </c>
      <c r="EX139" s="109" t="str">
        <f t="shared" si="130"/>
        <v/>
      </c>
      <c r="EY139" s="109" t="str">
        <f t="shared" si="54"/>
        <v/>
      </c>
      <c r="EZ139" s="110" t="str">
        <f t="shared" si="235"/>
        <v/>
      </c>
      <c r="FB139" s="108" t="str">
        <f t="shared" si="55"/>
        <v/>
      </c>
      <c r="FC139" s="109" t="str">
        <f t="shared" si="131"/>
        <v/>
      </c>
      <c r="FD139" s="109" t="str">
        <f t="shared" si="56"/>
        <v/>
      </c>
      <c r="FE139" s="110" t="str">
        <f t="shared" si="236"/>
        <v/>
      </c>
      <c r="FG139" s="108" t="str">
        <f t="shared" si="133"/>
        <v/>
      </c>
      <c r="FH139" s="109" t="str">
        <f t="shared" si="134"/>
        <v/>
      </c>
      <c r="FI139" s="109" t="str">
        <f t="shared" si="57"/>
        <v/>
      </c>
      <c r="FJ139" s="110" t="str">
        <f t="shared" si="237"/>
        <v/>
      </c>
      <c r="FL139" s="108" t="str">
        <f t="shared" si="58"/>
        <v/>
      </c>
      <c r="FM139" s="109" t="str">
        <f t="shared" si="135"/>
        <v/>
      </c>
      <c r="FN139" s="109" t="str">
        <f t="shared" si="59"/>
        <v/>
      </c>
      <c r="FO139" s="110" t="str">
        <f t="shared" si="238"/>
        <v/>
      </c>
      <c r="FQ139" s="108" t="str">
        <f t="shared" si="137"/>
        <v/>
      </c>
      <c r="FR139" s="109" t="str">
        <f t="shared" si="138"/>
        <v/>
      </c>
      <c r="FS139" s="109" t="str">
        <f t="shared" si="60"/>
        <v/>
      </c>
      <c r="FT139" s="110" t="str">
        <f t="shared" si="239"/>
        <v/>
      </c>
      <c r="FV139" s="108" t="str">
        <f t="shared" si="61"/>
        <v/>
      </c>
      <c r="FW139" s="109" t="str">
        <f t="shared" si="139"/>
        <v/>
      </c>
      <c r="FX139" s="109" t="str">
        <f t="shared" si="62"/>
        <v/>
      </c>
      <c r="FY139" s="110" t="str">
        <f t="shared" si="240"/>
        <v/>
      </c>
      <c r="GA139" s="108" t="str">
        <f t="shared" si="141"/>
        <v/>
      </c>
      <c r="GB139" s="109" t="str">
        <f t="shared" si="142"/>
        <v/>
      </c>
      <c r="GC139" s="109" t="str">
        <f t="shared" si="63"/>
        <v/>
      </c>
      <c r="GD139" s="110" t="str">
        <f t="shared" si="241"/>
        <v/>
      </c>
      <c r="GF139" s="108" t="str">
        <f t="shared" si="64"/>
        <v/>
      </c>
      <c r="GG139" s="109" t="str">
        <f t="shared" si="143"/>
        <v/>
      </c>
      <c r="GH139" s="109" t="str">
        <f t="shared" si="65"/>
        <v/>
      </c>
      <c r="GI139" s="110" t="str">
        <f t="shared" si="242"/>
        <v/>
      </c>
      <c r="GK139" s="108" t="str">
        <f t="shared" si="145"/>
        <v/>
      </c>
      <c r="GL139" s="109" t="str">
        <f t="shared" si="146"/>
        <v/>
      </c>
      <c r="GM139" s="109" t="str">
        <f t="shared" si="147"/>
        <v/>
      </c>
      <c r="GN139" s="110" t="str">
        <f t="shared" si="243"/>
        <v/>
      </c>
      <c r="GR139" s="108" t="str">
        <f t="shared" si="66"/>
        <v/>
      </c>
      <c r="GS139" s="109" t="str">
        <f t="shared" si="67"/>
        <v/>
      </c>
      <c r="GT139" s="109" t="str">
        <f t="shared" si="68"/>
        <v/>
      </c>
      <c r="GU139" s="110" t="str">
        <f t="shared" si="69"/>
        <v/>
      </c>
      <c r="GV139" s="51"/>
      <c r="GW139" s="108" t="str">
        <f t="shared" si="70"/>
        <v/>
      </c>
      <c r="GX139" s="109" t="str">
        <f t="shared" si="148"/>
        <v/>
      </c>
      <c r="GY139" s="109" t="str">
        <f t="shared" si="71"/>
        <v/>
      </c>
      <c r="GZ139" s="110" t="str">
        <f t="shared" si="72"/>
        <v/>
      </c>
      <c r="HA139" s="51"/>
      <c r="HB139" s="108" t="str">
        <f t="shared" si="149"/>
        <v/>
      </c>
      <c r="HC139" s="109" t="str">
        <f t="shared" si="150"/>
        <v/>
      </c>
      <c r="HD139" s="109" t="str">
        <f t="shared" si="73"/>
        <v/>
      </c>
      <c r="HE139" s="110" t="str">
        <f t="shared" si="151"/>
        <v/>
      </c>
      <c r="HF139" s="51"/>
      <c r="HG139" s="108" t="str">
        <f t="shared" si="74"/>
        <v/>
      </c>
      <c r="HH139" s="109" t="str">
        <f t="shared" si="152"/>
        <v/>
      </c>
      <c r="HI139" s="109" t="str">
        <f t="shared" si="75"/>
        <v/>
      </c>
      <c r="HJ139" s="110" t="str">
        <f t="shared" si="193"/>
        <v/>
      </c>
      <c r="HK139" s="51"/>
      <c r="HL139" s="108" t="str">
        <f t="shared" si="153"/>
        <v/>
      </c>
      <c r="HM139" s="109" t="str">
        <f t="shared" si="154"/>
        <v/>
      </c>
      <c r="HN139" s="109" t="str">
        <f t="shared" si="76"/>
        <v/>
      </c>
      <c r="HO139" s="110" t="str">
        <f t="shared" si="155"/>
        <v/>
      </c>
      <c r="HP139" s="51"/>
      <c r="HQ139" s="108" t="str">
        <f t="shared" si="77"/>
        <v/>
      </c>
      <c r="HR139" s="109" t="str">
        <f t="shared" si="156"/>
        <v/>
      </c>
      <c r="HS139" s="109" t="str">
        <f t="shared" si="78"/>
        <v/>
      </c>
      <c r="HT139" s="110" t="str">
        <f t="shared" si="194"/>
        <v/>
      </c>
      <c r="HU139" s="51"/>
      <c r="HV139" s="108" t="str">
        <f t="shared" si="157"/>
        <v/>
      </c>
      <c r="HW139" s="109" t="str">
        <f t="shared" si="158"/>
        <v/>
      </c>
      <c r="HX139" s="109" t="str">
        <f t="shared" si="79"/>
        <v/>
      </c>
      <c r="HY139" s="110" t="str">
        <f t="shared" si="159"/>
        <v/>
      </c>
      <c r="HZ139" s="51"/>
      <c r="IA139" s="108" t="str">
        <f t="shared" si="80"/>
        <v/>
      </c>
      <c r="IB139" s="109" t="str">
        <f t="shared" si="160"/>
        <v/>
      </c>
      <c r="IC139" s="109" t="str">
        <f t="shared" si="81"/>
        <v/>
      </c>
      <c r="ID139" s="110" t="str">
        <f t="shared" si="195"/>
        <v/>
      </c>
      <c r="IE139" s="51"/>
      <c r="IF139" s="108" t="str">
        <f t="shared" si="161"/>
        <v/>
      </c>
      <c r="IG139" s="109" t="str">
        <f t="shared" si="162"/>
        <v/>
      </c>
      <c r="IH139" s="109" t="str">
        <f t="shared" si="82"/>
        <v/>
      </c>
      <c r="II139" s="110" t="str">
        <f t="shared" si="163"/>
        <v/>
      </c>
      <c r="IJ139" s="51"/>
      <c r="IK139" s="108" t="str">
        <f t="shared" si="83"/>
        <v/>
      </c>
      <c r="IL139" s="109" t="str">
        <f t="shared" si="164"/>
        <v/>
      </c>
      <c r="IM139" s="109" t="str">
        <f t="shared" si="84"/>
        <v/>
      </c>
      <c r="IN139" s="110" t="str">
        <f t="shared" si="196"/>
        <v/>
      </c>
      <c r="IO139" s="51"/>
      <c r="IP139" s="108" t="str">
        <f t="shared" si="165"/>
        <v/>
      </c>
      <c r="IQ139" s="109" t="str">
        <f t="shared" si="166"/>
        <v/>
      </c>
      <c r="IR139" s="109" t="str">
        <f t="shared" si="85"/>
        <v/>
      </c>
      <c r="IS139" s="110" t="str">
        <f t="shared" si="167"/>
        <v/>
      </c>
      <c r="IT139" s="51"/>
      <c r="IU139" s="108" t="str">
        <f t="shared" si="86"/>
        <v/>
      </c>
      <c r="IV139" s="109" t="str">
        <f t="shared" si="168"/>
        <v/>
      </c>
      <c r="IW139" s="109" t="str">
        <f t="shared" si="87"/>
        <v/>
      </c>
      <c r="IX139" s="110" t="str">
        <f t="shared" si="197"/>
        <v/>
      </c>
      <c r="IY139" s="51"/>
      <c r="IZ139" s="108" t="str">
        <f t="shared" si="169"/>
        <v/>
      </c>
      <c r="JA139" s="109" t="str">
        <f t="shared" si="170"/>
        <v/>
      </c>
      <c r="JB139" s="109" t="str">
        <f t="shared" si="88"/>
        <v/>
      </c>
      <c r="JC139" s="110" t="str">
        <f t="shared" si="171"/>
        <v/>
      </c>
      <c r="JD139" s="51"/>
      <c r="JE139" s="108" t="str">
        <f t="shared" si="89"/>
        <v/>
      </c>
      <c r="JF139" s="109" t="str">
        <f t="shared" si="172"/>
        <v/>
      </c>
      <c r="JG139" s="109" t="str">
        <f t="shared" si="90"/>
        <v/>
      </c>
      <c r="JH139" s="110" t="str">
        <f t="shared" si="198"/>
        <v/>
      </c>
      <c r="JI139" s="51"/>
      <c r="JJ139" s="108" t="str">
        <f t="shared" si="173"/>
        <v/>
      </c>
      <c r="JK139" s="109" t="str">
        <f t="shared" si="174"/>
        <v/>
      </c>
      <c r="JL139" s="109" t="str">
        <f t="shared" si="91"/>
        <v/>
      </c>
      <c r="JM139" s="110" t="str">
        <f t="shared" si="175"/>
        <v/>
      </c>
      <c r="JN139" s="51"/>
      <c r="JO139" s="108" t="str">
        <f t="shared" si="92"/>
        <v/>
      </c>
      <c r="JP139" s="109" t="str">
        <f t="shared" si="176"/>
        <v/>
      </c>
      <c r="JQ139" s="109" t="str">
        <f t="shared" si="93"/>
        <v/>
      </c>
      <c r="JR139" s="110" t="str">
        <f t="shared" si="199"/>
        <v/>
      </c>
      <c r="JS139" s="51"/>
      <c r="JT139" s="108" t="str">
        <f t="shared" si="177"/>
        <v/>
      </c>
      <c r="JU139" s="109" t="str">
        <f t="shared" si="178"/>
        <v/>
      </c>
      <c r="JV139" s="109" t="str">
        <f t="shared" si="94"/>
        <v/>
      </c>
      <c r="JW139" s="110" t="str">
        <f t="shared" si="179"/>
        <v/>
      </c>
      <c r="JX139" s="51"/>
      <c r="JY139" s="108" t="str">
        <f t="shared" si="95"/>
        <v/>
      </c>
      <c r="JZ139" s="109" t="str">
        <f t="shared" si="180"/>
        <v/>
      </c>
      <c r="KA139" s="109" t="str">
        <f t="shared" si="96"/>
        <v/>
      </c>
      <c r="KB139" s="110" t="str">
        <f t="shared" si="200"/>
        <v/>
      </c>
      <c r="KC139" s="51"/>
      <c r="KD139" s="108" t="str">
        <f t="shared" si="181"/>
        <v/>
      </c>
      <c r="KE139" s="109" t="str">
        <f t="shared" si="182"/>
        <v/>
      </c>
      <c r="KF139" s="109" t="str">
        <f t="shared" si="97"/>
        <v/>
      </c>
      <c r="KG139" s="110" t="str">
        <f t="shared" si="98"/>
        <v/>
      </c>
    </row>
    <row r="140" spans="1:293" ht="12" customHeight="1">
      <c r="A140" s="105">
        <f t="array" ref="A140">MAX(IF($J$80:J139&gt;0,$C$80:C139,0))</f>
        <v>43535</v>
      </c>
      <c r="B140" s="81" t="str">
        <f t="shared" si="4"/>
        <v/>
      </c>
      <c r="C140" s="82">
        <f t="shared" si="5"/>
        <v>0</v>
      </c>
      <c r="D140" s="83" t="str">
        <f t="shared" si="6"/>
        <v/>
      </c>
      <c r="E140" s="83" t="str">
        <f t="shared" si="99"/>
        <v/>
      </c>
      <c r="F140" s="83" t="str">
        <f t="shared" si="7"/>
        <v/>
      </c>
      <c r="G140" s="83" t="str">
        <f t="shared" si="8"/>
        <v/>
      </c>
      <c r="H140" s="83" t="str">
        <f t="shared" si="9"/>
        <v/>
      </c>
      <c r="I140" s="105">
        <f t="array" ref="I140">MAX(IF($R$80:R139&gt;0,$L$80:L139,0))</f>
        <v>0</v>
      </c>
      <c r="J140" s="106"/>
      <c r="K140" s="2" t="str">
        <f t="shared" si="10"/>
        <v/>
      </c>
      <c r="L140" s="82">
        <f t="shared" si="183"/>
        <v>0</v>
      </c>
      <c r="M140" s="83" t="str">
        <f t="shared" si="11"/>
        <v/>
      </c>
      <c r="N140" s="83" t="str">
        <f t="shared" si="12"/>
        <v/>
      </c>
      <c r="O140" s="83" t="str">
        <f t="shared" si="13"/>
        <v/>
      </c>
      <c r="P140" s="83" t="str">
        <f t="shared" si="14"/>
        <v/>
      </c>
      <c r="Q140" s="83" t="str">
        <f t="shared" si="15"/>
        <v/>
      </c>
      <c r="R140" s="106"/>
      <c r="S140" s="1"/>
      <c r="U140" s="85" t="e">
        <f t="shared" si="0"/>
        <v>#NUM!</v>
      </c>
      <c r="V140" s="86" t="e">
        <f t="shared" si="100"/>
        <v>#NUM!</v>
      </c>
      <c r="W140" s="87" t="e">
        <f t="shared" si="16"/>
        <v>#NUM!</v>
      </c>
      <c r="X140" s="87" t="e">
        <f t="shared" si="17"/>
        <v>#NUM!</v>
      </c>
      <c r="Y140" s="87" t="e">
        <f t="shared" si="18"/>
        <v>#NUM!</v>
      </c>
      <c r="Z140" s="88" t="e">
        <f t="shared" si="1"/>
        <v>#NUM!</v>
      </c>
      <c r="AA140" t="s">
        <v>282</v>
      </c>
      <c r="AB140" s="89">
        <f t="shared" si="101"/>
        <v>0</v>
      </c>
      <c r="AC140" s="87">
        <f t="shared" si="19"/>
        <v>0</v>
      </c>
      <c r="AD140" s="87" t="str">
        <f t="shared" si="20"/>
        <v/>
      </c>
      <c r="AE140" s="87" t="str">
        <f t="shared" si="21"/>
        <v/>
      </c>
      <c r="AF140" s="86">
        <f t="shared" si="102"/>
        <v>0</v>
      </c>
      <c r="AG140" s="87">
        <f t="shared" si="2"/>
        <v>0</v>
      </c>
      <c r="AH140" s="87">
        <f t="shared" si="103"/>
        <v>0</v>
      </c>
      <c r="AI140" s="90"/>
      <c r="AJ140" s="87" t="e">
        <f t="shared" si="22"/>
        <v>#NUM!</v>
      </c>
      <c r="AK140" s="87" t="e">
        <f t="shared" si="104"/>
        <v>#NUM!</v>
      </c>
      <c r="AL140" s="87" t="e">
        <f t="shared" si="105"/>
        <v>#NUM!</v>
      </c>
      <c r="AM140" s="87" t="e">
        <f t="shared" si="106"/>
        <v>#NUM!</v>
      </c>
      <c r="AN140" s="86">
        <f t="shared" si="23"/>
        <v>0</v>
      </c>
      <c r="AO140" s="87">
        <f t="shared" si="24"/>
        <v>0</v>
      </c>
      <c r="AP140" s="88">
        <f t="shared" si="25"/>
        <v>0</v>
      </c>
      <c r="AR140" s="91">
        <f t="shared" si="26"/>
        <v>0</v>
      </c>
      <c r="AS140" s="92">
        <f t="shared" si="27"/>
        <v>0</v>
      </c>
      <c r="AT140" s="87" t="str">
        <f t="shared" si="28"/>
        <v/>
      </c>
      <c r="AU140" s="87" t="str">
        <f t="shared" si="29"/>
        <v/>
      </c>
      <c r="AV140" s="86">
        <f t="shared" si="107"/>
        <v>0</v>
      </c>
      <c r="AW140" s="87">
        <f t="shared" si="108"/>
        <v>0</v>
      </c>
      <c r="AX140" s="87">
        <f t="shared" si="109"/>
        <v>0</v>
      </c>
      <c r="AY140" s="93"/>
      <c r="AZ140" s="87">
        <f t="shared" si="201"/>
        <v>0</v>
      </c>
      <c r="BA140" s="87">
        <f t="shared" si="110"/>
        <v>0</v>
      </c>
      <c r="BB140" s="87">
        <f t="shared" si="111"/>
        <v>0</v>
      </c>
      <c r="BC140" s="87">
        <f t="shared" si="184"/>
        <v>0</v>
      </c>
      <c r="BD140" s="86" t="e">
        <f t="shared" si="30"/>
        <v>#NUM!</v>
      </c>
      <c r="BE140" s="87" t="e">
        <f t="shared" si="3"/>
        <v>#NUM!</v>
      </c>
      <c r="BF140" s="88">
        <f t="shared" si="112"/>
        <v>0</v>
      </c>
      <c r="BH140" s="87" t="e">
        <f t="shared" si="31"/>
        <v>#NUM!</v>
      </c>
      <c r="BK140" s="95">
        <v>40910</v>
      </c>
      <c r="BL140" s="96">
        <v>61</v>
      </c>
      <c r="BT140" s="51"/>
      <c r="BU140" s="51"/>
      <c r="BV140" s="30"/>
      <c r="BW140" s="107"/>
      <c r="CY140" s="108" t="str">
        <f t="shared" si="32"/>
        <v/>
      </c>
      <c r="CZ140" s="109" t="str">
        <f t="shared" si="33"/>
        <v/>
      </c>
      <c r="DA140" s="109" t="str">
        <f t="shared" si="34"/>
        <v/>
      </c>
      <c r="DB140" s="110" t="str">
        <f t="shared" si="225"/>
        <v/>
      </c>
      <c r="DD140" s="108" t="str">
        <f t="shared" si="36"/>
        <v/>
      </c>
      <c r="DE140" s="109" t="str">
        <f t="shared" si="114"/>
        <v/>
      </c>
      <c r="DF140" s="109" t="str">
        <f t="shared" si="37"/>
        <v/>
      </c>
      <c r="DG140" s="110" t="str">
        <f t="shared" si="226"/>
        <v/>
      </c>
      <c r="DI140" s="108" t="str">
        <f t="shared" si="115"/>
        <v/>
      </c>
      <c r="DJ140" s="109" t="str">
        <f t="shared" si="116"/>
        <v/>
      </c>
      <c r="DK140" s="109" t="str">
        <f t="shared" si="39"/>
        <v/>
      </c>
      <c r="DL140" s="110" t="str">
        <f t="shared" si="227"/>
        <v/>
      </c>
      <c r="DN140" s="108" t="str">
        <f t="shared" si="41"/>
        <v/>
      </c>
      <c r="DO140" s="109" t="str">
        <f t="shared" si="42"/>
        <v/>
      </c>
      <c r="DP140" s="109" t="str">
        <f t="shared" si="43"/>
        <v/>
      </c>
      <c r="DQ140" s="110" t="str">
        <f t="shared" si="228"/>
        <v/>
      </c>
      <c r="DS140" s="108" t="str">
        <f t="shared" si="117"/>
        <v/>
      </c>
      <c r="DT140" s="109" t="str">
        <f t="shared" si="118"/>
        <v/>
      </c>
      <c r="DU140" s="109" t="str">
        <f t="shared" si="45"/>
        <v/>
      </c>
      <c r="DV140" s="110" t="str">
        <f t="shared" si="229"/>
        <v/>
      </c>
      <c r="DX140" s="108" t="str">
        <f t="shared" si="46"/>
        <v/>
      </c>
      <c r="DY140" s="109" t="str">
        <f t="shared" si="119"/>
        <v/>
      </c>
      <c r="DZ140" s="109" t="str">
        <f t="shared" si="47"/>
        <v/>
      </c>
      <c r="EA140" s="110" t="str">
        <f t="shared" si="230"/>
        <v/>
      </c>
      <c r="EC140" s="108" t="str">
        <f t="shared" si="121"/>
        <v/>
      </c>
      <c r="ED140" s="109" t="str">
        <f t="shared" si="122"/>
        <v/>
      </c>
      <c r="EE140" s="109" t="str">
        <f t="shared" si="48"/>
        <v/>
      </c>
      <c r="EF140" s="110" t="str">
        <f t="shared" si="231"/>
        <v/>
      </c>
      <c r="EH140" s="108" t="str">
        <f t="shared" si="49"/>
        <v/>
      </c>
      <c r="EI140" s="109" t="str">
        <f t="shared" si="123"/>
        <v/>
      </c>
      <c r="EJ140" s="109" t="str">
        <f t="shared" si="50"/>
        <v/>
      </c>
      <c r="EK140" s="110" t="str">
        <f t="shared" si="232"/>
        <v/>
      </c>
      <c r="EM140" s="108" t="str">
        <f t="shared" si="125"/>
        <v/>
      </c>
      <c r="EN140" s="109" t="str">
        <f t="shared" si="126"/>
        <v/>
      </c>
      <c r="EO140" s="109" t="str">
        <f t="shared" si="51"/>
        <v/>
      </c>
      <c r="EP140" s="110" t="str">
        <f t="shared" si="233"/>
        <v/>
      </c>
      <c r="ER140" s="108" t="str">
        <f t="shared" si="52"/>
        <v/>
      </c>
      <c r="ES140" s="109" t="str">
        <f t="shared" si="127"/>
        <v/>
      </c>
      <c r="ET140" s="109" t="str">
        <f t="shared" si="53"/>
        <v/>
      </c>
      <c r="EU140" s="110" t="str">
        <f t="shared" si="234"/>
        <v/>
      </c>
      <c r="EW140" s="108" t="str">
        <f t="shared" si="129"/>
        <v/>
      </c>
      <c r="EX140" s="109" t="str">
        <f t="shared" si="130"/>
        <v/>
      </c>
      <c r="EY140" s="109" t="str">
        <f t="shared" si="54"/>
        <v/>
      </c>
      <c r="EZ140" s="110" t="str">
        <f t="shared" si="235"/>
        <v/>
      </c>
      <c r="FB140" s="108" t="str">
        <f t="shared" si="55"/>
        <v/>
      </c>
      <c r="FC140" s="109" t="str">
        <f t="shared" si="131"/>
        <v/>
      </c>
      <c r="FD140" s="109" t="str">
        <f t="shared" si="56"/>
        <v/>
      </c>
      <c r="FE140" s="110" t="str">
        <f t="shared" si="236"/>
        <v/>
      </c>
      <c r="FG140" s="108" t="str">
        <f t="shared" si="133"/>
        <v/>
      </c>
      <c r="FH140" s="109" t="str">
        <f t="shared" si="134"/>
        <v/>
      </c>
      <c r="FI140" s="109" t="str">
        <f t="shared" si="57"/>
        <v/>
      </c>
      <c r="FJ140" s="110" t="str">
        <f t="shared" si="237"/>
        <v/>
      </c>
      <c r="FL140" s="108" t="str">
        <f t="shared" si="58"/>
        <v/>
      </c>
      <c r="FM140" s="109" t="str">
        <f t="shared" si="135"/>
        <v/>
      </c>
      <c r="FN140" s="109" t="str">
        <f t="shared" si="59"/>
        <v/>
      </c>
      <c r="FO140" s="110" t="str">
        <f t="shared" si="238"/>
        <v/>
      </c>
      <c r="FQ140" s="108" t="str">
        <f t="shared" si="137"/>
        <v/>
      </c>
      <c r="FR140" s="109" t="str">
        <f t="shared" si="138"/>
        <v/>
      </c>
      <c r="FS140" s="109" t="str">
        <f t="shared" si="60"/>
        <v/>
      </c>
      <c r="FT140" s="110" t="str">
        <f t="shared" si="239"/>
        <v/>
      </c>
      <c r="FV140" s="108" t="str">
        <f t="shared" si="61"/>
        <v/>
      </c>
      <c r="FW140" s="109" t="str">
        <f t="shared" si="139"/>
        <v/>
      </c>
      <c r="FX140" s="109" t="str">
        <f t="shared" si="62"/>
        <v/>
      </c>
      <c r="FY140" s="110" t="str">
        <f t="shared" si="240"/>
        <v/>
      </c>
      <c r="GA140" s="108" t="str">
        <f t="shared" si="141"/>
        <v/>
      </c>
      <c r="GB140" s="109" t="str">
        <f t="shared" si="142"/>
        <v/>
      </c>
      <c r="GC140" s="109" t="str">
        <f t="shared" si="63"/>
        <v/>
      </c>
      <c r="GD140" s="110" t="str">
        <f t="shared" si="241"/>
        <v/>
      </c>
      <c r="GF140" s="108" t="str">
        <f t="shared" si="64"/>
        <v/>
      </c>
      <c r="GG140" s="109" t="str">
        <f t="shared" si="143"/>
        <v/>
      </c>
      <c r="GH140" s="109" t="str">
        <f t="shared" si="65"/>
        <v/>
      </c>
      <c r="GI140" s="110" t="str">
        <f t="shared" si="242"/>
        <v/>
      </c>
      <c r="GK140" s="108" t="str">
        <f t="shared" si="145"/>
        <v/>
      </c>
      <c r="GL140" s="109" t="str">
        <f t="shared" si="146"/>
        <v/>
      </c>
      <c r="GM140" s="109" t="str">
        <f t="shared" si="147"/>
        <v/>
      </c>
      <c r="GN140" s="110" t="str">
        <f t="shared" si="243"/>
        <v/>
      </c>
      <c r="GR140" s="108" t="str">
        <f t="shared" si="66"/>
        <v/>
      </c>
      <c r="GS140" s="109" t="str">
        <f t="shared" si="67"/>
        <v/>
      </c>
      <c r="GT140" s="109" t="str">
        <f t="shared" si="68"/>
        <v/>
      </c>
      <c r="GU140" s="110" t="str">
        <f t="shared" si="69"/>
        <v/>
      </c>
      <c r="GV140" s="51"/>
      <c r="GW140" s="108" t="str">
        <f t="shared" si="70"/>
        <v/>
      </c>
      <c r="GX140" s="109" t="str">
        <f t="shared" si="148"/>
        <v/>
      </c>
      <c r="GY140" s="109" t="str">
        <f t="shared" si="71"/>
        <v/>
      </c>
      <c r="GZ140" s="110" t="str">
        <f t="shared" si="72"/>
        <v/>
      </c>
      <c r="HA140" s="51"/>
      <c r="HB140" s="108" t="str">
        <f t="shared" si="149"/>
        <v/>
      </c>
      <c r="HC140" s="109" t="str">
        <f t="shared" si="150"/>
        <v/>
      </c>
      <c r="HD140" s="109" t="str">
        <f t="shared" si="73"/>
        <v/>
      </c>
      <c r="HE140" s="110" t="str">
        <f t="shared" si="151"/>
        <v/>
      </c>
      <c r="HF140" s="51"/>
      <c r="HG140" s="108" t="str">
        <f t="shared" si="74"/>
        <v/>
      </c>
      <c r="HH140" s="109" t="str">
        <f t="shared" si="152"/>
        <v/>
      </c>
      <c r="HI140" s="109" t="str">
        <f t="shared" si="75"/>
        <v/>
      </c>
      <c r="HJ140" s="110" t="str">
        <f t="shared" si="193"/>
        <v/>
      </c>
      <c r="HK140" s="51"/>
      <c r="HL140" s="108" t="str">
        <f t="shared" si="153"/>
        <v/>
      </c>
      <c r="HM140" s="109" t="str">
        <f t="shared" si="154"/>
        <v/>
      </c>
      <c r="HN140" s="109" t="str">
        <f t="shared" si="76"/>
        <v/>
      </c>
      <c r="HO140" s="110" t="str">
        <f t="shared" si="155"/>
        <v/>
      </c>
      <c r="HP140" s="51"/>
      <c r="HQ140" s="108" t="str">
        <f t="shared" si="77"/>
        <v/>
      </c>
      <c r="HR140" s="109" t="str">
        <f t="shared" si="156"/>
        <v/>
      </c>
      <c r="HS140" s="109" t="str">
        <f t="shared" si="78"/>
        <v/>
      </c>
      <c r="HT140" s="110" t="str">
        <f t="shared" si="194"/>
        <v/>
      </c>
      <c r="HU140" s="51"/>
      <c r="HV140" s="108" t="str">
        <f t="shared" si="157"/>
        <v/>
      </c>
      <c r="HW140" s="109" t="str">
        <f t="shared" si="158"/>
        <v/>
      </c>
      <c r="HX140" s="109" t="str">
        <f t="shared" si="79"/>
        <v/>
      </c>
      <c r="HY140" s="110" t="str">
        <f t="shared" si="159"/>
        <v/>
      </c>
      <c r="HZ140" s="51"/>
      <c r="IA140" s="108" t="str">
        <f t="shared" si="80"/>
        <v/>
      </c>
      <c r="IB140" s="109" t="str">
        <f t="shared" si="160"/>
        <v/>
      </c>
      <c r="IC140" s="109" t="str">
        <f t="shared" si="81"/>
        <v/>
      </c>
      <c r="ID140" s="110" t="str">
        <f t="shared" si="195"/>
        <v/>
      </c>
      <c r="IE140" s="51"/>
      <c r="IF140" s="108" t="str">
        <f t="shared" si="161"/>
        <v/>
      </c>
      <c r="IG140" s="109" t="str">
        <f t="shared" si="162"/>
        <v/>
      </c>
      <c r="IH140" s="109" t="str">
        <f t="shared" si="82"/>
        <v/>
      </c>
      <c r="II140" s="110" t="str">
        <f t="shared" si="163"/>
        <v/>
      </c>
      <c r="IJ140" s="51"/>
      <c r="IK140" s="108" t="str">
        <f t="shared" si="83"/>
        <v/>
      </c>
      <c r="IL140" s="109" t="str">
        <f t="shared" si="164"/>
        <v/>
      </c>
      <c r="IM140" s="109" t="str">
        <f t="shared" si="84"/>
        <v/>
      </c>
      <c r="IN140" s="110" t="str">
        <f t="shared" si="196"/>
        <v/>
      </c>
      <c r="IO140" s="51"/>
      <c r="IP140" s="108" t="str">
        <f t="shared" si="165"/>
        <v/>
      </c>
      <c r="IQ140" s="109" t="str">
        <f t="shared" si="166"/>
        <v/>
      </c>
      <c r="IR140" s="109" t="str">
        <f t="shared" si="85"/>
        <v/>
      </c>
      <c r="IS140" s="110" t="str">
        <f t="shared" si="167"/>
        <v/>
      </c>
      <c r="IT140" s="51"/>
      <c r="IU140" s="108" t="str">
        <f t="shared" si="86"/>
        <v/>
      </c>
      <c r="IV140" s="109" t="str">
        <f t="shared" si="168"/>
        <v/>
      </c>
      <c r="IW140" s="109" t="str">
        <f t="shared" si="87"/>
        <v/>
      </c>
      <c r="IX140" s="110" t="str">
        <f t="shared" si="197"/>
        <v/>
      </c>
      <c r="IY140" s="51"/>
      <c r="IZ140" s="108" t="str">
        <f t="shared" si="169"/>
        <v/>
      </c>
      <c r="JA140" s="109" t="str">
        <f t="shared" si="170"/>
        <v/>
      </c>
      <c r="JB140" s="109" t="str">
        <f t="shared" si="88"/>
        <v/>
      </c>
      <c r="JC140" s="110" t="str">
        <f t="shared" si="171"/>
        <v/>
      </c>
      <c r="JD140" s="51"/>
      <c r="JE140" s="108" t="str">
        <f t="shared" si="89"/>
        <v/>
      </c>
      <c r="JF140" s="109" t="str">
        <f t="shared" si="172"/>
        <v/>
      </c>
      <c r="JG140" s="109" t="str">
        <f t="shared" si="90"/>
        <v/>
      </c>
      <c r="JH140" s="110" t="str">
        <f t="shared" si="198"/>
        <v/>
      </c>
      <c r="JI140" s="51"/>
      <c r="JJ140" s="108" t="str">
        <f t="shared" si="173"/>
        <v/>
      </c>
      <c r="JK140" s="109" t="str">
        <f t="shared" si="174"/>
        <v/>
      </c>
      <c r="JL140" s="109" t="str">
        <f t="shared" si="91"/>
        <v/>
      </c>
      <c r="JM140" s="110" t="str">
        <f t="shared" si="175"/>
        <v/>
      </c>
      <c r="JN140" s="51"/>
      <c r="JO140" s="108" t="str">
        <f t="shared" si="92"/>
        <v/>
      </c>
      <c r="JP140" s="109" t="str">
        <f t="shared" si="176"/>
        <v/>
      </c>
      <c r="JQ140" s="109" t="str">
        <f t="shared" si="93"/>
        <v/>
      </c>
      <c r="JR140" s="110" t="str">
        <f t="shared" si="199"/>
        <v/>
      </c>
      <c r="JS140" s="51"/>
      <c r="JT140" s="108" t="str">
        <f t="shared" si="177"/>
        <v/>
      </c>
      <c r="JU140" s="109" t="str">
        <f t="shared" si="178"/>
        <v/>
      </c>
      <c r="JV140" s="109" t="str">
        <f t="shared" si="94"/>
        <v/>
      </c>
      <c r="JW140" s="110" t="str">
        <f t="shared" si="179"/>
        <v/>
      </c>
      <c r="JX140" s="51"/>
      <c r="JY140" s="108" t="str">
        <f t="shared" si="95"/>
        <v/>
      </c>
      <c r="JZ140" s="109" t="str">
        <f t="shared" si="180"/>
        <v/>
      </c>
      <c r="KA140" s="109" t="str">
        <f t="shared" si="96"/>
        <v/>
      </c>
      <c r="KB140" s="110" t="str">
        <f t="shared" si="200"/>
        <v/>
      </c>
      <c r="KC140" s="51"/>
      <c r="KD140" s="108" t="str">
        <f t="shared" si="181"/>
        <v/>
      </c>
      <c r="KE140" s="109" t="str">
        <f t="shared" si="182"/>
        <v/>
      </c>
      <c r="KF140" s="109" t="str">
        <f t="shared" si="97"/>
        <v/>
      </c>
      <c r="KG140" s="110" t="str">
        <f t="shared" si="98"/>
        <v/>
      </c>
    </row>
    <row r="141" spans="1:293" ht="12" customHeight="1">
      <c r="A141" s="105">
        <f t="array" ref="A141">MAX(IF($J$80:J140&gt;0,$C$80:C140,0))</f>
        <v>43535</v>
      </c>
      <c r="B141" s="81" t="str">
        <f t="shared" si="4"/>
        <v/>
      </c>
      <c r="C141" s="82">
        <f t="shared" si="5"/>
        <v>0</v>
      </c>
      <c r="D141" s="83" t="str">
        <f t="shared" si="6"/>
        <v/>
      </c>
      <c r="E141" s="83" t="str">
        <f t="shared" si="99"/>
        <v/>
      </c>
      <c r="F141" s="83" t="str">
        <f t="shared" si="7"/>
        <v/>
      </c>
      <c r="G141" s="83" t="str">
        <f t="shared" si="8"/>
        <v/>
      </c>
      <c r="H141" s="83" t="str">
        <f t="shared" si="9"/>
        <v/>
      </c>
      <c r="I141" s="105">
        <f t="array" ref="I141">MAX(IF($R$80:R140&gt;0,$L$80:L140,0))</f>
        <v>0</v>
      </c>
      <c r="J141" s="106"/>
      <c r="K141" s="2" t="str">
        <f t="shared" si="10"/>
        <v/>
      </c>
      <c r="L141" s="82">
        <f t="shared" si="183"/>
        <v>0</v>
      </c>
      <c r="M141" s="83" t="str">
        <f t="shared" si="11"/>
        <v/>
      </c>
      <c r="N141" s="83" t="str">
        <f t="shared" si="12"/>
        <v/>
      </c>
      <c r="O141" s="83" t="str">
        <f t="shared" si="13"/>
        <v/>
      </c>
      <c r="P141" s="83" t="str">
        <f t="shared" si="14"/>
        <v/>
      </c>
      <c r="Q141" s="83" t="str">
        <f t="shared" si="15"/>
        <v/>
      </c>
      <c r="R141" s="106"/>
      <c r="S141" s="1"/>
      <c r="U141" s="85" t="e">
        <f t="shared" si="0"/>
        <v>#NUM!</v>
      </c>
      <c r="V141" s="86" t="e">
        <f t="shared" si="100"/>
        <v>#NUM!</v>
      </c>
      <c r="W141" s="87" t="e">
        <f t="shared" si="16"/>
        <v>#NUM!</v>
      </c>
      <c r="X141" s="87" t="e">
        <f t="shared" si="17"/>
        <v>#NUM!</v>
      </c>
      <c r="Y141" s="87" t="e">
        <f t="shared" si="18"/>
        <v>#NUM!</v>
      </c>
      <c r="Z141" s="88" t="e">
        <f t="shared" si="1"/>
        <v>#NUM!</v>
      </c>
      <c r="AA141" t="s">
        <v>282</v>
      </c>
      <c r="AB141" s="89">
        <f t="shared" si="101"/>
        <v>0</v>
      </c>
      <c r="AC141" s="87">
        <f t="shared" si="19"/>
        <v>0</v>
      </c>
      <c r="AD141" s="87" t="str">
        <f t="shared" si="20"/>
        <v/>
      </c>
      <c r="AE141" s="87" t="str">
        <f t="shared" si="21"/>
        <v/>
      </c>
      <c r="AF141" s="86">
        <f t="shared" si="102"/>
        <v>0</v>
      </c>
      <c r="AG141" s="87">
        <f t="shared" si="2"/>
        <v>0</v>
      </c>
      <c r="AH141" s="87">
        <f t="shared" si="103"/>
        <v>0</v>
      </c>
      <c r="AI141" s="90"/>
      <c r="AJ141" s="87" t="e">
        <f t="shared" si="22"/>
        <v>#NUM!</v>
      </c>
      <c r="AK141" s="87" t="e">
        <f t="shared" si="104"/>
        <v>#NUM!</v>
      </c>
      <c r="AL141" s="87" t="e">
        <f t="shared" si="105"/>
        <v>#NUM!</v>
      </c>
      <c r="AM141" s="87" t="e">
        <f t="shared" si="106"/>
        <v>#NUM!</v>
      </c>
      <c r="AN141" s="86">
        <f t="shared" si="23"/>
        <v>0</v>
      </c>
      <c r="AO141" s="87">
        <f t="shared" si="24"/>
        <v>0</v>
      </c>
      <c r="AP141" s="88">
        <f t="shared" si="25"/>
        <v>0</v>
      </c>
      <c r="AR141" s="91">
        <f t="shared" si="26"/>
        <v>0</v>
      </c>
      <c r="AS141" s="92">
        <f t="shared" si="27"/>
        <v>0</v>
      </c>
      <c r="AT141" s="87" t="str">
        <f t="shared" si="28"/>
        <v/>
      </c>
      <c r="AU141" s="87" t="str">
        <f t="shared" si="29"/>
        <v/>
      </c>
      <c r="AV141" s="86">
        <f t="shared" si="107"/>
        <v>0</v>
      </c>
      <c r="AW141" s="87">
        <f t="shared" si="108"/>
        <v>0</v>
      </c>
      <c r="AX141" s="87">
        <f t="shared" si="109"/>
        <v>0</v>
      </c>
      <c r="AY141" s="93"/>
      <c r="AZ141" s="87">
        <f t="shared" si="201"/>
        <v>0</v>
      </c>
      <c r="BA141" s="87">
        <f t="shared" si="110"/>
        <v>0</v>
      </c>
      <c r="BB141" s="87">
        <f t="shared" si="111"/>
        <v>0</v>
      </c>
      <c r="BC141" s="87">
        <f t="shared" si="184"/>
        <v>0</v>
      </c>
      <c r="BD141" s="86" t="e">
        <f t="shared" si="30"/>
        <v>#NUM!</v>
      </c>
      <c r="BE141" s="87" t="e">
        <f t="shared" si="3"/>
        <v>#NUM!</v>
      </c>
      <c r="BF141" s="88">
        <f t="shared" si="112"/>
        <v>0</v>
      </c>
      <c r="BH141" s="87" t="e">
        <f t="shared" si="31"/>
        <v>#NUM!</v>
      </c>
      <c r="BK141" s="95">
        <v>40915</v>
      </c>
      <c r="BL141" s="96">
        <v>62</v>
      </c>
      <c r="BT141" s="51"/>
      <c r="BU141" s="51"/>
      <c r="BV141" s="30"/>
      <c r="BW141" s="30"/>
      <c r="CY141" s="108" t="str">
        <f t="shared" si="32"/>
        <v/>
      </c>
      <c r="CZ141" s="109" t="str">
        <f t="shared" si="33"/>
        <v/>
      </c>
      <c r="DA141" s="109" t="str">
        <f t="shared" si="34"/>
        <v/>
      </c>
      <c r="DB141" s="110" t="str">
        <f t="shared" si="225"/>
        <v/>
      </c>
      <c r="DD141" s="108" t="str">
        <f t="shared" si="36"/>
        <v/>
      </c>
      <c r="DE141" s="109" t="str">
        <f t="shared" si="114"/>
        <v/>
      </c>
      <c r="DF141" s="109" t="str">
        <f t="shared" si="37"/>
        <v/>
      </c>
      <c r="DG141" s="110" t="str">
        <f t="shared" si="226"/>
        <v/>
      </c>
      <c r="DI141" s="108" t="str">
        <f t="shared" si="115"/>
        <v/>
      </c>
      <c r="DJ141" s="109" t="str">
        <f t="shared" si="116"/>
        <v/>
      </c>
      <c r="DK141" s="109" t="str">
        <f t="shared" si="39"/>
        <v/>
      </c>
      <c r="DL141" s="110" t="str">
        <f t="shared" si="227"/>
        <v/>
      </c>
      <c r="DN141" s="108" t="str">
        <f t="shared" si="41"/>
        <v/>
      </c>
      <c r="DO141" s="109" t="str">
        <f t="shared" si="42"/>
        <v/>
      </c>
      <c r="DP141" s="109" t="str">
        <f t="shared" si="43"/>
        <v/>
      </c>
      <c r="DQ141" s="110" t="str">
        <f t="shared" si="228"/>
        <v/>
      </c>
      <c r="DS141" s="108" t="str">
        <f t="shared" si="117"/>
        <v/>
      </c>
      <c r="DT141" s="109" t="str">
        <f t="shared" si="118"/>
        <v/>
      </c>
      <c r="DU141" s="109" t="str">
        <f t="shared" si="45"/>
        <v/>
      </c>
      <c r="DV141" s="110" t="str">
        <f t="shared" si="229"/>
        <v/>
      </c>
      <c r="DX141" s="108" t="str">
        <f t="shared" si="46"/>
        <v/>
      </c>
      <c r="DY141" s="109" t="str">
        <f t="shared" si="119"/>
        <v/>
      </c>
      <c r="DZ141" s="109" t="str">
        <f t="shared" si="47"/>
        <v/>
      </c>
      <c r="EA141" s="110" t="str">
        <f t="shared" si="230"/>
        <v/>
      </c>
      <c r="EC141" s="108" t="str">
        <f t="shared" si="121"/>
        <v/>
      </c>
      <c r="ED141" s="109" t="str">
        <f t="shared" si="122"/>
        <v/>
      </c>
      <c r="EE141" s="109" t="str">
        <f t="shared" si="48"/>
        <v/>
      </c>
      <c r="EF141" s="110" t="str">
        <f t="shared" si="231"/>
        <v/>
      </c>
      <c r="EH141" s="108" t="str">
        <f t="shared" si="49"/>
        <v/>
      </c>
      <c r="EI141" s="109" t="str">
        <f t="shared" si="123"/>
        <v/>
      </c>
      <c r="EJ141" s="109" t="str">
        <f t="shared" si="50"/>
        <v/>
      </c>
      <c r="EK141" s="110" t="str">
        <f t="shared" si="232"/>
        <v/>
      </c>
      <c r="EM141" s="108" t="str">
        <f t="shared" si="125"/>
        <v/>
      </c>
      <c r="EN141" s="109" t="str">
        <f t="shared" si="126"/>
        <v/>
      </c>
      <c r="EO141" s="109" t="str">
        <f t="shared" si="51"/>
        <v/>
      </c>
      <c r="EP141" s="110" t="str">
        <f t="shared" si="233"/>
        <v/>
      </c>
      <c r="ER141" s="108" t="str">
        <f t="shared" si="52"/>
        <v/>
      </c>
      <c r="ES141" s="109" t="str">
        <f t="shared" si="127"/>
        <v/>
      </c>
      <c r="ET141" s="109" t="str">
        <f t="shared" si="53"/>
        <v/>
      </c>
      <c r="EU141" s="110" t="str">
        <f t="shared" si="234"/>
        <v/>
      </c>
      <c r="EW141" s="108" t="str">
        <f t="shared" si="129"/>
        <v/>
      </c>
      <c r="EX141" s="109" t="str">
        <f t="shared" si="130"/>
        <v/>
      </c>
      <c r="EY141" s="109" t="str">
        <f t="shared" si="54"/>
        <v/>
      </c>
      <c r="EZ141" s="110" t="str">
        <f t="shared" si="235"/>
        <v/>
      </c>
      <c r="FB141" s="108" t="str">
        <f t="shared" si="55"/>
        <v/>
      </c>
      <c r="FC141" s="109" t="str">
        <f t="shared" si="131"/>
        <v/>
      </c>
      <c r="FD141" s="109" t="str">
        <f t="shared" si="56"/>
        <v/>
      </c>
      <c r="FE141" s="110" t="str">
        <f t="shared" si="236"/>
        <v/>
      </c>
      <c r="FG141" s="108" t="str">
        <f t="shared" si="133"/>
        <v/>
      </c>
      <c r="FH141" s="109" t="str">
        <f t="shared" si="134"/>
        <v/>
      </c>
      <c r="FI141" s="109" t="str">
        <f t="shared" si="57"/>
        <v/>
      </c>
      <c r="FJ141" s="110" t="str">
        <f t="shared" si="237"/>
        <v/>
      </c>
      <c r="FL141" s="108" t="str">
        <f t="shared" si="58"/>
        <v/>
      </c>
      <c r="FM141" s="109" t="str">
        <f t="shared" si="135"/>
        <v/>
      </c>
      <c r="FN141" s="109" t="str">
        <f t="shared" si="59"/>
        <v/>
      </c>
      <c r="FO141" s="110" t="str">
        <f t="shared" si="238"/>
        <v/>
      </c>
      <c r="FQ141" s="108" t="str">
        <f t="shared" si="137"/>
        <v/>
      </c>
      <c r="FR141" s="109" t="str">
        <f t="shared" si="138"/>
        <v/>
      </c>
      <c r="FS141" s="109" t="str">
        <f t="shared" si="60"/>
        <v/>
      </c>
      <c r="FT141" s="110" t="str">
        <f t="shared" si="239"/>
        <v/>
      </c>
      <c r="FV141" s="108" t="str">
        <f t="shared" si="61"/>
        <v/>
      </c>
      <c r="FW141" s="109" t="str">
        <f t="shared" si="139"/>
        <v/>
      </c>
      <c r="FX141" s="109" t="str">
        <f t="shared" si="62"/>
        <v/>
      </c>
      <c r="FY141" s="110" t="str">
        <f t="shared" si="240"/>
        <v/>
      </c>
      <c r="GA141" s="108" t="str">
        <f t="shared" si="141"/>
        <v/>
      </c>
      <c r="GB141" s="109" t="str">
        <f t="shared" si="142"/>
        <v/>
      </c>
      <c r="GC141" s="109" t="str">
        <f t="shared" si="63"/>
        <v/>
      </c>
      <c r="GD141" s="110" t="str">
        <f t="shared" si="241"/>
        <v/>
      </c>
      <c r="GF141" s="108" t="str">
        <f t="shared" si="64"/>
        <v/>
      </c>
      <c r="GG141" s="109" t="str">
        <f t="shared" si="143"/>
        <v/>
      </c>
      <c r="GH141" s="109" t="str">
        <f t="shared" si="65"/>
        <v/>
      </c>
      <c r="GI141" s="110" t="str">
        <f t="shared" si="242"/>
        <v/>
      </c>
      <c r="GK141" s="108" t="str">
        <f t="shared" si="145"/>
        <v/>
      </c>
      <c r="GL141" s="109" t="str">
        <f t="shared" si="146"/>
        <v/>
      </c>
      <c r="GM141" s="109" t="str">
        <f t="shared" si="147"/>
        <v/>
      </c>
      <c r="GN141" s="110" t="str">
        <f t="shared" si="243"/>
        <v/>
      </c>
      <c r="GR141" s="108" t="str">
        <f t="shared" si="66"/>
        <v/>
      </c>
      <c r="GS141" s="109" t="str">
        <f t="shared" si="67"/>
        <v/>
      </c>
      <c r="GT141" s="109" t="str">
        <f t="shared" si="68"/>
        <v/>
      </c>
      <c r="GU141" s="110" t="str">
        <f t="shared" si="69"/>
        <v/>
      </c>
      <c r="GV141" s="51"/>
      <c r="GW141" s="108" t="str">
        <f t="shared" si="70"/>
        <v/>
      </c>
      <c r="GX141" s="109" t="str">
        <f t="shared" si="148"/>
        <v/>
      </c>
      <c r="GY141" s="109" t="str">
        <f t="shared" si="71"/>
        <v/>
      </c>
      <c r="GZ141" s="110" t="str">
        <f t="shared" si="72"/>
        <v/>
      </c>
      <c r="HA141" s="51"/>
      <c r="HB141" s="108" t="str">
        <f t="shared" si="149"/>
        <v/>
      </c>
      <c r="HC141" s="109" t="str">
        <f t="shared" si="150"/>
        <v/>
      </c>
      <c r="HD141" s="109" t="str">
        <f t="shared" si="73"/>
        <v/>
      </c>
      <c r="HE141" s="110" t="str">
        <f t="shared" si="151"/>
        <v/>
      </c>
      <c r="HF141" s="51"/>
      <c r="HG141" s="108" t="str">
        <f t="shared" si="74"/>
        <v/>
      </c>
      <c r="HH141" s="109" t="str">
        <f t="shared" si="152"/>
        <v/>
      </c>
      <c r="HI141" s="109" t="str">
        <f t="shared" si="75"/>
        <v/>
      </c>
      <c r="HJ141" s="110" t="str">
        <f t="shared" si="193"/>
        <v/>
      </c>
      <c r="HK141" s="51"/>
      <c r="HL141" s="108" t="str">
        <f t="shared" si="153"/>
        <v/>
      </c>
      <c r="HM141" s="109" t="str">
        <f t="shared" si="154"/>
        <v/>
      </c>
      <c r="HN141" s="109" t="str">
        <f t="shared" si="76"/>
        <v/>
      </c>
      <c r="HO141" s="110" t="str">
        <f t="shared" si="155"/>
        <v/>
      </c>
      <c r="HP141" s="51"/>
      <c r="HQ141" s="108" t="str">
        <f t="shared" si="77"/>
        <v/>
      </c>
      <c r="HR141" s="109" t="str">
        <f t="shared" si="156"/>
        <v/>
      </c>
      <c r="HS141" s="109" t="str">
        <f t="shared" si="78"/>
        <v/>
      </c>
      <c r="HT141" s="110" t="str">
        <f t="shared" si="194"/>
        <v/>
      </c>
      <c r="HU141" s="51"/>
      <c r="HV141" s="108" t="str">
        <f t="shared" si="157"/>
        <v/>
      </c>
      <c r="HW141" s="109" t="str">
        <f t="shared" si="158"/>
        <v/>
      </c>
      <c r="HX141" s="109" t="str">
        <f t="shared" si="79"/>
        <v/>
      </c>
      <c r="HY141" s="110" t="str">
        <f t="shared" si="159"/>
        <v/>
      </c>
      <c r="HZ141" s="51"/>
      <c r="IA141" s="108" t="str">
        <f t="shared" si="80"/>
        <v/>
      </c>
      <c r="IB141" s="109" t="str">
        <f t="shared" si="160"/>
        <v/>
      </c>
      <c r="IC141" s="109" t="str">
        <f t="shared" si="81"/>
        <v/>
      </c>
      <c r="ID141" s="110" t="str">
        <f t="shared" si="195"/>
        <v/>
      </c>
      <c r="IE141" s="51"/>
      <c r="IF141" s="108" t="str">
        <f t="shared" si="161"/>
        <v/>
      </c>
      <c r="IG141" s="109" t="str">
        <f t="shared" si="162"/>
        <v/>
      </c>
      <c r="IH141" s="109" t="str">
        <f t="shared" si="82"/>
        <v/>
      </c>
      <c r="II141" s="110" t="str">
        <f t="shared" si="163"/>
        <v/>
      </c>
      <c r="IJ141" s="51"/>
      <c r="IK141" s="108" t="str">
        <f t="shared" si="83"/>
        <v/>
      </c>
      <c r="IL141" s="109" t="str">
        <f t="shared" si="164"/>
        <v/>
      </c>
      <c r="IM141" s="109" t="str">
        <f t="shared" si="84"/>
        <v/>
      </c>
      <c r="IN141" s="110" t="str">
        <f t="shared" si="196"/>
        <v/>
      </c>
      <c r="IO141" s="51"/>
      <c r="IP141" s="108" t="str">
        <f t="shared" si="165"/>
        <v/>
      </c>
      <c r="IQ141" s="109" t="str">
        <f t="shared" si="166"/>
        <v/>
      </c>
      <c r="IR141" s="109" t="str">
        <f t="shared" si="85"/>
        <v/>
      </c>
      <c r="IS141" s="110" t="str">
        <f t="shared" si="167"/>
        <v/>
      </c>
      <c r="IT141" s="51"/>
      <c r="IU141" s="108" t="str">
        <f t="shared" si="86"/>
        <v/>
      </c>
      <c r="IV141" s="109" t="str">
        <f t="shared" si="168"/>
        <v/>
      </c>
      <c r="IW141" s="109" t="str">
        <f t="shared" si="87"/>
        <v/>
      </c>
      <c r="IX141" s="110" t="str">
        <f t="shared" si="197"/>
        <v/>
      </c>
      <c r="IY141" s="51"/>
      <c r="IZ141" s="108" t="str">
        <f t="shared" si="169"/>
        <v/>
      </c>
      <c r="JA141" s="109" t="str">
        <f t="shared" si="170"/>
        <v/>
      </c>
      <c r="JB141" s="109" t="str">
        <f t="shared" si="88"/>
        <v/>
      </c>
      <c r="JC141" s="110" t="str">
        <f t="shared" si="171"/>
        <v/>
      </c>
      <c r="JD141" s="51"/>
      <c r="JE141" s="108" t="str">
        <f t="shared" si="89"/>
        <v/>
      </c>
      <c r="JF141" s="109" t="str">
        <f t="shared" si="172"/>
        <v/>
      </c>
      <c r="JG141" s="109" t="str">
        <f t="shared" si="90"/>
        <v/>
      </c>
      <c r="JH141" s="110" t="str">
        <f t="shared" si="198"/>
        <v/>
      </c>
      <c r="JI141" s="51"/>
      <c r="JJ141" s="108" t="str">
        <f t="shared" si="173"/>
        <v/>
      </c>
      <c r="JK141" s="109" t="str">
        <f t="shared" si="174"/>
        <v/>
      </c>
      <c r="JL141" s="109" t="str">
        <f t="shared" si="91"/>
        <v/>
      </c>
      <c r="JM141" s="110" t="str">
        <f t="shared" si="175"/>
        <v/>
      </c>
      <c r="JN141" s="51"/>
      <c r="JO141" s="108" t="str">
        <f t="shared" si="92"/>
        <v/>
      </c>
      <c r="JP141" s="109" t="str">
        <f t="shared" si="176"/>
        <v/>
      </c>
      <c r="JQ141" s="109" t="str">
        <f t="shared" si="93"/>
        <v/>
      </c>
      <c r="JR141" s="110" t="str">
        <f t="shared" si="199"/>
        <v/>
      </c>
      <c r="JS141" s="51"/>
      <c r="JT141" s="108" t="str">
        <f t="shared" si="177"/>
        <v/>
      </c>
      <c r="JU141" s="109" t="str">
        <f t="shared" si="178"/>
        <v/>
      </c>
      <c r="JV141" s="109" t="str">
        <f t="shared" si="94"/>
        <v/>
      </c>
      <c r="JW141" s="110" t="str">
        <f t="shared" si="179"/>
        <v/>
      </c>
      <c r="JX141" s="51"/>
      <c r="JY141" s="108" t="str">
        <f t="shared" si="95"/>
        <v/>
      </c>
      <c r="JZ141" s="109" t="str">
        <f t="shared" si="180"/>
        <v/>
      </c>
      <c r="KA141" s="109" t="str">
        <f t="shared" si="96"/>
        <v/>
      </c>
      <c r="KB141" s="110" t="str">
        <f t="shared" si="200"/>
        <v/>
      </c>
      <c r="KC141" s="51"/>
      <c r="KD141" s="108" t="str">
        <f t="shared" si="181"/>
        <v/>
      </c>
      <c r="KE141" s="109" t="str">
        <f t="shared" si="182"/>
        <v/>
      </c>
      <c r="KF141" s="109" t="str">
        <f t="shared" si="97"/>
        <v/>
      </c>
      <c r="KG141" s="110" t="str">
        <f t="shared" si="98"/>
        <v/>
      </c>
    </row>
    <row r="142" spans="1:293" ht="12" customHeight="1">
      <c r="A142" s="105">
        <f t="array" ref="A142">MAX(IF($J$80:J141&gt;0,$C$80:C141,0))</f>
        <v>43535</v>
      </c>
      <c r="B142" s="81" t="str">
        <f t="shared" si="4"/>
        <v/>
      </c>
      <c r="C142" s="82">
        <f t="shared" si="5"/>
        <v>0</v>
      </c>
      <c r="D142" s="83" t="str">
        <f t="shared" si="6"/>
        <v/>
      </c>
      <c r="E142" s="83" t="str">
        <f t="shared" si="99"/>
        <v/>
      </c>
      <c r="F142" s="83" t="str">
        <f t="shared" si="7"/>
        <v/>
      </c>
      <c r="G142" s="83" t="str">
        <f t="shared" si="8"/>
        <v/>
      </c>
      <c r="H142" s="83" t="str">
        <f t="shared" si="9"/>
        <v/>
      </c>
      <c r="I142" s="105">
        <f t="array" ref="I142">MAX(IF($R$80:R141&gt;0,$L$80:L141,0))</f>
        <v>0</v>
      </c>
      <c r="J142" s="106"/>
      <c r="K142" s="2" t="str">
        <f t="shared" si="10"/>
        <v/>
      </c>
      <c r="L142" s="82">
        <f t="shared" si="183"/>
        <v>0</v>
      </c>
      <c r="M142" s="83" t="str">
        <f t="shared" si="11"/>
        <v/>
      </c>
      <c r="N142" s="83" t="str">
        <f t="shared" si="12"/>
        <v/>
      </c>
      <c r="O142" s="83" t="str">
        <f t="shared" si="13"/>
        <v/>
      </c>
      <c r="P142" s="83" t="str">
        <f t="shared" si="14"/>
        <v/>
      </c>
      <c r="Q142" s="83" t="str">
        <f t="shared" si="15"/>
        <v/>
      </c>
      <c r="R142" s="106"/>
      <c r="S142" s="1"/>
      <c r="U142" s="85" t="e">
        <f t="shared" si="0"/>
        <v>#NUM!</v>
      </c>
      <c r="V142" s="86" t="e">
        <f t="shared" si="100"/>
        <v>#NUM!</v>
      </c>
      <c r="W142" s="87" t="e">
        <f t="shared" si="16"/>
        <v>#NUM!</v>
      </c>
      <c r="X142" s="87" t="e">
        <f t="shared" si="17"/>
        <v>#NUM!</v>
      </c>
      <c r="Y142" s="87" t="e">
        <f t="shared" si="18"/>
        <v>#NUM!</v>
      </c>
      <c r="Z142" s="88" t="e">
        <f t="shared" si="1"/>
        <v>#NUM!</v>
      </c>
      <c r="AA142" t="s">
        <v>282</v>
      </c>
      <c r="AB142" s="89">
        <f t="shared" si="101"/>
        <v>0</v>
      </c>
      <c r="AC142" s="87">
        <f t="shared" si="19"/>
        <v>0</v>
      </c>
      <c r="AD142" s="87" t="str">
        <f t="shared" si="20"/>
        <v/>
      </c>
      <c r="AE142" s="87" t="str">
        <f t="shared" si="21"/>
        <v/>
      </c>
      <c r="AF142" s="86">
        <f t="shared" si="102"/>
        <v>0</v>
      </c>
      <c r="AG142" s="87">
        <f t="shared" si="2"/>
        <v>0</v>
      </c>
      <c r="AH142" s="87">
        <f t="shared" si="103"/>
        <v>0</v>
      </c>
      <c r="AI142" s="90"/>
      <c r="AJ142" s="87" t="e">
        <f t="shared" si="22"/>
        <v>#NUM!</v>
      </c>
      <c r="AK142" s="87" t="e">
        <f t="shared" si="104"/>
        <v>#NUM!</v>
      </c>
      <c r="AL142" s="87" t="e">
        <f t="shared" si="105"/>
        <v>#NUM!</v>
      </c>
      <c r="AM142" s="87" t="e">
        <f t="shared" si="106"/>
        <v>#NUM!</v>
      </c>
      <c r="AN142" s="86">
        <f t="shared" si="23"/>
        <v>0</v>
      </c>
      <c r="AO142" s="87">
        <f t="shared" si="24"/>
        <v>0</v>
      </c>
      <c r="AP142" s="88">
        <f t="shared" si="25"/>
        <v>0</v>
      </c>
      <c r="AR142" s="91">
        <f t="shared" si="26"/>
        <v>0</v>
      </c>
      <c r="AS142" s="92">
        <f t="shared" si="27"/>
        <v>0</v>
      </c>
      <c r="AT142" s="87" t="str">
        <f t="shared" si="28"/>
        <v/>
      </c>
      <c r="AU142" s="87" t="str">
        <f t="shared" si="29"/>
        <v/>
      </c>
      <c r="AV142" s="86">
        <f t="shared" si="107"/>
        <v>0</v>
      </c>
      <c r="AW142" s="87">
        <f t="shared" si="108"/>
        <v>0</v>
      </c>
      <c r="AX142" s="87">
        <f t="shared" si="109"/>
        <v>0</v>
      </c>
      <c r="AY142" s="93"/>
      <c r="AZ142" s="87">
        <f t="shared" si="201"/>
        <v>0</v>
      </c>
      <c r="BA142" s="87">
        <f t="shared" si="110"/>
        <v>0</v>
      </c>
      <c r="BB142" s="87">
        <f t="shared" si="111"/>
        <v>0</v>
      </c>
      <c r="BC142" s="87">
        <f t="shared" si="184"/>
        <v>0</v>
      </c>
      <c r="BD142" s="86" t="e">
        <f t="shared" si="30"/>
        <v>#NUM!</v>
      </c>
      <c r="BE142" s="87" t="e">
        <f t="shared" si="3"/>
        <v>#NUM!</v>
      </c>
      <c r="BF142" s="88">
        <f t="shared" si="112"/>
        <v>0</v>
      </c>
      <c r="BH142" s="87" t="e">
        <f t="shared" si="31"/>
        <v>#NUM!</v>
      </c>
      <c r="BK142" s="95">
        <v>40927</v>
      </c>
      <c r="BL142" s="96">
        <v>63</v>
      </c>
      <c r="CY142" s="108" t="str">
        <f t="shared" si="32"/>
        <v/>
      </c>
      <c r="CZ142" s="109" t="str">
        <f t="shared" si="33"/>
        <v/>
      </c>
      <c r="DA142" s="109" t="str">
        <f t="shared" si="34"/>
        <v/>
      </c>
      <c r="DB142" s="110" t="str">
        <f t="shared" si="225"/>
        <v/>
      </c>
      <c r="DD142" s="108" t="str">
        <f t="shared" si="36"/>
        <v/>
      </c>
      <c r="DE142" s="109" t="str">
        <f t="shared" si="114"/>
        <v/>
      </c>
      <c r="DF142" s="109" t="str">
        <f t="shared" si="37"/>
        <v/>
      </c>
      <c r="DG142" s="110" t="str">
        <f t="shared" si="226"/>
        <v/>
      </c>
      <c r="DI142" s="108" t="str">
        <f t="shared" si="115"/>
        <v/>
      </c>
      <c r="DJ142" s="109" t="str">
        <f t="shared" si="116"/>
        <v/>
      </c>
      <c r="DK142" s="109" t="str">
        <f t="shared" si="39"/>
        <v/>
      </c>
      <c r="DL142" s="110" t="str">
        <f t="shared" si="227"/>
        <v/>
      </c>
      <c r="DN142" s="108" t="str">
        <f t="shared" si="41"/>
        <v/>
      </c>
      <c r="DO142" s="109" t="str">
        <f t="shared" si="42"/>
        <v/>
      </c>
      <c r="DP142" s="109" t="str">
        <f t="shared" si="43"/>
        <v/>
      </c>
      <c r="DQ142" s="110" t="str">
        <f t="shared" si="228"/>
        <v/>
      </c>
      <c r="DS142" s="108" t="str">
        <f t="shared" si="117"/>
        <v/>
      </c>
      <c r="DT142" s="109" t="str">
        <f t="shared" si="118"/>
        <v/>
      </c>
      <c r="DU142" s="109" t="str">
        <f t="shared" si="45"/>
        <v/>
      </c>
      <c r="DV142" s="110" t="str">
        <f t="shared" si="229"/>
        <v/>
      </c>
      <c r="DX142" s="108" t="str">
        <f t="shared" si="46"/>
        <v/>
      </c>
      <c r="DY142" s="109" t="str">
        <f t="shared" si="119"/>
        <v/>
      </c>
      <c r="DZ142" s="109" t="str">
        <f t="shared" si="47"/>
        <v/>
      </c>
      <c r="EA142" s="110" t="str">
        <f t="shared" si="230"/>
        <v/>
      </c>
      <c r="EC142" s="108" t="str">
        <f t="shared" si="121"/>
        <v/>
      </c>
      <c r="ED142" s="109" t="str">
        <f t="shared" si="122"/>
        <v/>
      </c>
      <c r="EE142" s="109" t="str">
        <f t="shared" si="48"/>
        <v/>
      </c>
      <c r="EF142" s="110" t="str">
        <f t="shared" si="231"/>
        <v/>
      </c>
      <c r="EH142" s="108" t="str">
        <f t="shared" si="49"/>
        <v/>
      </c>
      <c r="EI142" s="109" t="str">
        <f t="shared" si="123"/>
        <v/>
      </c>
      <c r="EJ142" s="109" t="str">
        <f t="shared" si="50"/>
        <v/>
      </c>
      <c r="EK142" s="110" t="str">
        <f t="shared" si="232"/>
        <v/>
      </c>
      <c r="EM142" s="108" t="str">
        <f t="shared" si="125"/>
        <v/>
      </c>
      <c r="EN142" s="109" t="str">
        <f t="shared" si="126"/>
        <v/>
      </c>
      <c r="EO142" s="109" t="str">
        <f t="shared" si="51"/>
        <v/>
      </c>
      <c r="EP142" s="110" t="str">
        <f t="shared" si="233"/>
        <v/>
      </c>
      <c r="ER142" s="108" t="str">
        <f t="shared" si="52"/>
        <v/>
      </c>
      <c r="ES142" s="109" t="str">
        <f t="shared" si="127"/>
        <v/>
      </c>
      <c r="ET142" s="109" t="str">
        <f t="shared" si="53"/>
        <v/>
      </c>
      <c r="EU142" s="110" t="str">
        <f t="shared" si="234"/>
        <v/>
      </c>
      <c r="EW142" s="108" t="str">
        <f t="shared" si="129"/>
        <v/>
      </c>
      <c r="EX142" s="109" t="str">
        <f t="shared" si="130"/>
        <v/>
      </c>
      <c r="EY142" s="109" t="str">
        <f t="shared" si="54"/>
        <v/>
      </c>
      <c r="EZ142" s="110" t="str">
        <f t="shared" si="235"/>
        <v/>
      </c>
      <c r="FB142" s="108" t="str">
        <f t="shared" si="55"/>
        <v/>
      </c>
      <c r="FC142" s="109" t="str">
        <f t="shared" si="131"/>
        <v/>
      </c>
      <c r="FD142" s="109" t="str">
        <f t="shared" si="56"/>
        <v/>
      </c>
      <c r="FE142" s="110" t="str">
        <f t="shared" si="236"/>
        <v/>
      </c>
      <c r="FG142" s="108" t="str">
        <f t="shared" si="133"/>
        <v/>
      </c>
      <c r="FH142" s="109" t="str">
        <f t="shared" si="134"/>
        <v/>
      </c>
      <c r="FI142" s="109" t="str">
        <f t="shared" si="57"/>
        <v/>
      </c>
      <c r="FJ142" s="110" t="str">
        <f t="shared" si="237"/>
        <v/>
      </c>
      <c r="FL142" s="108" t="str">
        <f t="shared" si="58"/>
        <v/>
      </c>
      <c r="FM142" s="109" t="str">
        <f t="shared" si="135"/>
        <v/>
      </c>
      <c r="FN142" s="109" t="str">
        <f t="shared" si="59"/>
        <v/>
      </c>
      <c r="FO142" s="110" t="str">
        <f t="shared" si="238"/>
        <v/>
      </c>
      <c r="FQ142" s="108" t="str">
        <f t="shared" si="137"/>
        <v/>
      </c>
      <c r="FR142" s="109" t="str">
        <f t="shared" si="138"/>
        <v/>
      </c>
      <c r="FS142" s="109" t="str">
        <f t="shared" si="60"/>
        <v/>
      </c>
      <c r="FT142" s="110" t="str">
        <f t="shared" si="239"/>
        <v/>
      </c>
      <c r="FV142" s="108" t="str">
        <f t="shared" si="61"/>
        <v/>
      </c>
      <c r="FW142" s="109" t="str">
        <f t="shared" si="139"/>
        <v/>
      </c>
      <c r="FX142" s="109" t="str">
        <f t="shared" si="62"/>
        <v/>
      </c>
      <c r="FY142" s="110" t="str">
        <f t="shared" si="240"/>
        <v/>
      </c>
      <c r="GA142" s="108" t="str">
        <f t="shared" si="141"/>
        <v/>
      </c>
      <c r="GB142" s="109" t="str">
        <f t="shared" si="142"/>
        <v/>
      </c>
      <c r="GC142" s="109" t="str">
        <f t="shared" si="63"/>
        <v/>
      </c>
      <c r="GD142" s="110" t="str">
        <f t="shared" si="241"/>
        <v/>
      </c>
      <c r="GF142" s="108" t="str">
        <f t="shared" si="64"/>
        <v/>
      </c>
      <c r="GG142" s="109" t="str">
        <f t="shared" si="143"/>
        <v/>
      </c>
      <c r="GH142" s="109" t="str">
        <f t="shared" si="65"/>
        <v/>
      </c>
      <c r="GI142" s="110" t="str">
        <f t="shared" si="242"/>
        <v/>
      </c>
      <c r="GK142" s="108" t="str">
        <f t="shared" si="145"/>
        <v/>
      </c>
      <c r="GL142" s="109" t="str">
        <f t="shared" si="146"/>
        <v/>
      </c>
      <c r="GM142" s="109" t="str">
        <f t="shared" si="147"/>
        <v/>
      </c>
      <c r="GN142" s="110" t="str">
        <f t="shared" si="243"/>
        <v/>
      </c>
      <c r="GR142" s="108" t="str">
        <f t="shared" si="66"/>
        <v/>
      </c>
      <c r="GS142" s="109" t="str">
        <f t="shared" si="67"/>
        <v/>
      </c>
      <c r="GT142" s="109" t="str">
        <f t="shared" si="68"/>
        <v/>
      </c>
      <c r="GU142" s="110" t="str">
        <f t="shared" si="69"/>
        <v/>
      </c>
      <c r="GV142" s="51"/>
      <c r="GW142" s="108" t="str">
        <f t="shared" si="70"/>
        <v/>
      </c>
      <c r="GX142" s="109" t="str">
        <f t="shared" si="148"/>
        <v/>
      </c>
      <c r="GY142" s="109" t="str">
        <f t="shared" si="71"/>
        <v/>
      </c>
      <c r="GZ142" s="110" t="str">
        <f t="shared" si="72"/>
        <v/>
      </c>
      <c r="HA142" s="51"/>
      <c r="HB142" s="108" t="str">
        <f t="shared" si="149"/>
        <v/>
      </c>
      <c r="HC142" s="109" t="str">
        <f t="shared" si="150"/>
        <v/>
      </c>
      <c r="HD142" s="109" t="str">
        <f t="shared" si="73"/>
        <v/>
      </c>
      <c r="HE142" s="110" t="str">
        <f t="shared" si="151"/>
        <v/>
      </c>
      <c r="HF142" s="51"/>
      <c r="HG142" s="108" t="str">
        <f t="shared" si="74"/>
        <v/>
      </c>
      <c r="HH142" s="109" t="str">
        <f t="shared" si="152"/>
        <v/>
      </c>
      <c r="HI142" s="109" t="str">
        <f t="shared" si="75"/>
        <v/>
      </c>
      <c r="HJ142" s="110" t="str">
        <f t="shared" si="193"/>
        <v/>
      </c>
      <c r="HK142" s="51"/>
      <c r="HL142" s="108" t="str">
        <f t="shared" si="153"/>
        <v/>
      </c>
      <c r="HM142" s="109" t="str">
        <f t="shared" si="154"/>
        <v/>
      </c>
      <c r="HN142" s="109" t="str">
        <f t="shared" si="76"/>
        <v/>
      </c>
      <c r="HO142" s="110" t="str">
        <f t="shared" si="155"/>
        <v/>
      </c>
      <c r="HP142" s="51"/>
      <c r="HQ142" s="108" t="str">
        <f t="shared" si="77"/>
        <v/>
      </c>
      <c r="HR142" s="109" t="str">
        <f t="shared" si="156"/>
        <v/>
      </c>
      <c r="HS142" s="109" t="str">
        <f t="shared" si="78"/>
        <v/>
      </c>
      <c r="HT142" s="110" t="str">
        <f t="shared" si="194"/>
        <v/>
      </c>
      <c r="HU142" s="51"/>
      <c r="HV142" s="108" t="str">
        <f t="shared" si="157"/>
        <v/>
      </c>
      <c r="HW142" s="109" t="str">
        <f t="shared" si="158"/>
        <v/>
      </c>
      <c r="HX142" s="109" t="str">
        <f t="shared" si="79"/>
        <v/>
      </c>
      <c r="HY142" s="110" t="str">
        <f t="shared" si="159"/>
        <v/>
      </c>
      <c r="HZ142" s="51"/>
      <c r="IA142" s="108" t="str">
        <f t="shared" si="80"/>
        <v/>
      </c>
      <c r="IB142" s="109" t="str">
        <f t="shared" si="160"/>
        <v/>
      </c>
      <c r="IC142" s="109" t="str">
        <f t="shared" si="81"/>
        <v/>
      </c>
      <c r="ID142" s="110" t="str">
        <f t="shared" si="195"/>
        <v/>
      </c>
      <c r="IE142" s="51"/>
      <c r="IF142" s="108" t="str">
        <f t="shared" si="161"/>
        <v/>
      </c>
      <c r="IG142" s="109" t="str">
        <f t="shared" si="162"/>
        <v/>
      </c>
      <c r="IH142" s="109" t="str">
        <f t="shared" si="82"/>
        <v/>
      </c>
      <c r="II142" s="110" t="str">
        <f t="shared" si="163"/>
        <v/>
      </c>
      <c r="IJ142" s="51"/>
      <c r="IK142" s="108" t="str">
        <f t="shared" si="83"/>
        <v/>
      </c>
      <c r="IL142" s="109" t="str">
        <f t="shared" si="164"/>
        <v/>
      </c>
      <c r="IM142" s="109" t="str">
        <f t="shared" si="84"/>
        <v/>
      </c>
      <c r="IN142" s="110" t="str">
        <f t="shared" si="196"/>
        <v/>
      </c>
      <c r="IO142" s="51"/>
      <c r="IP142" s="108" t="str">
        <f t="shared" si="165"/>
        <v/>
      </c>
      <c r="IQ142" s="109" t="str">
        <f t="shared" si="166"/>
        <v/>
      </c>
      <c r="IR142" s="109" t="str">
        <f t="shared" si="85"/>
        <v/>
      </c>
      <c r="IS142" s="110" t="str">
        <f t="shared" si="167"/>
        <v/>
      </c>
      <c r="IT142" s="51"/>
      <c r="IU142" s="108" t="str">
        <f t="shared" si="86"/>
        <v/>
      </c>
      <c r="IV142" s="109" t="str">
        <f t="shared" si="168"/>
        <v/>
      </c>
      <c r="IW142" s="109" t="str">
        <f t="shared" si="87"/>
        <v/>
      </c>
      <c r="IX142" s="110" t="str">
        <f t="shared" si="197"/>
        <v/>
      </c>
      <c r="IY142" s="51"/>
      <c r="IZ142" s="108" t="str">
        <f t="shared" si="169"/>
        <v/>
      </c>
      <c r="JA142" s="109" t="str">
        <f t="shared" si="170"/>
        <v/>
      </c>
      <c r="JB142" s="109" t="str">
        <f t="shared" si="88"/>
        <v/>
      </c>
      <c r="JC142" s="110" t="str">
        <f t="shared" si="171"/>
        <v/>
      </c>
      <c r="JD142" s="51"/>
      <c r="JE142" s="108" t="str">
        <f t="shared" si="89"/>
        <v/>
      </c>
      <c r="JF142" s="109" t="str">
        <f t="shared" si="172"/>
        <v/>
      </c>
      <c r="JG142" s="109" t="str">
        <f t="shared" si="90"/>
        <v/>
      </c>
      <c r="JH142" s="110" t="str">
        <f t="shared" si="198"/>
        <v/>
      </c>
      <c r="JI142" s="51"/>
      <c r="JJ142" s="108" t="str">
        <f t="shared" si="173"/>
        <v/>
      </c>
      <c r="JK142" s="109" t="str">
        <f t="shared" si="174"/>
        <v/>
      </c>
      <c r="JL142" s="109" t="str">
        <f t="shared" si="91"/>
        <v/>
      </c>
      <c r="JM142" s="110" t="str">
        <f t="shared" si="175"/>
        <v/>
      </c>
      <c r="JN142" s="51"/>
      <c r="JO142" s="108" t="str">
        <f t="shared" si="92"/>
        <v/>
      </c>
      <c r="JP142" s="109" t="str">
        <f t="shared" si="176"/>
        <v/>
      </c>
      <c r="JQ142" s="109" t="str">
        <f t="shared" si="93"/>
        <v/>
      </c>
      <c r="JR142" s="110" t="str">
        <f t="shared" si="199"/>
        <v/>
      </c>
      <c r="JS142" s="51"/>
      <c r="JT142" s="108" t="str">
        <f t="shared" si="177"/>
        <v/>
      </c>
      <c r="JU142" s="109" t="str">
        <f t="shared" si="178"/>
        <v/>
      </c>
      <c r="JV142" s="109" t="str">
        <f t="shared" si="94"/>
        <v/>
      </c>
      <c r="JW142" s="110" t="str">
        <f t="shared" si="179"/>
        <v/>
      </c>
      <c r="JX142" s="51"/>
      <c r="JY142" s="108" t="str">
        <f t="shared" si="95"/>
        <v/>
      </c>
      <c r="JZ142" s="109" t="str">
        <f t="shared" si="180"/>
        <v/>
      </c>
      <c r="KA142" s="109" t="str">
        <f t="shared" si="96"/>
        <v/>
      </c>
      <c r="KB142" s="110" t="str">
        <f t="shared" si="200"/>
        <v/>
      </c>
      <c r="KC142" s="51"/>
      <c r="KD142" s="108" t="str">
        <f t="shared" si="181"/>
        <v/>
      </c>
      <c r="KE142" s="109" t="str">
        <f t="shared" si="182"/>
        <v/>
      </c>
      <c r="KF142" s="109" t="str">
        <f t="shared" si="97"/>
        <v/>
      </c>
      <c r="KG142" s="110" t="str">
        <f t="shared" si="98"/>
        <v/>
      </c>
    </row>
    <row r="143" spans="1:293" ht="12" customHeight="1">
      <c r="A143" s="105">
        <f t="array" ref="A143">MAX(IF($J$80:J142&gt;0,$C$80:C142,0))</f>
        <v>43535</v>
      </c>
      <c r="B143" s="81" t="str">
        <f t="shared" si="4"/>
        <v/>
      </c>
      <c r="C143" s="82">
        <f t="shared" si="5"/>
        <v>0</v>
      </c>
      <c r="D143" s="83" t="str">
        <f t="shared" si="6"/>
        <v/>
      </c>
      <c r="E143" s="83" t="str">
        <f t="shared" si="99"/>
        <v/>
      </c>
      <c r="F143" s="83" t="str">
        <f t="shared" si="7"/>
        <v/>
      </c>
      <c r="G143" s="83" t="str">
        <f t="shared" si="8"/>
        <v/>
      </c>
      <c r="H143" s="83" t="str">
        <f t="shared" si="9"/>
        <v/>
      </c>
      <c r="I143" s="105">
        <f t="array" ref="I143">MAX(IF($R$80:R142&gt;0,$L$80:L142,0))</f>
        <v>0</v>
      </c>
      <c r="J143" s="106"/>
      <c r="K143" s="2" t="str">
        <f t="shared" si="10"/>
        <v/>
      </c>
      <c r="L143" s="82">
        <f t="shared" si="183"/>
        <v>0</v>
      </c>
      <c r="M143" s="83" t="str">
        <f t="shared" si="11"/>
        <v/>
      </c>
      <c r="N143" s="83" t="str">
        <f t="shared" si="12"/>
        <v/>
      </c>
      <c r="O143" s="83" t="str">
        <f t="shared" si="13"/>
        <v/>
      </c>
      <c r="P143" s="83" t="str">
        <f t="shared" si="14"/>
        <v/>
      </c>
      <c r="Q143" s="83" t="str">
        <f t="shared" si="15"/>
        <v/>
      </c>
      <c r="R143" s="106"/>
      <c r="S143" s="1"/>
      <c r="U143" s="85" t="e">
        <f t="shared" si="0"/>
        <v>#NUM!</v>
      </c>
      <c r="V143" s="86" t="e">
        <f t="shared" si="100"/>
        <v>#NUM!</v>
      </c>
      <c r="W143" s="87" t="e">
        <f t="shared" si="16"/>
        <v>#NUM!</v>
      </c>
      <c r="X143" s="87" t="e">
        <f t="shared" si="17"/>
        <v>#NUM!</v>
      </c>
      <c r="Y143" s="87" t="e">
        <f t="shared" si="18"/>
        <v>#NUM!</v>
      </c>
      <c r="Z143" s="88" t="e">
        <f t="shared" si="1"/>
        <v>#NUM!</v>
      </c>
      <c r="AA143" t="s">
        <v>282</v>
      </c>
      <c r="AB143" s="89">
        <f t="shared" si="101"/>
        <v>0</v>
      </c>
      <c r="AC143" s="87">
        <f t="shared" si="19"/>
        <v>0</v>
      </c>
      <c r="AD143" s="87" t="str">
        <f t="shared" si="20"/>
        <v/>
      </c>
      <c r="AE143" s="87" t="str">
        <f t="shared" si="21"/>
        <v/>
      </c>
      <c r="AF143" s="86">
        <f t="shared" si="102"/>
        <v>0</v>
      </c>
      <c r="AG143" s="87">
        <f t="shared" si="2"/>
        <v>0</v>
      </c>
      <c r="AH143" s="87">
        <f t="shared" si="103"/>
        <v>0</v>
      </c>
      <c r="AI143" s="90"/>
      <c r="AJ143" s="87" t="e">
        <f t="shared" si="22"/>
        <v>#NUM!</v>
      </c>
      <c r="AK143" s="87" t="e">
        <f t="shared" si="104"/>
        <v>#NUM!</v>
      </c>
      <c r="AL143" s="87" t="e">
        <f t="shared" si="105"/>
        <v>#NUM!</v>
      </c>
      <c r="AM143" s="87" t="e">
        <f t="shared" si="106"/>
        <v>#NUM!</v>
      </c>
      <c r="AN143" s="86">
        <f t="shared" si="23"/>
        <v>0</v>
      </c>
      <c r="AO143" s="87">
        <f t="shared" si="24"/>
        <v>0</v>
      </c>
      <c r="AP143" s="88">
        <f t="shared" si="25"/>
        <v>0</v>
      </c>
      <c r="AR143" s="91">
        <f t="shared" si="26"/>
        <v>0</v>
      </c>
      <c r="AS143" s="92">
        <f t="shared" si="27"/>
        <v>0</v>
      </c>
      <c r="AT143" s="87" t="str">
        <f t="shared" si="28"/>
        <v/>
      </c>
      <c r="AU143" s="87" t="str">
        <f t="shared" si="29"/>
        <v/>
      </c>
      <c r="AV143" s="86">
        <f t="shared" si="107"/>
        <v>0</v>
      </c>
      <c r="AW143" s="87">
        <f t="shared" si="108"/>
        <v>0</v>
      </c>
      <c r="AX143" s="87">
        <f t="shared" si="109"/>
        <v>0</v>
      </c>
      <c r="AY143" s="93"/>
      <c r="AZ143" s="87">
        <f t="shared" si="201"/>
        <v>0</v>
      </c>
      <c r="BA143" s="87">
        <f t="shared" si="110"/>
        <v>0</v>
      </c>
      <c r="BB143" s="87">
        <f t="shared" si="111"/>
        <v>0</v>
      </c>
      <c r="BC143" s="87">
        <f t="shared" si="184"/>
        <v>0</v>
      </c>
      <c r="BD143" s="86" t="e">
        <f t="shared" si="30"/>
        <v>#NUM!</v>
      </c>
      <c r="BE143" s="87" t="e">
        <f t="shared" si="3"/>
        <v>#NUM!</v>
      </c>
      <c r="BF143" s="88">
        <f t="shared" si="112"/>
        <v>0</v>
      </c>
      <c r="BH143" s="87" t="e">
        <f t="shared" si="31"/>
        <v>#NUM!</v>
      </c>
      <c r="BK143" s="95">
        <v>40971</v>
      </c>
      <c r="BL143" s="96">
        <v>64</v>
      </c>
      <c r="BT143" s="51"/>
      <c r="BU143" s="51"/>
      <c r="BV143" s="30"/>
      <c r="BW143" s="107"/>
      <c r="CY143" s="108" t="str">
        <f t="shared" si="32"/>
        <v/>
      </c>
      <c r="CZ143" s="109" t="str">
        <f t="shared" si="33"/>
        <v/>
      </c>
      <c r="DA143" s="109" t="str">
        <f t="shared" si="34"/>
        <v/>
      </c>
      <c r="DB143" s="110" t="str">
        <f t="shared" si="225"/>
        <v/>
      </c>
      <c r="DD143" s="108" t="str">
        <f t="shared" si="36"/>
        <v/>
      </c>
      <c r="DE143" s="109" t="str">
        <f t="shared" si="114"/>
        <v/>
      </c>
      <c r="DF143" s="109" t="str">
        <f t="shared" si="37"/>
        <v/>
      </c>
      <c r="DG143" s="110" t="str">
        <f t="shared" si="226"/>
        <v/>
      </c>
      <c r="DI143" s="108" t="str">
        <f t="shared" si="115"/>
        <v/>
      </c>
      <c r="DJ143" s="109" t="str">
        <f t="shared" si="116"/>
        <v/>
      </c>
      <c r="DK143" s="109" t="str">
        <f t="shared" si="39"/>
        <v/>
      </c>
      <c r="DL143" s="110" t="str">
        <f t="shared" si="227"/>
        <v/>
      </c>
      <c r="DN143" s="108" t="str">
        <f t="shared" si="41"/>
        <v/>
      </c>
      <c r="DO143" s="109" t="str">
        <f t="shared" si="42"/>
        <v/>
      </c>
      <c r="DP143" s="109" t="str">
        <f t="shared" si="43"/>
        <v/>
      </c>
      <c r="DQ143" s="110" t="str">
        <f t="shared" si="228"/>
        <v/>
      </c>
      <c r="DS143" s="108" t="str">
        <f t="shared" si="117"/>
        <v/>
      </c>
      <c r="DT143" s="109" t="str">
        <f t="shared" si="118"/>
        <v/>
      </c>
      <c r="DU143" s="109" t="str">
        <f t="shared" si="45"/>
        <v/>
      </c>
      <c r="DV143" s="110" t="str">
        <f t="shared" si="229"/>
        <v/>
      </c>
      <c r="DX143" s="108" t="str">
        <f t="shared" si="46"/>
        <v/>
      </c>
      <c r="DY143" s="109" t="str">
        <f t="shared" si="119"/>
        <v/>
      </c>
      <c r="DZ143" s="109" t="str">
        <f t="shared" si="47"/>
        <v/>
      </c>
      <c r="EA143" s="110" t="str">
        <f t="shared" si="230"/>
        <v/>
      </c>
      <c r="EC143" s="108" t="str">
        <f t="shared" si="121"/>
        <v/>
      </c>
      <c r="ED143" s="109" t="str">
        <f t="shared" si="122"/>
        <v/>
      </c>
      <c r="EE143" s="109" t="str">
        <f t="shared" si="48"/>
        <v/>
      </c>
      <c r="EF143" s="110" t="str">
        <f t="shared" si="231"/>
        <v/>
      </c>
      <c r="EH143" s="108" t="str">
        <f t="shared" si="49"/>
        <v/>
      </c>
      <c r="EI143" s="109" t="str">
        <f t="shared" si="123"/>
        <v/>
      </c>
      <c r="EJ143" s="109" t="str">
        <f t="shared" si="50"/>
        <v/>
      </c>
      <c r="EK143" s="110" t="str">
        <f t="shared" si="232"/>
        <v/>
      </c>
      <c r="EM143" s="108" t="str">
        <f t="shared" si="125"/>
        <v/>
      </c>
      <c r="EN143" s="109" t="str">
        <f t="shared" si="126"/>
        <v/>
      </c>
      <c r="EO143" s="109" t="str">
        <f t="shared" si="51"/>
        <v/>
      </c>
      <c r="EP143" s="110" t="str">
        <f t="shared" si="233"/>
        <v/>
      </c>
      <c r="ER143" s="108" t="str">
        <f t="shared" si="52"/>
        <v/>
      </c>
      <c r="ES143" s="109" t="str">
        <f t="shared" si="127"/>
        <v/>
      </c>
      <c r="ET143" s="109" t="str">
        <f t="shared" si="53"/>
        <v/>
      </c>
      <c r="EU143" s="110" t="str">
        <f t="shared" si="234"/>
        <v/>
      </c>
      <c r="EW143" s="108" t="str">
        <f t="shared" si="129"/>
        <v/>
      </c>
      <c r="EX143" s="109" t="str">
        <f t="shared" si="130"/>
        <v/>
      </c>
      <c r="EY143" s="109" t="str">
        <f t="shared" si="54"/>
        <v/>
      </c>
      <c r="EZ143" s="110" t="str">
        <f t="shared" si="235"/>
        <v/>
      </c>
      <c r="FB143" s="108" t="str">
        <f t="shared" si="55"/>
        <v/>
      </c>
      <c r="FC143" s="109" t="str">
        <f t="shared" si="131"/>
        <v/>
      </c>
      <c r="FD143" s="109" t="str">
        <f t="shared" si="56"/>
        <v/>
      </c>
      <c r="FE143" s="110" t="str">
        <f t="shared" si="236"/>
        <v/>
      </c>
      <c r="FG143" s="108" t="str">
        <f t="shared" si="133"/>
        <v/>
      </c>
      <c r="FH143" s="109" t="str">
        <f t="shared" si="134"/>
        <v/>
      </c>
      <c r="FI143" s="109" t="str">
        <f t="shared" si="57"/>
        <v/>
      </c>
      <c r="FJ143" s="110" t="str">
        <f t="shared" si="237"/>
        <v/>
      </c>
      <c r="FL143" s="108" t="str">
        <f t="shared" si="58"/>
        <v/>
      </c>
      <c r="FM143" s="109" t="str">
        <f t="shared" si="135"/>
        <v/>
      </c>
      <c r="FN143" s="109" t="str">
        <f t="shared" si="59"/>
        <v/>
      </c>
      <c r="FO143" s="110" t="str">
        <f t="shared" si="238"/>
        <v/>
      </c>
      <c r="FQ143" s="108" t="str">
        <f t="shared" si="137"/>
        <v/>
      </c>
      <c r="FR143" s="109" t="str">
        <f t="shared" si="138"/>
        <v/>
      </c>
      <c r="FS143" s="109" t="str">
        <f t="shared" si="60"/>
        <v/>
      </c>
      <c r="FT143" s="110" t="str">
        <f t="shared" si="239"/>
        <v/>
      </c>
      <c r="FV143" s="108" t="str">
        <f t="shared" si="61"/>
        <v/>
      </c>
      <c r="FW143" s="109" t="str">
        <f t="shared" si="139"/>
        <v/>
      </c>
      <c r="FX143" s="109" t="str">
        <f t="shared" si="62"/>
        <v/>
      </c>
      <c r="FY143" s="110" t="str">
        <f t="shared" si="240"/>
        <v/>
      </c>
      <c r="GA143" s="108" t="str">
        <f t="shared" si="141"/>
        <v/>
      </c>
      <c r="GB143" s="109" t="str">
        <f t="shared" si="142"/>
        <v/>
      </c>
      <c r="GC143" s="109" t="str">
        <f t="shared" si="63"/>
        <v/>
      </c>
      <c r="GD143" s="110" t="str">
        <f t="shared" si="241"/>
        <v/>
      </c>
      <c r="GF143" s="108" t="str">
        <f t="shared" si="64"/>
        <v/>
      </c>
      <c r="GG143" s="109" t="str">
        <f t="shared" si="143"/>
        <v/>
      </c>
      <c r="GH143" s="109" t="str">
        <f t="shared" si="65"/>
        <v/>
      </c>
      <c r="GI143" s="110" t="str">
        <f t="shared" si="242"/>
        <v/>
      </c>
      <c r="GK143" s="108" t="str">
        <f t="shared" si="145"/>
        <v/>
      </c>
      <c r="GL143" s="109" t="str">
        <f t="shared" si="146"/>
        <v/>
      </c>
      <c r="GM143" s="109" t="str">
        <f t="shared" si="147"/>
        <v/>
      </c>
      <c r="GN143" s="110" t="str">
        <f t="shared" si="243"/>
        <v/>
      </c>
      <c r="GR143" s="108" t="str">
        <f t="shared" si="66"/>
        <v/>
      </c>
      <c r="GS143" s="109" t="str">
        <f t="shared" si="67"/>
        <v/>
      </c>
      <c r="GT143" s="109" t="str">
        <f t="shared" si="68"/>
        <v/>
      </c>
      <c r="GU143" s="110" t="str">
        <f t="shared" si="69"/>
        <v/>
      </c>
      <c r="GV143" s="51"/>
      <c r="GW143" s="108" t="str">
        <f t="shared" si="70"/>
        <v/>
      </c>
      <c r="GX143" s="109" t="str">
        <f t="shared" si="148"/>
        <v/>
      </c>
      <c r="GY143" s="109" t="str">
        <f t="shared" si="71"/>
        <v/>
      </c>
      <c r="GZ143" s="110" t="str">
        <f t="shared" si="72"/>
        <v/>
      </c>
      <c r="HA143" s="51"/>
      <c r="HB143" s="108" t="str">
        <f t="shared" si="149"/>
        <v/>
      </c>
      <c r="HC143" s="109" t="str">
        <f t="shared" si="150"/>
        <v/>
      </c>
      <c r="HD143" s="109" t="str">
        <f t="shared" si="73"/>
        <v/>
      </c>
      <c r="HE143" s="110" t="str">
        <f t="shared" si="151"/>
        <v/>
      </c>
      <c r="HF143" s="51"/>
      <c r="HG143" s="108" t="str">
        <f t="shared" si="74"/>
        <v/>
      </c>
      <c r="HH143" s="109" t="str">
        <f t="shared" si="152"/>
        <v/>
      </c>
      <c r="HI143" s="109" t="str">
        <f t="shared" si="75"/>
        <v/>
      </c>
      <c r="HJ143" s="110" t="str">
        <f t="shared" si="193"/>
        <v/>
      </c>
      <c r="HK143" s="51"/>
      <c r="HL143" s="108" t="str">
        <f t="shared" si="153"/>
        <v/>
      </c>
      <c r="HM143" s="109" t="str">
        <f t="shared" si="154"/>
        <v/>
      </c>
      <c r="HN143" s="109" t="str">
        <f t="shared" si="76"/>
        <v/>
      </c>
      <c r="HO143" s="110" t="str">
        <f t="shared" si="155"/>
        <v/>
      </c>
      <c r="HP143" s="51"/>
      <c r="HQ143" s="108" t="str">
        <f t="shared" si="77"/>
        <v/>
      </c>
      <c r="HR143" s="109" t="str">
        <f t="shared" si="156"/>
        <v/>
      </c>
      <c r="HS143" s="109" t="str">
        <f t="shared" si="78"/>
        <v/>
      </c>
      <c r="HT143" s="110" t="str">
        <f t="shared" si="194"/>
        <v/>
      </c>
      <c r="HU143" s="51"/>
      <c r="HV143" s="108" t="str">
        <f t="shared" si="157"/>
        <v/>
      </c>
      <c r="HW143" s="109" t="str">
        <f t="shared" si="158"/>
        <v/>
      </c>
      <c r="HX143" s="109" t="str">
        <f t="shared" si="79"/>
        <v/>
      </c>
      <c r="HY143" s="110" t="str">
        <f t="shared" si="159"/>
        <v/>
      </c>
      <c r="HZ143" s="51"/>
      <c r="IA143" s="108" t="str">
        <f t="shared" si="80"/>
        <v/>
      </c>
      <c r="IB143" s="109" t="str">
        <f t="shared" si="160"/>
        <v/>
      </c>
      <c r="IC143" s="109" t="str">
        <f t="shared" si="81"/>
        <v/>
      </c>
      <c r="ID143" s="110" t="str">
        <f t="shared" si="195"/>
        <v/>
      </c>
      <c r="IE143" s="51"/>
      <c r="IF143" s="108" t="str">
        <f t="shared" si="161"/>
        <v/>
      </c>
      <c r="IG143" s="109" t="str">
        <f t="shared" si="162"/>
        <v/>
      </c>
      <c r="IH143" s="109" t="str">
        <f t="shared" si="82"/>
        <v/>
      </c>
      <c r="II143" s="110" t="str">
        <f t="shared" si="163"/>
        <v/>
      </c>
      <c r="IJ143" s="51"/>
      <c r="IK143" s="108" t="str">
        <f t="shared" si="83"/>
        <v/>
      </c>
      <c r="IL143" s="109" t="str">
        <f t="shared" si="164"/>
        <v/>
      </c>
      <c r="IM143" s="109" t="str">
        <f t="shared" si="84"/>
        <v/>
      </c>
      <c r="IN143" s="110" t="str">
        <f t="shared" si="196"/>
        <v/>
      </c>
      <c r="IO143" s="51"/>
      <c r="IP143" s="108" t="str">
        <f t="shared" si="165"/>
        <v/>
      </c>
      <c r="IQ143" s="109" t="str">
        <f t="shared" si="166"/>
        <v/>
      </c>
      <c r="IR143" s="109" t="str">
        <f t="shared" si="85"/>
        <v/>
      </c>
      <c r="IS143" s="110" t="str">
        <f t="shared" si="167"/>
        <v/>
      </c>
      <c r="IT143" s="51"/>
      <c r="IU143" s="108" t="str">
        <f t="shared" si="86"/>
        <v/>
      </c>
      <c r="IV143" s="109" t="str">
        <f t="shared" si="168"/>
        <v/>
      </c>
      <c r="IW143" s="109" t="str">
        <f t="shared" si="87"/>
        <v/>
      </c>
      <c r="IX143" s="110" t="str">
        <f t="shared" si="197"/>
        <v/>
      </c>
      <c r="IY143" s="51"/>
      <c r="IZ143" s="108" t="str">
        <f t="shared" si="169"/>
        <v/>
      </c>
      <c r="JA143" s="109" t="str">
        <f t="shared" si="170"/>
        <v/>
      </c>
      <c r="JB143" s="109" t="str">
        <f t="shared" si="88"/>
        <v/>
      </c>
      <c r="JC143" s="110" t="str">
        <f t="shared" si="171"/>
        <v/>
      </c>
      <c r="JD143" s="51"/>
      <c r="JE143" s="108" t="str">
        <f t="shared" si="89"/>
        <v/>
      </c>
      <c r="JF143" s="109" t="str">
        <f t="shared" si="172"/>
        <v/>
      </c>
      <c r="JG143" s="109" t="str">
        <f t="shared" si="90"/>
        <v/>
      </c>
      <c r="JH143" s="110" t="str">
        <f t="shared" si="198"/>
        <v/>
      </c>
      <c r="JI143" s="51"/>
      <c r="JJ143" s="108" t="str">
        <f t="shared" si="173"/>
        <v/>
      </c>
      <c r="JK143" s="109" t="str">
        <f t="shared" si="174"/>
        <v/>
      </c>
      <c r="JL143" s="109" t="str">
        <f t="shared" si="91"/>
        <v/>
      </c>
      <c r="JM143" s="110" t="str">
        <f t="shared" si="175"/>
        <v/>
      </c>
      <c r="JN143" s="51"/>
      <c r="JO143" s="108" t="str">
        <f t="shared" si="92"/>
        <v/>
      </c>
      <c r="JP143" s="109" t="str">
        <f t="shared" si="176"/>
        <v/>
      </c>
      <c r="JQ143" s="109" t="str">
        <f t="shared" si="93"/>
        <v/>
      </c>
      <c r="JR143" s="110" t="str">
        <f t="shared" si="199"/>
        <v/>
      </c>
      <c r="JS143" s="51"/>
      <c r="JT143" s="108" t="str">
        <f t="shared" si="177"/>
        <v/>
      </c>
      <c r="JU143" s="109" t="str">
        <f t="shared" si="178"/>
        <v/>
      </c>
      <c r="JV143" s="109" t="str">
        <f t="shared" si="94"/>
        <v/>
      </c>
      <c r="JW143" s="110" t="str">
        <f t="shared" si="179"/>
        <v/>
      </c>
      <c r="JX143" s="51"/>
      <c r="JY143" s="108" t="str">
        <f t="shared" si="95"/>
        <v/>
      </c>
      <c r="JZ143" s="109" t="str">
        <f t="shared" si="180"/>
        <v/>
      </c>
      <c r="KA143" s="109" t="str">
        <f t="shared" si="96"/>
        <v/>
      </c>
      <c r="KB143" s="110" t="str">
        <f t="shared" si="200"/>
        <v/>
      </c>
      <c r="KC143" s="51"/>
      <c r="KD143" s="108" t="str">
        <f t="shared" si="181"/>
        <v/>
      </c>
      <c r="KE143" s="109" t="str">
        <f t="shared" si="182"/>
        <v/>
      </c>
      <c r="KF143" s="109" t="str">
        <f t="shared" si="97"/>
        <v/>
      </c>
      <c r="KG143" s="110" t="str">
        <f t="shared" si="98"/>
        <v/>
      </c>
    </row>
    <row r="144" spans="1:293" ht="12" customHeight="1">
      <c r="A144" s="105">
        <f t="array" ref="A144">MAX(IF($J$80:J143&gt;0,$C$80:C143,0))</f>
        <v>43535</v>
      </c>
      <c r="B144" s="81" t="str">
        <f t="shared" si="4"/>
        <v/>
      </c>
      <c r="C144" s="82">
        <f t="shared" si="5"/>
        <v>0</v>
      </c>
      <c r="D144" s="83" t="str">
        <f t="shared" si="6"/>
        <v/>
      </c>
      <c r="E144" s="83" t="str">
        <f t="shared" si="99"/>
        <v/>
      </c>
      <c r="F144" s="83" t="str">
        <f t="shared" si="7"/>
        <v/>
      </c>
      <c r="G144" s="83" t="str">
        <f t="shared" si="8"/>
        <v/>
      </c>
      <c r="H144" s="83" t="str">
        <f t="shared" si="9"/>
        <v/>
      </c>
      <c r="I144" s="105">
        <f t="array" ref="I144">MAX(IF($R$80:R143&gt;0,$L$80:L143,0))</f>
        <v>0</v>
      </c>
      <c r="J144" s="106"/>
      <c r="K144" s="2" t="str">
        <f t="shared" si="10"/>
        <v/>
      </c>
      <c r="L144" s="82">
        <f t="shared" si="183"/>
        <v>0</v>
      </c>
      <c r="M144" s="83" t="str">
        <f t="shared" si="11"/>
        <v/>
      </c>
      <c r="N144" s="83" t="str">
        <f t="shared" si="12"/>
        <v/>
      </c>
      <c r="O144" s="83" t="str">
        <f t="shared" si="13"/>
        <v/>
      </c>
      <c r="P144" s="83" t="str">
        <f t="shared" si="14"/>
        <v/>
      </c>
      <c r="Q144" s="83" t="str">
        <f t="shared" si="15"/>
        <v/>
      </c>
      <c r="R144" s="106"/>
      <c r="S144" s="1"/>
      <c r="U144" s="85" t="e">
        <f t="shared" ref="U144:U200" si="244">IF(DATE($F$46,$G$46,$H$46)&lt;C144,"",B144)</f>
        <v>#NUM!</v>
      </c>
      <c r="V144" s="86" t="e">
        <f t="shared" si="100"/>
        <v>#NUM!</v>
      </c>
      <c r="W144" s="87" t="e">
        <f t="shared" si="16"/>
        <v>#NUM!</v>
      </c>
      <c r="X144" s="87" t="e">
        <f t="shared" si="17"/>
        <v>#NUM!</v>
      </c>
      <c r="Y144" s="87" t="e">
        <f t="shared" si="18"/>
        <v>#NUM!</v>
      </c>
      <c r="Z144" s="88" t="e">
        <f t="shared" ref="Z144:Z200" si="245">IF($U144="",0,$H144)</f>
        <v>#NUM!</v>
      </c>
      <c r="AA144" t="s">
        <v>282</v>
      </c>
      <c r="AB144" s="89">
        <f t="shared" si="101"/>
        <v>0</v>
      </c>
      <c r="AC144" s="87">
        <f t="shared" si="19"/>
        <v>0</v>
      </c>
      <c r="AD144" s="87" t="str">
        <f t="shared" si="20"/>
        <v/>
      </c>
      <c r="AE144" s="87" t="str">
        <f t="shared" si="21"/>
        <v/>
      </c>
      <c r="AF144" s="86">
        <f t="shared" si="102"/>
        <v>0</v>
      </c>
      <c r="AG144" s="87">
        <f t="shared" ref="AG144:AG200" si="246">IF($F$10="დეპოზიტით უზრუნველყოფილი",0,IF(AF144&gt;0,IF($H$16="GEL",$R$14,ROUND($R$14/$H$18,2)),0))</f>
        <v>0</v>
      </c>
      <c r="AH144" s="87">
        <f t="shared" si="103"/>
        <v>0</v>
      </c>
      <c r="AI144" s="90"/>
      <c r="AJ144" s="87" t="e">
        <f t="shared" si="22"/>
        <v>#NUM!</v>
      </c>
      <c r="AK144" s="87" t="e">
        <f t="shared" si="104"/>
        <v>#NUM!</v>
      </c>
      <c r="AL144" s="87" t="e">
        <f t="shared" si="105"/>
        <v>#NUM!</v>
      </c>
      <c r="AM144" s="87" t="e">
        <f t="shared" si="106"/>
        <v>#NUM!</v>
      </c>
      <c r="AN144" s="86">
        <f t="shared" si="23"/>
        <v>0</v>
      </c>
      <c r="AO144" s="87">
        <f t="shared" si="24"/>
        <v>0</v>
      </c>
      <c r="AP144" s="88">
        <f t="shared" si="25"/>
        <v>0</v>
      </c>
      <c r="AR144" s="91">
        <f t="shared" si="26"/>
        <v>0</v>
      </c>
      <c r="AS144" s="92">
        <f t="shared" si="27"/>
        <v>0</v>
      </c>
      <c r="AT144" s="87" t="str">
        <f t="shared" si="28"/>
        <v/>
      </c>
      <c r="AU144" s="87" t="str">
        <f t="shared" si="29"/>
        <v/>
      </c>
      <c r="AV144" s="86">
        <f t="shared" si="107"/>
        <v>0</v>
      </c>
      <c r="AW144" s="87">
        <f t="shared" si="108"/>
        <v>0</v>
      </c>
      <c r="AX144" s="87">
        <f t="shared" si="109"/>
        <v>0</v>
      </c>
      <c r="AY144" s="93"/>
      <c r="AZ144" s="87">
        <f t="shared" si="201"/>
        <v>0</v>
      </c>
      <c r="BA144" s="87">
        <f t="shared" si="110"/>
        <v>0</v>
      </c>
      <c r="BB144" s="87">
        <f t="shared" si="111"/>
        <v>0</v>
      </c>
      <c r="BC144" s="87">
        <f t="shared" si="184"/>
        <v>0</v>
      </c>
      <c r="BD144" s="86" t="e">
        <f t="shared" si="30"/>
        <v>#NUM!</v>
      </c>
      <c r="BE144" s="87" t="e">
        <f t="shared" ref="BE144:BE200" si="247">IF($O$28="დეპოზიტით უზრუნველყოფილი",0,IF(BD144&gt;0,$R$38,0))</f>
        <v>#NUM!</v>
      </c>
      <c r="BF144" s="88">
        <f t="shared" si="112"/>
        <v>0</v>
      </c>
      <c r="BH144" s="87" t="e">
        <f t="shared" si="31"/>
        <v>#NUM!</v>
      </c>
      <c r="BK144" s="95">
        <v>40976</v>
      </c>
      <c r="BL144" s="96">
        <v>65</v>
      </c>
      <c r="BT144" s="51"/>
      <c r="BU144" s="51"/>
      <c r="BV144" s="30"/>
      <c r="BW144" s="107"/>
      <c r="CY144" s="108" t="str">
        <f t="shared" si="32"/>
        <v/>
      </c>
      <c r="CZ144" s="109" t="str">
        <f t="shared" si="33"/>
        <v/>
      </c>
      <c r="DA144" s="109" t="str">
        <f t="shared" si="34"/>
        <v/>
      </c>
      <c r="DB144" s="110" t="str">
        <f t="shared" si="225"/>
        <v/>
      </c>
      <c r="DD144" s="108" t="str">
        <f t="shared" si="36"/>
        <v/>
      </c>
      <c r="DE144" s="109" t="str">
        <f t="shared" si="114"/>
        <v/>
      </c>
      <c r="DF144" s="109" t="str">
        <f t="shared" si="37"/>
        <v/>
      </c>
      <c r="DG144" s="110" t="str">
        <f t="shared" si="226"/>
        <v/>
      </c>
      <c r="DI144" s="108" t="str">
        <f t="shared" si="115"/>
        <v/>
      </c>
      <c r="DJ144" s="109" t="str">
        <f t="shared" si="116"/>
        <v/>
      </c>
      <c r="DK144" s="109" t="str">
        <f t="shared" si="39"/>
        <v/>
      </c>
      <c r="DL144" s="110" t="str">
        <f t="shared" si="227"/>
        <v/>
      </c>
      <c r="DN144" s="108" t="str">
        <f t="shared" si="41"/>
        <v/>
      </c>
      <c r="DO144" s="109" t="str">
        <f t="shared" si="42"/>
        <v/>
      </c>
      <c r="DP144" s="109" t="str">
        <f t="shared" si="43"/>
        <v/>
      </c>
      <c r="DQ144" s="110" t="str">
        <f t="shared" si="228"/>
        <v/>
      </c>
      <c r="DS144" s="108" t="str">
        <f t="shared" si="117"/>
        <v/>
      </c>
      <c r="DT144" s="109" t="str">
        <f t="shared" si="118"/>
        <v/>
      </c>
      <c r="DU144" s="109" t="str">
        <f t="shared" si="45"/>
        <v/>
      </c>
      <c r="DV144" s="110" t="str">
        <f t="shared" si="229"/>
        <v/>
      </c>
      <c r="DX144" s="108" t="str">
        <f t="shared" si="46"/>
        <v/>
      </c>
      <c r="DY144" s="109" t="str">
        <f t="shared" si="119"/>
        <v/>
      </c>
      <c r="DZ144" s="109" t="str">
        <f t="shared" si="47"/>
        <v/>
      </c>
      <c r="EA144" s="110" t="str">
        <f t="shared" si="230"/>
        <v/>
      </c>
      <c r="EC144" s="108" t="str">
        <f t="shared" si="121"/>
        <v/>
      </c>
      <c r="ED144" s="109" t="str">
        <f t="shared" si="122"/>
        <v/>
      </c>
      <c r="EE144" s="109" t="str">
        <f t="shared" si="48"/>
        <v/>
      </c>
      <c r="EF144" s="110" t="str">
        <f t="shared" si="231"/>
        <v/>
      </c>
      <c r="EH144" s="108" t="str">
        <f t="shared" si="49"/>
        <v/>
      </c>
      <c r="EI144" s="109" t="str">
        <f t="shared" si="123"/>
        <v/>
      </c>
      <c r="EJ144" s="109" t="str">
        <f t="shared" si="50"/>
        <v/>
      </c>
      <c r="EK144" s="110" t="str">
        <f t="shared" si="232"/>
        <v/>
      </c>
      <c r="EM144" s="108" t="str">
        <f t="shared" si="125"/>
        <v/>
      </c>
      <c r="EN144" s="109" t="str">
        <f t="shared" si="126"/>
        <v/>
      </c>
      <c r="EO144" s="109" t="str">
        <f t="shared" si="51"/>
        <v/>
      </c>
      <c r="EP144" s="110" t="str">
        <f t="shared" si="233"/>
        <v/>
      </c>
      <c r="ER144" s="108" t="str">
        <f t="shared" si="52"/>
        <v/>
      </c>
      <c r="ES144" s="109" t="str">
        <f t="shared" si="127"/>
        <v/>
      </c>
      <c r="ET144" s="109" t="str">
        <f t="shared" si="53"/>
        <v/>
      </c>
      <c r="EU144" s="110" t="str">
        <f t="shared" si="234"/>
        <v/>
      </c>
      <c r="EW144" s="108" t="str">
        <f t="shared" si="129"/>
        <v/>
      </c>
      <c r="EX144" s="109" t="str">
        <f t="shared" si="130"/>
        <v/>
      </c>
      <c r="EY144" s="109" t="str">
        <f t="shared" si="54"/>
        <v/>
      </c>
      <c r="EZ144" s="110" t="str">
        <f t="shared" si="235"/>
        <v/>
      </c>
      <c r="FB144" s="108" t="str">
        <f t="shared" si="55"/>
        <v/>
      </c>
      <c r="FC144" s="109" t="str">
        <f t="shared" si="131"/>
        <v/>
      </c>
      <c r="FD144" s="109" t="str">
        <f t="shared" si="56"/>
        <v/>
      </c>
      <c r="FE144" s="110" t="str">
        <f t="shared" si="236"/>
        <v/>
      </c>
      <c r="FG144" s="108" t="str">
        <f t="shared" si="133"/>
        <v/>
      </c>
      <c r="FH144" s="109" t="str">
        <f t="shared" si="134"/>
        <v/>
      </c>
      <c r="FI144" s="109" t="str">
        <f t="shared" si="57"/>
        <v/>
      </c>
      <c r="FJ144" s="110" t="str">
        <f t="shared" si="237"/>
        <v/>
      </c>
      <c r="FL144" s="108" t="str">
        <f t="shared" si="58"/>
        <v/>
      </c>
      <c r="FM144" s="109" t="str">
        <f t="shared" si="135"/>
        <v/>
      </c>
      <c r="FN144" s="109" t="str">
        <f t="shared" si="59"/>
        <v/>
      </c>
      <c r="FO144" s="110" t="str">
        <f t="shared" si="238"/>
        <v/>
      </c>
      <c r="FQ144" s="108" t="str">
        <f t="shared" si="137"/>
        <v/>
      </c>
      <c r="FR144" s="109" t="str">
        <f t="shared" si="138"/>
        <v/>
      </c>
      <c r="FS144" s="109" t="str">
        <f t="shared" si="60"/>
        <v/>
      </c>
      <c r="FT144" s="110" t="str">
        <f t="shared" si="239"/>
        <v/>
      </c>
      <c r="FV144" s="108" t="str">
        <f t="shared" si="61"/>
        <v/>
      </c>
      <c r="FW144" s="109" t="str">
        <f t="shared" si="139"/>
        <v/>
      </c>
      <c r="FX144" s="109" t="str">
        <f t="shared" si="62"/>
        <v/>
      </c>
      <c r="FY144" s="110" t="str">
        <f t="shared" si="240"/>
        <v/>
      </c>
      <c r="GA144" s="108" t="str">
        <f t="shared" si="141"/>
        <v/>
      </c>
      <c r="GB144" s="109" t="str">
        <f t="shared" si="142"/>
        <v/>
      </c>
      <c r="GC144" s="109" t="str">
        <f t="shared" si="63"/>
        <v/>
      </c>
      <c r="GD144" s="110" t="str">
        <f t="shared" si="241"/>
        <v/>
      </c>
      <c r="GF144" s="108" t="str">
        <f t="shared" si="64"/>
        <v/>
      </c>
      <c r="GG144" s="109" t="str">
        <f t="shared" si="143"/>
        <v/>
      </c>
      <c r="GH144" s="109" t="str">
        <f t="shared" si="65"/>
        <v/>
      </c>
      <c r="GI144" s="110" t="str">
        <f t="shared" si="242"/>
        <v/>
      </c>
      <c r="GK144" s="108" t="str">
        <f t="shared" si="145"/>
        <v/>
      </c>
      <c r="GL144" s="109" t="str">
        <f t="shared" si="146"/>
        <v/>
      </c>
      <c r="GM144" s="109" t="str">
        <f t="shared" si="147"/>
        <v/>
      </c>
      <c r="GN144" s="110" t="str">
        <f t="shared" si="243"/>
        <v/>
      </c>
      <c r="GR144" s="108" t="str">
        <f t="shared" si="66"/>
        <v/>
      </c>
      <c r="GS144" s="109" t="str">
        <f t="shared" si="67"/>
        <v/>
      </c>
      <c r="GT144" s="109" t="str">
        <f t="shared" si="68"/>
        <v/>
      </c>
      <c r="GU144" s="110" t="str">
        <f t="shared" si="69"/>
        <v/>
      </c>
      <c r="GV144" s="51"/>
      <c r="GW144" s="108" t="str">
        <f t="shared" si="70"/>
        <v/>
      </c>
      <c r="GX144" s="109" t="str">
        <f t="shared" si="148"/>
        <v/>
      </c>
      <c r="GY144" s="109" t="str">
        <f t="shared" si="71"/>
        <v/>
      </c>
      <c r="GZ144" s="110" t="str">
        <f t="shared" si="72"/>
        <v/>
      </c>
      <c r="HA144" s="51"/>
      <c r="HB144" s="108" t="str">
        <f t="shared" si="149"/>
        <v/>
      </c>
      <c r="HC144" s="109" t="str">
        <f t="shared" si="150"/>
        <v/>
      </c>
      <c r="HD144" s="109" t="str">
        <f t="shared" si="73"/>
        <v/>
      </c>
      <c r="HE144" s="110" t="str">
        <f t="shared" si="151"/>
        <v/>
      </c>
      <c r="HF144" s="51"/>
      <c r="HG144" s="108" t="str">
        <f t="shared" si="74"/>
        <v/>
      </c>
      <c r="HH144" s="109" t="str">
        <f t="shared" si="152"/>
        <v/>
      </c>
      <c r="HI144" s="109" t="str">
        <f t="shared" si="75"/>
        <v/>
      </c>
      <c r="HJ144" s="110" t="str">
        <f t="shared" si="193"/>
        <v/>
      </c>
      <c r="HK144" s="51"/>
      <c r="HL144" s="108" t="str">
        <f t="shared" si="153"/>
        <v/>
      </c>
      <c r="HM144" s="109" t="str">
        <f t="shared" si="154"/>
        <v/>
      </c>
      <c r="HN144" s="109" t="str">
        <f t="shared" si="76"/>
        <v/>
      </c>
      <c r="HO144" s="110" t="str">
        <f t="shared" si="155"/>
        <v/>
      </c>
      <c r="HP144" s="51"/>
      <c r="HQ144" s="108" t="str">
        <f t="shared" si="77"/>
        <v/>
      </c>
      <c r="HR144" s="109" t="str">
        <f t="shared" si="156"/>
        <v/>
      </c>
      <c r="HS144" s="109" t="str">
        <f t="shared" si="78"/>
        <v/>
      </c>
      <c r="HT144" s="110" t="str">
        <f t="shared" si="194"/>
        <v/>
      </c>
      <c r="HU144" s="51"/>
      <c r="HV144" s="108" t="str">
        <f t="shared" si="157"/>
        <v/>
      </c>
      <c r="HW144" s="109" t="str">
        <f t="shared" si="158"/>
        <v/>
      </c>
      <c r="HX144" s="109" t="str">
        <f t="shared" si="79"/>
        <v/>
      </c>
      <c r="HY144" s="110" t="str">
        <f t="shared" si="159"/>
        <v/>
      </c>
      <c r="HZ144" s="51"/>
      <c r="IA144" s="108" t="str">
        <f t="shared" si="80"/>
        <v/>
      </c>
      <c r="IB144" s="109" t="str">
        <f t="shared" si="160"/>
        <v/>
      </c>
      <c r="IC144" s="109" t="str">
        <f t="shared" si="81"/>
        <v/>
      </c>
      <c r="ID144" s="110" t="str">
        <f t="shared" si="195"/>
        <v/>
      </c>
      <c r="IE144" s="51"/>
      <c r="IF144" s="108" t="str">
        <f t="shared" si="161"/>
        <v/>
      </c>
      <c r="IG144" s="109" t="str">
        <f t="shared" si="162"/>
        <v/>
      </c>
      <c r="IH144" s="109" t="str">
        <f t="shared" si="82"/>
        <v/>
      </c>
      <c r="II144" s="110" t="str">
        <f t="shared" si="163"/>
        <v/>
      </c>
      <c r="IJ144" s="51"/>
      <c r="IK144" s="108" t="str">
        <f t="shared" si="83"/>
        <v/>
      </c>
      <c r="IL144" s="109" t="str">
        <f t="shared" si="164"/>
        <v/>
      </c>
      <c r="IM144" s="109" t="str">
        <f t="shared" si="84"/>
        <v/>
      </c>
      <c r="IN144" s="110" t="str">
        <f t="shared" si="196"/>
        <v/>
      </c>
      <c r="IO144" s="51"/>
      <c r="IP144" s="108" t="str">
        <f t="shared" si="165"/>
        <v/>
      </c>
      <c r="IQ144" s="109" t="str">
        <f t="shared" si="166"/>
        <v/>
      </c>
      <c r="IR144" s="109" t="str">
        <f t="shared" si="85"/>
        <v/>
      </c>
      <c r="IS144" s="110" t="str">
        <f t="shared" si="167"/>
        <v/>
      </c>
      <c r="IT144" s="51"/>
      <c r="IU144" s="108" t="str">
        <f t="shared" si="86"/>
        <v/>
      </c>
      <c r="IV144" s="109" t="str">
        <f t="shared" si="168"/>
        <v/>
      </c>
      <c r="IW144" s="109" t="str">
        <f t="shared" si="87"/>
        <v/>
      </c>
      <c r="IX144" s="110" t="str">
        <f t="shared" si="197"/>
        <v/>
      </c>
      <c r="IY144" s="51"/>
      <c r="IZ144" s="108" t="str">
        <f t="shared" si="169"/>
        <v/>
      </c>
      <c r="JA144" s="109" t="str">
        <f t="shared" si="170"/>
        <v/>
      </c>
      <c r="JB144" s="109" t="str">
        <f t="shared" si="88"/>
        <v/>
      </c>
      <c r="JC144" s="110" t="str">
        <f t="shared" si="171"/>
        <v/>
      </c>
      <c r="JD144" s="51"/>
      <c r="JE144" s="108" t="str">
        <f t="shared" si="89"/>
        <v/>
      </c>
      <c r="JF144" s="109" t="str">
        <f t="shared" si="172"/>
        <v/>
      </c>
      <c r="JG144" s="109" t="str">
        <f t="shared" si="90"/>
        <v/>
      </c>
      <c r="JH144" s="110" t="str">
        <f t="shared" si="198"/>
        <v/>
      </c>
      <c r="JI144" s="51"/>
      <c r="JJ144" s="108" t="str">
        <f t="shared" si="173"/>
        <v/>
      </c>
      <c r="JK144" s="109" t="str">
        <f t="shared" si="174"/>
        <v/>
      </c>
      <c r="JL144" s="109" t="str">
        <f t="shared" si="91"/>
        <v/>
      </c>
      <c r="JM144" s="110" t="str">
        <f t="shared" si="175"/>
        <v/>
      </c>
      <c r="JN144" s="51"/>
      <c r="JO144" s="108" t="str">
        <f t="shared" si="92"/>
        <v/>
      </c>
      <c r="JP144" s="109" t="str">
        <f t="shared" si="176"/>
        <v/>
      </c>
      <c r="JQ144" s="109" t="str">
        <f t="shared" si="93"/>
        <v/>
      </c>
      <c r="JR144" s="110" t="str">
        <f t="shared" si="199"/>
        <v/>
      </c>
      <c r="JS144" s="51"/>
      <c r="JT144" s="108" t="str">
        <f t="shared" si="177"/>
        <v/>
      </c>
      <c r="JU144" s="109" t="str">
        <f t="shared" si="178"/>
        <v/>
      </c>
      <c r="JV144" s="109" t="str">
        <f t="shared" si="94"/>
        <v/>
      </c>
      <c r="JW144" s="110" t="str">
        <f t="shared" si="179"/>
        <v/>
      </c>
      <c r="JX144" s="51"/>
      <c r="JY144" s="108" t="str">
        <f t="shared" si="95"/>
        <v/>
      </c>
      <c r="JZ144" s="109" t="str">
        <f t="shared" si="180"/>
        <v/>
      </c>
      <c r="KA144" s="109" t="str">
        <f t="shared" si="96"/>
        <v/>
      </c>
      <c r="KB144" s="110" t="str">
        <f t="shared" si="200"/>
        <v/>
      </c>
      <c r="KC144" s="51"/>
      <c r="KD144" s="108" t="str">
        <f t="shared" si="181"/>
        <v/>
      </c>
      <c r="KE144" s="109" t="str">
        <f t="shared" si="182"/>
        <v/>
      </c>
      <c r="KF144" s="109" t="str">
        <f t="shared" si="97"/>
        <v/>
      </c>
      <c r="KG144" s="110" t="str">
        <f t="shared" si="98"/>
        <v/>
      </c>
    </row>
    <row r="145" spans="1:293" ht="12" customHeight="1">
      <c r="A145" s="105">
        <f t="array" ref="A145">MAX(IF($J$80:J144&gt;0,$C$80:C144,0))</f>
        <v>43535</v>
      </c>
      <c r="B145" s="81" t="str">
        <f t="shared" ref="B145:B200" si="248">IFERROR(IF(OR(AND($H$20=B144,$F$10&lt;&gt;"დეპოზიტით უზრუნველყოფილი"),AND($F$10="დეპოზიტით უზრუნველყოფილი",B144+1&lt;&gt;1)),"",B144+1),"")</f>
        <v/>
      </c>
      <c r="C145" s="82">
        <f t="shared" si="5"/>
        <v>0</v>
      </c>
      <c r="D145" s="83" t="str">
        <f t="shared" ref="D145:D200" si="249">IF(B145="","",IF(OR($F$10="ასიმეტრიული",$F$10="ასიმეტრიული პროცენტით",$F$10="ბიზნეს ოვერდრაფტი",$F$10="დეპოზიტით უზრუნველყოფილი"),F145+G145+E145,GK145+E145))</f>
        <v/>
      </c>
      <c r="E145" s="83" t="str">
        <f t="shared" si="99"/>
        <v/>
      </c>
      <c r="F145" s="83" t="str">
        <f t="shared" ref="F145:F200" si="250">IF(B145="","",IF(OR($F$10="ანუიტეტური",$F$10="სამომხმარებლო",$F$10="საშეღავათო",$F$10="ნულოვანი საშეღავათო"),GL145,IF(B145=$H$20,H144,IF($F$10="დეპოზიტით უზრუნველყოფილი",$H$80,IF($F$10="ასიმეტრიული",J145-G145,IF($F$10="ასიმეტრიული პროცენტით",J145,0))))))</f>
        <v/>
      </c>
      <c r="G145" s="83" t="str">
        <f t="shared" ref="G145:G200" si="251">IF(B145="","",IF(AND($F$10="ასიმეტრიული",J145="",B145&lt;$H$20),0,IF(AND($F$10="ასიმეტრიული",OR(J145&gt;0,B145=$H$20)),ROUND($H$22/$I$22*(C145-A145)*H144,2),IF(OR($F$10="ასიმეტრიული პროცენტით",$F$10="ბიზნეს ოვერდრაფტი",$F$10="დეპოზიტით უზრუნველყოფილი"),ROUND($H$22/$I$22*(C145-C144)*H144,2),GM145))))</f>
        <v/>
      </c>
      <c r="H145" s="83" t="str">
        <f t="shared" ref="H145:H200" si="252">IF(B145="","",IF(AND(OR($F$10="ასიმეტრიული",$F$10="ასიმეტრიული პროცენტით"),J145="",B145&lt;$H$20),H144,IF($F$10="დეპოზიტით უზრუნველყოფილი",$H$80-$F$81,IF($F$10="ბიზნეს ოვერდრაფტი",H144-F145,IF(AND(OR($F$10="ასიმეტრიული",$F$10="ასიმეტრიული პროცენტით"),OR(J145&gt;0,B145=$H$20)),H144-F145,GN145)))))</f>
        <v/>
      </c>
      <c r="I145" s="105">
        <f t="array" ref="I145">MAX(IF($R$80:R144&gt;0,$L$80:L144,0))</f>
        <v>0</v>
      </c>
      <c r="J145" s="106"/>
      <c r="K145" s="2" t="str">
        <f t="shared" ref="K145:K200" si="253">IFERROR(IF(OR(AND($R$32=K144,$O$28&lt;&gt;"დეპოზიტით უზრუნველყოფილი"),AND($O$28="დეპოზიტით უზრუნველყოფილი",K144+1&lt;&gt;1)),"",K144+1),"")</f>
        <v/>
      </c>
      <c r="L145" s="82">
        <f t="shared" si="183"/>
        <v>0</v>
      </c>
      <c r="M145" s="83" t="str">
        <f t="shared" ref="M145:M200" si="254">IF(K145="","",IF(OR($O$28="ასიმეტრიული",$O$28="ასიმეტრიული პროცენტით",$O$28="ბიზნეს ოვერდრაფტი",$O$28="დეპოზიტით უზრუნველყოფილი"),O145+P145,KD145+N145))</f>
        <v/>
      </c>
      <c r="N145" s="83" t="str">
        <f t="shared" ref="N145:N200" si="255">IF(K145="","",IF(Q144&gt;0,IF(OR($O$28="ანუიტეტური",$O$28="საშეღავათო",$O$28="ასიმეტრიული პროცენტით",$O$28="სამომხმარებლო"),ROUND($Q144*$R$46/$I$22*(L145-L144),2),IF($O$28="ნულოვანი საშეღავათო",IF($K145&lt;=$Q$30,0,IF($K145=$Q$30+1,ROUND($Q144*$R$46/$I$22*($L145-$L$80),2),ROUND($Q144*$R$46/$I$22*($L145-$L144),2))),IF($O$28="ასიმეტრიული",IF(AND(R145="",K145&lt;$R$32),0,IF(OR(R145&gt;0,K145=$R$32),ROUND($Q144*$R$46/$I$22*(L145-I145),2))),0)))))</f>
        <v/>
      </c>
      <c r="O145" s="83" t="str">
        <f t="shared" ref="O145:O200" si="256">IF(OR($F$46="",$G$46="",$H$46=""),"",IF(K145="","",IF(OR($O$28="ანუიტეტური",$O$28="სამომხმარებლო",$O$28="საშეღავათო",$O$28="ნულოვანი საშეღავათო"),KE145,IF(K145=$R$32,Q144,IF($O$28="დეპოზიტით უზრუნველყოფილი",$Q$80,IF($O$28="ასიმეტრიული",R145-P145,IF($O$28="ასიმეტრიული პროცენტით",R145,0)))))))</f>
        <v/>
      </c>
      <c r="P145" s="83" t="str">
        <f t="shared" ref="P145:P200" si="257">IF(K145="","",IF(AND($O$28="ასიმეტრიული",R145="",K145&lt;$R$32),0,IF(AND($O$28="ასიმეტრიული",OR(R145&gt;0,K145=$R$32)),$P$34/$I$22*(L145-I145)*Q144,IF(OR($O$28="ასიმეტრიული პროცენტით",$O$28="ბიზნეს ოვერდრაფტი",$O$28="დეპოზიტით უზრუნველყოფილი"),$P$34/$I$22*(L145-L144)*Q144,KF145))))</f>
        <v/>
      </c>
      <c r="Q145" s="83" t="str">
        <f t="shared" ref="Q145:Q200" si="258">IF(K145="","",IF(AND(OR($O$28="ასიმეტრიული",$O$28="ასიმეტრიული პროცენტით"),R145="",K145&lt;$R$32),Q144,IF($O$28="დეპოზიტით უზრუნველყოფილი",$Q$80-$O$81,IF($O$28="ბიზნეს ოვერდრაფტი",Q144-O145,IF(AND(OR($O$28="ასიმეტრიული",$O$28="ასიმეტრიული პროცენტით"),OR(R145&gt;0,K145=$R$32)),Q144-O145,KG145)))))</f>
        <v/>
      </c>
      <c r="R145" s="106"/>
      <c r="S145" s="1"/>
      <c r="U145" s="85" t="e">
        <f t="shared" si="244"/>
        <v>#NUM!</v>
      </c>
      <c r="V145" s="86" t="e">
        <f t="shared" si="100"/>
        <v>#NUM!</v>
      </c>
      <c r="W145" s="87" t="e">
        <f t="shared" ref="W145:W200" si="259">IF($U145="",0,$D145)</f>
        <v>#NUM!</v>
      </c>
      <c r="X145" s="87" t="e">
        <f t="shared" ref="X145:X200" si="260">IF($U145="",0,$F145)</f>
        <v>#NUM!</v>
      </c>
      <c r="Y145" s="87" t="e">
        <f t="shared" ref="Y145:Y200" si="261">IF($U145="",0,$G145)</f>
        <v>#NUM!</v>
      </c>
      <c r="Z145" s="88" t="e">
        <f t="shared" si="245"/>
        <v>#NUM!</v>
      </c>
      <c r="AA145" t="s">
        <v>282</v>
      </c>
      <c r="AB145" s="89">
        <f t="shared" si="101"/>
        <v>0</v>
      </c>
      <c r="AC145" s="87">
        <f t="shared" ref="AC145:AC200" si="262">IF(D145&lt;&gt;"",ROUND((D145*($BJ$81+(C145-$C$80)*$BJ$82)),2),0)</f>
        <v>0</v>
      </c>
      <c r="AD145" s="87" t="str">
        <f t="shared" ref="AD145:AD200" si="263">IF(OR($F$10="ბიზნეს ოვერდრაფტი",$F$10="საკრედიტო ბარათი"),IF(D145&lt;&gt;"",D145,0),"")</f>
        <v/>
      </c>
      <c r="AE145" s="87" t="str">
        <f t="shared" ref="AE145:AE200" si="264">IF(OR($F$10="ბიზნეს ოვერდრაფტი",$F$10="საკრედიტო ბარათი"),IF(D145&lt;&gt;"",ROUND((D145*($BJ$81+(C145-$C$80)*$BJ$82)),2),0),"")</f>
        <v/>
      </c>
      <c r="AF145" s="86">
        <f t="shared" si="102"/>
        <v>0</v>
      </c>
      <c r="AG145" s="87">
        <f t="shared" si="246"/>
        <v>0</v>
      </c>
      <c r="AH145" s="87">
        <f t="shared" si="103"/>
        <v>0</v>
      </c>
      <c r="AI145" s="90"/>
      <c r="AJ145" s="87" t="e">
        <f t="shared" ref="AJ145:AJ200" si="265">IF(OR($F$46="",DATE($F$34,$G$34,$H$34)&lt;=DATE($F$46,$G$46,$H$46)),0,IF(M145&lt;&gt;"",M145,0))</f>
        <v>#NUM!</v>
      </c>
      <c r="AK145" s="87" t="e">
        <f t="shared" si="104"/>
        <v>#NUM!</v>
      </c>
      <c r="AL145" s="87" t="e">
        <f t="shared" si="105"/>
        <v>#NUM!</v>
      </c>
      <c r="AM145" s="87" t="e">
        <f t="shared" si="106"/>
        <v>#NUM!</v>
      </c>
      <c r="AN145" s="86">
        <f t="shared" ref="AN145:AN200" si="266">IF($O$28="დეპოზიტით უზრუნველყოფილი",0,IFERROR(IF(AND(EDATE($AN144,1)&lt;=MAX($L$80:$L$200),$AN144&lt;&gt;0),EDATE($AN144,1),0),0))</f>
        <v>0</v>
      </c>
      <c r="AO145" s="87">
        <f t="shared" ref="AO145:AO200" si="267">IF($O$28="დეპოზიტით უზრუნველყოფილი",0,IF(AN145&gt;0,IF($H$16="GEL",$R$38,ROUND($R$38/$Q$32,2)),0))</f>
        <v>0</v>
      </c>
      <c r="AP145" s="88">
        <f t="shared" ref="AP145:AP200" si="268">IF(N145&lt;&gt;"",N145,0)</f>
        <v>0</v>
      </c>
      <c r="AR145" s="91">
        <f t="shared" ref="AR145:AR200" si="269">IF(AND(OR($F$46="",$G$46="",$H$46=""),D145&lt;&gt;""),IF($H$16="GEL",D145,ROUND(D145*$H$18,2)),IF(AND(OR($F$46="",$G$46="",$H$46=""),D145=""),0,IF(AND(DATE($F$46,$G$46,$H$46)&gt;=DATE($F$34,$G$34,$H$34),D145&lt;&gt;""),IF($H$16="GEL",D145,ROUND(D145*$H$18,2)),IF(AND(DATE($F$46,$G$46,$H$46)&gt;=DATE($F$34,$G$34,$H$34),D145=""),0,IF(AND(DATE($F$46,$G$46,$H$46)&lt;DATE($F$34,$G$34,$H$34),U145&lt;&gt;""),IF($H$16="GEL",W145,ROUND(W145*$H$18,2)),IF(AND(DATE($F$46,$G$46,$H$46)&lt;DATE($F$34,$G$34,$H$34),U145=""),0))))))</f>
        <v>0</v>
      </c>
      <c r="AS145" s="92">
        <f t="shared" ref="AS145:AS200" si="270">ROUND(IF(AND(OR($F$46="",$G$46="",$H$46=""),D145&lt;&gt;""),(IF($H$16="GEL",D145,D145*$H$18)*($BJ$81+(C145-$C$80)*$BJ$82)),IF(AND(OR($F$46="",$G$46="",$H$46=""),D145=""),0,IF(AND(DATE($F$46,$G$46,$H$46)&gt;=DATE($F$34,$G$34,$H$34),D145&lt;&gt;""),(IF($H$16="GEL",D145,D145*$H$18)*($BJ$81+(C145-$C$80)*$BJ$82)),IF(AND(DATE($F$46,$G$46,$H$46)&gt;=DATE($F$34,$G$34,$H$34),D145=""),0,IF(AND(DATE($F$46,$G$46,$H$46)&lt;DATE($F$34,$G$34,$H$34),U145&lt;&gt;""),(IF($H$16="GEL",W145,W145*$H$18)*($BJ$81+(V145-$V$80)*$BJ$82)),IF(AND(DATE($F$46,$G$46,$H$46)&lt;DATE($F$34,$G$34,$H$34),U145=""),0)))))),2)</f>
        <v>0</v>
      </c>
      <c r="AT145" s="87" t="str">
        <f t="shared" ref="AT145:AT200" si="271">IF(OR($F$10="ბიზნეს ოვერდრაფტი",$F$10="საკრედიტო ბარათი"),IF(AND(OR($F$46="",$G$46="",$H$46=""),D145&lt;&gt;""),IF($H$16="GEL",D145,ROUND(D145*$H$18,2)),IF(AND(OR($F$46="",$G$46="",$H$46=""),D145=""),0,IF(AND(DATE($F$46,$G$46,$H$46)&gt;=DATE($F$34,$G$34,$H$34),D145&lt;&gt;""),IF($H$16="GEL",D145,ROUND(D145*$H$18,2)),IF(AND(DATE($F$46,$G$46,$H$46)&gt;=DATE($F$34,$G$34,$H$34),D145=""),0,IF(AND(DATE($F$46,$G$46,$H$46)&lt;DATE($F$34,$G$34,$H$34),U145&lt;&gt;""),IF($H$16="GEL",W145,ROUND(W145*$H$18,2)),IF(AND(DATE($F$46,$G$46,$H$46)&lt;DATE($F$34,$G$34,$H$34),U145=""),0)))))),"")</f>
        <v/>
      </c>
      <c r="AU145" s="87" t="str">
        <f t="shared" ref="AU145:AU200" si="272">IF(OR($F$10="ბიზნეს ოვერდრაფტი",$F$10="საკრედიტო ბარათი"),ROUND(IF(AND(OR($F$46="",$G$46="",$H$46=""),D145&lt;&gt;""),(IF($H$16="GEL",D145,D145*$H$18)*($BJ$81+(C145-$C$80)*$BJ$82)),IF(AND(OR($F$46="",$G$46="",$H$46=""),D145=""),0,IF(AND(DATE($F$46,$G$46,$H$46)&gt;=DATE($F$34,$G$34,$H$34),D145&lt;&gt;""),(IF($H$16="GEL",D145,D145*$H$18)*($BJ$81+(C145-$C$80)*$BJ$82)),IF(AND(DATE($F$46,$G$46,$H$46)&gt;=DATE($F$34,$G$34,$H$34),D145=""),0,IF(AND(DATE($F$46,$G$46,$H$46)&lt;DATE($F$34,$G$34,$H$34),U145&lt;&gt;""),(IF($H$16="GEL",W145,W145*$H$18)*($BJ$81+(V145-$V$80)*$BJ$82)),IF(AND(DATE($F$46,$G$46,$H$46)&lt;DATE($F$34,$G$34,$H$34),U145=""),0)))))),2),"")</f>
        <v/>
      </c>
      <c r="AV145" s="86">
        <f t="shared" si="107"/>
        <v>0</v>
      </c>
      <c r="AW145" s="87">
        <f t="shared" si="108"/>
        <v>0</v>
      </c>
      <c r="AX145" s="87">
        <f t="shared" si="109"/>
        <v>0</v>
      </c>
      <c r="AY145" s="93"/>
      <c r="AZ145" s="87">
        <f t="shared" si="201"/>
        <v>0</v>
      </c>
      <c r="BA145" s="87">
        <f t="shared" si="110"/>
        <v>0</v>
      </c>
      <c r="BB145" s="87">
        <f t="shared" si="111"/>
        <v>0</v>
      </c>
      <c r="BC145" s="87">
        <f t="shared" si="184"/>
        <v>0</v>
      </c>
      <c r="BD145" s="86" t="e">
        <f t="shared" ref="BD145:BD200" si="273">IF(OR($O$28="დეპოზიტით უზრუნველყოფილი",$BD$80=0),0,IFERROR(IF(AND(EDATE($BD144,1)&lt;=MAX($L$80:$L$200),$BD144&lt;&gt;0),EDATE($BD144,1),0),0))</f>
        <v>#NUM!</v>
      </c>
      <c r="BE145" s="87" t="e">
        <f t="shared" si="247"/>
        <v>#NUM!</v>
      </c>
      <c r="BF145" s="88">
        <f t="shared" si="112"/>
        <v>0</v>
      </c>
      <c r="BH145" s="87" t="e">
        <f t="shared" ref="BH145:BH201" si="274">IF($C145&lt;=DATE($F$56,$G$56,$H$56),AB145/(1+$H$3)^(($C145-$C$80)/(DATE($F$56,$G$56,$H$56)-$C$80)),0)</f>
        <v>#NUM!</v>
      </c>
      <c r="BK145" s="95">
        <v>41008</v>
      </c>
      <c r="BL145" s="96">
        <v>66</v>
      </c>
      <c r="BT145" s="51"/>
      <c r="BU145" s="51"/>
      <c r="BV145" s="30"/>
      <c r="BW145" s="30"/>
      <c r="CY145" s="108" t="str">
        <f t="shared" ref="CY145:CY200" si="275">IF($B145="","",IF(OR($F$10="ანუიტეტური",$F$10="სამომხმარებლო"),ROUND(-PMT($H$22/$I$20,$H$20,$CY$80),2),IF(AND($F$10="საშეღავათო",$B145&lt;=$G$12),CZ145+DA145,IF(AND($F$10="საშეღავათო",$B145&gt;$G$12),ROUND(-PMT($H$22/$I$20,$H$20-$G$12,$CY$80),2),IF(AND($F$10="ნულოვანი საშეღავათო",$B145&lt;=$G$12),CZ145+DA145,IF(AND($F$10="ნულოვანი საშეღავათო",$B145&gt;$G$12,DA145&gt;ROUND(-PMT($H$22/$I$20,$H$20-$G$12,$CY$80),2)),DA145,ROUND(-PMT($H$22/$I$20,$H$20-$G$12,$CY$80),2)))))))</f>
        <v/>
      </c>
      <c r="CZ145" s="109" t="str">
        <f t="shared" ref="CZ145:CZ200" si="276">IF($B145="","",IF(OR($F$10="ანუიტეტური",$F$10="სამომხმარებლო"),CY145-DA145,IF(AND($F$10="საშეღავათო",$B145&gt;$G$12),CY145-DA145,IF(AND($F$10="საშეღავათო",$B145&lt;=$G$12),0,IF(AND($F$10="ნულოვანი საშეღავათო",$B145&gt;$G$12),CY145-DA145,IF(AND($F$10="ნულოვანი საშეღავათო",$B145&lt;=$G$12),0))))))</f>
        <v/>
      </c>
      <c r="DA145" s="109" t="str">
        <f t="shared" ref="DA145:DA200" si="277">IF($B145="","",IF(OR($F$10="ანუიტეტური",$F$10="სამომხმარებლო"),ROUND($H$22/$I$22*($C145-$C144)*DB144,2),IF($F$10="საშეღავათო",ROUND($H$22/$I$22*($C145-$C144)*DB144,2),IF(AND($F$10="ნულოვანი საშეღავათო",$B145&lt;=$G$12),0,IF(AND($F$10="ნულოვანი საშეღავათო",$B145=$G$12+1),ROUND($H$22/$I$22*($C145-$C$80)*DB144,2),IF(AND($F$10="ნულოვანი საშეღავათო",$B145&gt;$G$12),ROUND($H$22/$I$22*($C145-$C144)*DB144,2)))))))</f>
        <v/>
      </c>
      <c r="DB145" s="110" t="str">
        <f t="shared" si="225"/>
        <v/>
      </c>
      <c r="DD145" s="108" t="str">
        <f t="shared" ref="DD145:DD200" si="278">IF($B145="","",ROUND(-PMT($H$22/$I$20,$H$20,$DD$80),2))</f>
        <v/>
      </c>
      <c r="DE145" s="109" t="str">
        <f t="shared" si="114"/>
        <v/>
      </c>
      <c r="DF145" s="109" t="str">
        <f t="shared" ref="DF145:DF200" si="279">IF($B145="","",ROUND($H$22/$I$22*($C145-$C144)*DG144,2))</f>
        <v/>
      </c>
      <c r="DG145" s="110" t="str">
        <f t="shared" si="226"/>
        <v/>
      </c>
      <c r="DI145" s="108" t="str">
        <f t="shared" si="115"/>
        <v/>
      </c>
      <c r="DJ145" s="109" t="str">
        <f t="shared" si="116"/>
        <v/>
      </c>
      <c r="DK145" s="109" t="str">
        <f t="shared" ref="DK145:DK200" si="280">IF($B145="","",IF(OR($F$10="ანუიტეტური",$F$10="სამომხმარებლო"),ROUND($H$22/$I$22*($C145-$C144)*DL144,2),IF($F$10="საშეღავათო",ROUND($H$22/$I$22*($C145-$C144)*DL144,2),IF(AND($F$10="ნულოვანი საშეღავათო",$B145&lt;=$G$12),0,IF(AND($F$10="ნულოვანი საშეღავათო",$B145=$G$12+1),ROUND($H$22/$I$22*($C145-$C$80)*DL144,2),IF(AND($F$10="ნულოვანი საშეღავათო",$B145&gt;$G$12),ROUND($H$22/$I$22*($C145-$C144)*DL144,2)))))))</f>
        <v/>
      </c>
      <c r="DL145" s="110" t="str">
        <f t="shared" si="227"/>
        <v/>
      </c>
      <c r="DN145" s="108" t="str">
        <f t="shared" ref="DN145:DN200" si="281">IF($B145="","",ROUND(-PMT($H$22/$I$20,$H$20,$DN$80),2))</f>
        <v/>
      </c>
      <c r="DO145" s="109" t="str">
        <f t="shared" ref="DO145:DO200" si="282">IF($B145="","",DN145-DP145)</f>
        <v/>
      </c>
      <c r="DP145" s="109" t="str">
        <f t="shared" ref="DP145:DP200" si="283">IF($B145="","",ROUND($H$22/$I$22*($C145-$C144)*DQ144,2))</f>
        <v/>
      </c>
      <c r="DQ145" s="110" t="str">
        <f t="shared" si="228"/>
        <v/>
      </c>
      <c r="DS145" s="108" t="str">
        <f t="shared" si="117"/>
        <v/>
      </c>
      <c r="DT145" s="109" t="str">
        <f t="shared" si="118"/>
        <v/>
      </c>
      <c r="DU145" s="109" t="str">
        <f t="shared" ref="DU145:DU200" si="284">IF($B145="","",IF(OR($F$10="ანუიტეტური",$F$10="სამომხმარებლო"),ROUND($H$22/$I$22*($C145-$C144)*DV144,2),IF($F$10="საშეღავათო",ROUND($H$22/$I$22*($C145-$C144)*DV144,2),IF(AND($F$10="ნულოვანი საშეღავათო",$B145&lt;=$G$12),0,IF(AND($F$10="ნულოვანი საშეღავათო",$B145=$G$12+1),ROUND($H$22/$I$22*($C145-$C$80)*DV144,2),IF(AND($F$10="ნულოვანი საშეღავათო",$B145&gt;$G$12),ROUND($H$22/$I$22*($C145-$C144)*DV144,2)))))))</f>
        <v/>
      </c>
      <c r="DV145" s="110" t="str">
        <f t="shared" si="229"/>
        <v/>
      </c>
      <c r="DX145" s="108" t="str">
        <f t="shared" ref="DX145:DX200" si="285">IF($B145="","",ROUND(-PMT($H$22/$I$20,$H$20,$DX$80),2))</f>
        <v/>
      </c>
      <c r="DY145" s="109" t="str">
        <f t="shared" si="119"/>
        <v/>
      </c>
      <c r="DZ145" s="109" t="str">
        <f t="shared" ref="DZ145:DZ200" si="286">IF($B145="","",ROUND($H$22/$I$22*($C145-$C144)*EA144,2))</f>
        <v/>
      </c>
      <c r="EA145" s="110" t="str">
        <f t="shared" si="230"/>
        <v/>
      </c>
      <c r="EC145" s="108" t="str">
        <f t="shared" si="121"/>
        <v/>
      </c>
      <c r="ED145" s="109" t="str">
        <f t="shared" si="122"/>
        <v/>
      </c>
      <c r="EE145" s="109" t="str">
        <f t="shared" ref="EE145:EE200" si="287">IF($B145="","",IF(OR($F$10="ანუიტეტური",$F$10="სამომხმარებლო"),ROUND($H$22/$I$22*($C145-$C144)*EF144,2),IF($F$10="საშეღავათო",ROUND($H$22/$I$22*($C145-$C144)*EF144,2),IF(AND($F$10="ნულოვანი საშეღავათო",$B145&lt;=$G$12),0,IF(AND($F$10="ნულოვანი საშეღავათო",$B145=$G$12+1),ROUND($H$22/$I$22*($C145-$C$80)*EF144,2),IF(AND($F$10="ნულოვანი საშეღავათო",$B145&gt;$G$12),ROUND($H$22/$I$22*($C145-$C144)*EF144,2)))))))</f>
        <v/>
      </c>
      <c r="EF145" s="110" t="str">
        <f t="shared" si="231"/>
        <v/>
      </c>
      <c r="EH145" s="108" t="str">
        <f t="shared" ref="EH145:EH200" si="288">IF($B145="","",ROUND(-PMT($H$22/$I$20,$H$20,$EH$80),2))</f>
        <v/>
      </c>
      <c r="EI145" s="109" t="str">
        <f t="shared" si="123"/>
        <v/>
      </c>
      <c r="EJ145" s="109" t="str">
        <f t="shared" ref="EJ145:EJ200" si="289">IF($B145="","",ROUND($H$22/$I$22*($C145-$C144)*EK144,2))</f>
        <v/>
      </c>
      <c r="EK145" s="110" t="str">
        <f t="shared" si="232"/>
        <v/>
      </c>
      <c r="EM145" s="108" t="str">
        <f t="shared" si="125"/>
        <v/>
      </c>
      <c r="EN145" s="109" t="str">
        <f t="shared" si="126"/>
        <v/>
      </c>
      <c r="EO145" s="109" t="str">
        <f t="shared" ref="EO145:EO200" si="290">IF($B145="","",IF(OR($F$10="ანუიტეტური",$F$10="სამომხმარებლო"),ROUND($H$22/$I$22*($C145-$C144)*EP144,2),IF($F$10="საშეღავათო",ROUND($H$22/$I$22*($C145-$C144)*EP144,2),IF(AND($F$10="ნულოვანი საშეღავათო",$B145&lt;=$G$12),0,IF(AND($F$10="ნულოვანი საშეღავათო",$B145=$G$12+1),ROUND($H$22/$I$22*($C145-$C$80)*EP144,2),IF(AND($F$10="ნულოვანი საშეღავათო",$B145&gt;$G$12),ROUND($H$22/$I$22*($C145-$C144)*EP144,2)))))))</f>
        <v/>
      </c>
      <c r="EP145" s="110" t="str">
        <f t="shared" si="233"/>
        <v/>
      </c>
      <c r="ER145" s="108" t="str">
        <f t="shared" ref="ER145:ER200" si="291">IF($B145="","",ROUND(-PMT($H$22/$I$20,$H$20,$ER$80),2))</f>
        <v/>
      </c>
      <c r="ES145" s="109" t="str">
        <f t="shared" si="127"/>
        <v/>
      </c>
      <c r="ET145" s="109" t="str">
        <f t="shared" ref="ET145:ET200" si="292">IF($B145="","",ROUND($H$22/$I$22*($C145-$C144)*EU144,2))</f>
        <v/>
      </c>
      <c r="EU145" s="110" t="str">
        <f t="shared" si="234"/>
        <v/>
      </c>
      <c r="EW145" s="108" t="str">
        <f t="shared" si="129"/>
        <v/>
      </c>
      <c r="EX145" s="109" t="str">
        <f t="shared" si="130"/>
        <v/>
      </c>
      <c r="EY145" s="109" t="str">
        <f t="shared" ref="EY145:EY200" si="293">IF($B145="","",IF(OR($F$10="ანუიტეტური",$F$10="სამომხმარებლო"),ROUND($H$22/$I$22*($C145-$C144)*EZ144,2),IF($F$10="საშეღავათო",ROUND($H$22/$I$22*($C145-$C144)*EZ144,2),IF(AND($F$10="ნულოვანი საშეღავათო",$B145&lt;=$G$12),0,IF(AND($F$10="ნულოვანი საშეღავათო",$B145=$G$12+1),ROUND($H$22/$I$22*($C145-$C$80)*EZ144,2),IF(AND($F$10="ნულოვანი საშეღავათო",$B145&gt;$G$12),ROUND($H$22/$I$22*($C145-$C144)*EZ144,2)))))))</f>
        <v/>
      </c>
      <c r="EZ145" s="110" t="str">
        <f t="shared" si="235"/>
        <v/>
      </c>
      <c r="FB145" s="108" t="str">
        <f t="shared" ref="FB145:FB200" si="294">IF($B145="","",ROUND(-PMT($H$22/$I$20,$H$20,$FB$80),2))</f>
        <v/>
      </c>
      <c r="FC145" s="109" t="str">
        <f t="shared" si="131"/>
        <v/>
      </c>
      <c r="FD145" s="109" t="str">
        <f t="shared" ref="FD145:FD200" si="295">IF($B145="","",ROUND($H$22/$I$22*($C145-$C144)*FE144,2))</f>
        <v/>
      </c>
      <c r="FE145" s="110" t="str">
        <f t="shared" si="236"/>
        <v/>
      </c>
      <c r="FG145" s="108" t="str">
        <f t="shared" si="133"/>
        <v/>
      </c>
      <c r="FH145" s="109" t="str">
        <f t="shared" si="134"/>
        <v/>
      </c>
      <c r="FI145" s="109" t="str">
        <f t="shared" ref="FI145:FI200" si="296">IF($B145="","",IF(OR($F$10="ანუიტეტური",$F$10="სამომხმარებლო"),ROUND($H$22/$I$22*($C145-$C144)*FJ144,2),IF($F$10="საშეღავათო",ROUND($H$22/$I$22*($C145-$C144)*FJ144,2),IF(AND($F$10="ნულოვანი საშეღავათო",$B145&lt;=$G$12),0,IF(AND($F$10="ნულოვანი საშეღავათო",$B145=$G$12+1),ROUND($H$22/$I$22*($C145-$C$80)*FJ144,2),IF(AND($F$10="ნულოვანი საშეღავათო",$B145&gt;$G$12),ROUND($H$22/$I$22*($C145-$C144)*FJ144,2)))))))</f>
        <v/>
      </c>
      <c r="FJ145" s="110" t="str">
        <f t="shared" si="237"/>
        <v/>
      </c>
      <c r="FL145" s="108" t="str">
        <f t="shared" ref="FL145:FL200" si="297">IF($B145="","",ROUND(-PMT($H$22/$I$20,$H$20,$FL$80),2))</f>
        <v/>
      </c>
      <c r="FM145" s="109" t="str">
        <f t="shared" si="135"/>
        <v/>
      </c>
      <c r="FN145" s="109" t="str">
        <f t="shared" ref="FN145:FN200" si="298">IF($B145="","",ROUND($H$22/$I$22*($C145-$C144)*FO144,2))</f>
        <v/>
      </c>
      <c r="FO145" s="110" t="str">
        <f t="shared" si="238"/>
        <v/>
      </c>
      <c r="FQ145" s="108" t="str">
        <f t="shared" si="137"/>
        <v/>
      </c>
      <c r="FR145" s="109" t="str">
        <f t="shared" si="138"/>
        <v/>
      </c>
      <c r="FS145" s="109" t="str">
        <f t="shared" ref="FS145:FS200" si="299">IF($B145="","",IF(OR($F$10="ანუიტეტური",$F$10="სამომხმარებლო"),ROUND($H$22/$I$22*($C145-$C144)*FT144,2),IF($F$10="საშეღავათო",ROUND($H$22/$I$22*($C145-$C144)*FT144,2),IF(AND($F$10="ნულოვანი საშეღავათო",$B145&lt;=$G$12),0,IF(AND($F$10="ნულოვანი საშეღავათო",$B145=$G$12+1),ROUND($H$22/$I$22*($C145-$C$80)*FT144,2),IF(AND($F$10="ნულოვანი საშეღავათო",$B145&gt;$G$12),ROUND($H$22/$I$22*($C145-$C144)*FT144,2)))))))</f>
        <v/>
      </c>
      <c r="FT145" s="110" t="str">
        <f t="shared" si="239"/>
        <v/>
      </c>
      <c r="FV145" s="108" t="str">
        <f t="shared" ref="FV145:FV200" si="300">IF($B145="","",ROUND(-PMT($H$22/$I$20,$H$20,$FV$80),2))</f>
        <v/>
      </c>
      <c r="FW145" s="109" t="str">
        <f t="shared" si="139"/>
        <v/>
      </c>
      <c r="FX145" s="109" t="str">
        <f t="shared" ref="FX145:FX200" si="301">IF($B145="","",ROUND($H$22/$I$22*($C145-$C144)*FY144,2))</f>
        <v/>
      </c>
      <c r="FY145" s="110" t="str">
        <f t="shared" si="240"/>
        <v/>
      </c>
      <c r="GA145" s="108" t="str">
        <f t="shared" si="141"/>
        <v/>
      </c>
      <c r="GB145" s="109" t="str">
        <f t="shared" si="142"/>
        <v/>
      </c>
      <c r="GC145" s="109" t="str">
        <f t="shared" ref="GC145:GC200" si="302">IF($B145="","",IF(OR($F$10="ანუიტეტური",$F$10="სამომხმარებლო"),ROUND($H$22/$I$22*($C145-$C144)*GD144,2),IF($F$10="საშეღავათო",ROUND($H$22/$I$22*($C145-$C144)*GD144,2),IF(AND($F$10="ნულოვანი საშეღავათო",$B145&lt;=$G$12),0,IF(AND($F$10="ნულოვანი საშეღავათო",$B145=$G$12+1),ROUND($H$22/$I$22*($C145-$C$80)*GD144,2),IF(AND($F$10="ნულოვანი საშეღავათო",$B145&gt;$G$12),ROUND($H$22/$I$22*($C145-$C144)*GD144,2)))))))</f>
        <v/>
      </c>
      <c r="GD145" s="110" t="str">
        <f t="shared" si="241"/>
        <v/>
      </c>
      <c r="GF145" s="108" t="str">
        <f t="shared" ref="GF145:GF200" si="303">IF($B145="","",ROUND(-PMT($H$22/$I$20,$H$20,$GF$80),2))</f>
        <v/>
      </c>
      <c r="GG145" s="109" t="str">
        <f t="shared" si="143"/>
        <v/>
      </c>
      <c r="GH145" s="109" t="str">
        <f t="shared" ref="GH145:GH200" si="304">IF($B145="","",ROUND($H$22/$I$22*($C145-$C144)*GI144,2))</f>
        <v/>
      </c>
      <c r="GI145" s="110" t="str">
        <f t="shared" si="242"/>
        <v/>
      </c>
      <c r="GK145" s="108" t="str">
        <f t="shared" si="145"/>
        <v/>
      </c>
      <c r="GL145" s="109" t="str">
        <f t="shared" si="146"/>
        <v/>
      </c>
      <c r="GM145" s="109" t="str">
        <f t="shared" si="147"/>
        <v/>
      </c>
      <c r="GN145" s="110" t="str">
        <f t="shared" si="243"/>
        <v/>
      </c>
      <c r="GR145" s="108" t="str">
        <f t="shared" ref="GR145:GR200" si="305">IF($K145="","",IF(OR($O$28="ანუიტეტური",$O$28="სამომხმარებლო"),ROUND(-PMT($P$34/$I$20,$R$32,$GR$80),2),IF(AND($O$28="საშეღავათო",$K145&lt;=$Q$30),GS145+GT145,IF(AND($O$28="საშეღავათო",$K145&gt;$Q$30),ROUND(-PMT($P$34/$I$20,$R$32-$Q$30,$GR$80),2),IF(AND($O$28="ნულოვანი საშეღავათო",$K145&lt;=$Q$30),GS145+GT145,IF(AND($O$28="ნულოვანი საშეღავათო",$K145&gt;$Q$30,GT145&gt;ROUND(-PMT($P$34/$I$20,$R$32-$Q$30,$GR$80),2)),GT145,ROUND(-PMT($P$34/$I$20,$R$32-$Q$30,$GR$80),2)))))))</f>
        <v/>
      </c>
      <c r="GS145" s="109" t="str">
        <f t="shared" ref="GS145:GS200" si="306">IF($K145="","",IF(OR($O$28="ანუიტეტური",$O$28="სამომხმარებლო"),GR145-GT145,IF(AND($O$28="საშეღავათო",$K145&gt;$Q$30),GR145-GT145,IF(AND($O$28="საშეღავათო",$K145&lt;=$Q$30),0,IF(AND($O$28="ნულოვანი საშეღავათო",$K145&gt;$Q$30),GR145-GT145,IF(AND($O$28="ნულოვანი საშეღავათო",$K145&lt;=$Q$30),0))))))</f>
        <v/>
      </c>
      <c r="GT145" s="109" t="str">
        <f t="shared" ref="GT145:GT200" si="307">IF($K145="","",IF(OR($O$28="ანუიტეტური",$O$28="სამომხმარებლო"),ROUND($P$34/$I$22*($L145-$L144)*GU144,2),IF($O$28="საშეღავათო",ROUND($P$34/$I$22*($L145-$L144)*GU144,2),IF(AND($O$28="ნულოვანი საშეღავათო",$K145&lt;=$Q$30),0,IF(AND($O$28="ნულოვანი საშეღავათო",$K145=$Q$30+1),ROUND($P$34/$I$22*($L145-$L$80)*GU144,2),IF(AND($O$28="ნულოვანი საშეღავათო",$K145&gt;$Q$30),ROUND($P$34/$I$22*($L145-$L144)*GU144,2)))))))</f>
        <v/>
      </c>
      <c r="GU145" s="110" t="str">
        <f t="shared" ref="GU145:GU200" si="308">IF($K145="","",IF(OR($O$28="ანუიტეტური",$O$28="სამომხმარებლო"),GU144-GS145,IF($O$28="საშეღავათო",GU144-GS145,IF($O$28="ნულოვანი საშეღავათო",GU144-GS145))))</f>
        <v/>
      </c>
      <c r="GV145" s="51"/>
      <c r="GW145" s="108" t="str">
        <f t="shared" ref="GW145:GW200" si="309">IF($K145="","",ROUND(-PMT($P$34/$I$20,$R$32,GW$80),2))</f>
        <v/>
      </c>
      <c r="GX145" s="109" t="str">
        <f t="shared" si="148"/>
        <v/>
      </c>
      <c r="GY145" s="109" t="str">
        <f t="shared" ref="GY145:GY200" si="310">IF($K145="","",ROUND($P$34/$I$22*($L145-$L144)*GZ144,2))</f>
        <v/>
      </c>
      <c r="GZ145" s="110" t="str">
        <f t="shared" ref="GZ145:GZ200" si="311">IF($K145="","",GZ144-GX145)</f>
        <v/>
      </c>
      <c r="HA145" s="51"/>
      <c r="HB145" s="108" t="str">
        <f t="shared" si="149"/>
        <v/>
      </c>
      <c r="HC145" s="109" t="str">
        <f t="shared" si="150"/>
        <v/>
      </c>
      <c r="HD145" s="109" t="str">
        <f t="shared" ref="HD145:HD200" si="312">IF($K145="","",IF(OR($O$28="ანუიტეტური",$O$28="სამომხმარებლო"),ROUND($P$34/$I$22*($L145-$L144)*HE144,2),IF($O$28="საშეღავათო",ROUND($P$34/$I$22*($L145-$L144)*HE144,2),IF(AND($O$28="ნულოვანი საშეღავათო",$K145&lt;=$Q$30),0,IF(AND($O$28="ნულოვანი საშეღავათო",$K145=$Q$30+1),ROUND($P$34/$I$22*($L145-$L$80)*HE144,2),IF(AND($O$28="ნულოვანი საშეღავათო",$K145&gt;$Q$30),ROUND($P$34/$I$22*($L145-$L144)*HE144,2)))))))</f>
        <v/>
      </c>
      <c r="HE145" s="110" t="str">
        <f t="shared" si="151"/>
        <v/>
      </c>
      <c r="HF145" s="51"/>
      <c r="HG145" s="108" t="str">
        <f t="shared" ref="HG145:HG200" si="313">IF($K145="","",ROUND(-PMT($P$34/$I$20,$R$32,HG$80),2))</f>
        <v/>
      </c>
      <c r="HH145" s="109" t="str">
        <f t="shared" si="152"/>
        <v/>
      </c>
      <c r="HI145" s="109" t="str">
        <f t="shared" ref="HI145:HI200" si="314">IF($K145="","",ROUND($P$34/$I$22*($L145-$L144)*HJ144,2))</f>
        <v/>
      </c>
      <c r="HJ145" s="110" t="str">
        <f t="shared" si="193"/>
        <v/>
      </c>
      <c r="HK145" s="51"/>
      <c r="HL145" s="108" t="str">
        <f t="shared" si="153"/>
        <v/>
      </c>
      <c r="HM145" s="109" t="str">
        <f t="shared" si="154"/>
        <v/>
      </c>
      <c r="HN145" s="109" t="str">
        <f t="shared" ref="HN145:HN200" si="315">IF($K145="","",IF(OR($O$28="ანუიტეტური",$O$28="სამომხმარებლო"),ROUND($P$34/$I$22*($L145-$L144)*HO144,2),IF($O$28="საშეღავათო",ROUND($P$34/$I$22*($L145-$L144)*HO144,2),IF(AND($O$28="ნულოვანი საშეღავათო",$K145&lt;=$Q$30),0,IF(AND($O$28="ნულოვანი საშეღავათო",$K145=$Q$30+1),ROUND($P$34/$I$22*($L145-$L$80)*HO144,2),IF(AND($O$28="ნულოვანი საშეღავათო",$K145&gt;$Q$30),ROUND($P$34/$I$22*($L145-$L144)*HO144,2)))))))</f>
        <v/>
      </c>
      <c r="HO145" s="110" t="str">
        <f t="shared" si="155"/>
        <v/>
      </c>
      <c r="HP145" s="51"/>
      <c r="HQ145" s="108" t="str">
        <f t="shared" ref="HQ145:HQ200" si="316">IF($K145="","",ROUND(-PMT($P$34/$I$20,$R$32,HQ$80),2))</f>
        <v/>
      </c>
      <c r="HR145" s="109" t="str">
        <f t="shared" si="156"/>
        <v/>
      </c>
      <c r="HS145" s="109" t="str">
        <f t="shared" ref="HS145:HS200" si="317">IF($K145="","",ROUND($P$34/$I$22*($L145-$L144)*HT144,2))</f>
        <v/>
      </c>
      <c r="HT145" s="110" t="str">
        <f t="shared" si="194"/>
        <v/>
      </c>
      <c r="HU145" s="51"/>
      <c r="HV145" s="108" t="str">
        <f t="shared" si="157"/>
        <v/>
      </c>
      <c r="HW145" s="109" t="str">
        <f t="shared" si="158"/>
        <v/>
      </c>
      <c r="HX145" s="109" t="str">
        <f t="shared" ref="HX145:HX200" si="318">IF($K145="","",IF(OR($O$28="ანუიტეტური",$O$28="სამომხმარებლო"),ROUND($P$34/$I$22*($L145-$L144)*HY144,2),IF($O$28="საშეღავათო",ROUND($P$34/$I$22*($L145-$L144)*HY144,2),IF(AND($O$28="ნულოვანი საშეღავათო",$K145&lt;=$Q$30),0,IF(AND($O$28="ნულოვანი საშეღავათო",$K145=$Q$30+1),ROUND($P$34/$I$22*($L145-$L$80)*HY144,2),IF(AND($O$28="ნულოვანი საშეღავათო",$K145&gt;$Q$30),ROUND($P$34/$I$22*($L145-$L144)*HY144,2)))))))</f>
        <v/>
      </c>
      <c r="HY145" s="110" t="str">
        <f t="shared" si="159"/>
        <v/>
      </c>
      <c r="HZ145" s="51"/>
      <c r="IA145" s="108" t="str">
        <f t="shared" ref="IA145:IA200" si="319">IF($K145="","",ROUND(-PMT($P$34/$I$20,$R$32,IA$80),2))</f>
        <v/>
      </c>
      <c r="IB145" s="109" t="str">
        <f t="shared" si="160"/>
        <v/>
      </c>
      <c r="IC145" s="109" t="str">
        <f t="shared" ref="IC145:IC200" si="320">IF($K145="","",ROUND($P$34/$I$22*($L145-$L144)*ID144,2))</f>
        <v/>
      </c>
      <c r="ID145" s="110" t="str">
        <f t="shared" si="195"/>
        <v/>
      </c>
      <c r="IE145" s="51"/>
      <c r="IF145" s="108" t="str">
        <f t="shared" si="161"/>
        <v/>
      </c>
      <c r="IG145" s="109" t="str">
        <f t="shared" si="162"/>
        <v/>
      </c>
      <c r="IH145" s="109" t="str">
        <f t="shared" ref="IH145:IH200" si="321">IF($K145="","",IF(OR($O$28="ანუიტეტური",$O$28="სამომხმარებლო"),ROUND($P$34/$I$22*($L145-$L144)*II144,2),IF($O$28="საშეღავათო",ROUND($P$34/$I$22*($L145-$L144)*II144,2),IF(AND($O$28="ნულოვანი საშეღავათო",$K145&lt;=$Q$30),0,IF(AND($O$28="ნულოვანი საშეღავათო",$K145=$Q$30+1),ROUND($P$34/$I$22*($L145-$L$80)*II144,2),IF(AND($O$28="ნულოვანი საშეღავათო",$K145&gt;$Q$30),ROUND($P$34/$I$22*($L145-$L144)*II144,2)))))))</f>
        <v/>
      </c>
      <c r="II145" s="110" t="str">
        <f t="shared" si="163"/>
        <v/>
      </c>
      <c r="IJ145" s="51"/>
      <c r="IK145" s="108" t="str">
        <f t="shared" ref="IK145:IK200" si="322">IF($K145="","",ROUND(-PMT($P$34/$I$20,$R$32,IK$80),2))</f>
        <v/>
      </c>
      <c r="IL145" s="109" t="str">
        <f t="shared" si="164"/>
        <v/>
      </c>
      <c r="IM145" s="109" t="str">
        <f t="shared" ref="IM145:IM200" si="323">IF($K145="","",ROUND($P$34/$I$22*($L145-$L144)*IN144,2))</f>
        <v/>
      </c>
      <c r="IN145" s="110" t="str">
        <f t="shared" si="196"/>
        <v/>
      </c>
      <c r="IO145" s="51"/>
      <c r="IP145" s="108" t="str">
        <f t="shared" si="165"/>
        <v/>
      </c>
      <c r="IQ145" s="109" t="str">
        <f t="shared" si="166"/>
        <v/>
      </c>
      <c r="IR145" s="109" t="str">
        <f t="shared" ref="IR145:IR200" si="324">IF($K145="","",IF(OR($O$28="ანუიტეტური",$O$28="სამომხმარებლო"),ROUND($P$34/$I$22*($L145-$L144)*IS144,2),IF($O$28="საშეღავათო",ROUND($P$34/$I$22*($L145-$L144)*IS144,2),IF(AND($O$28="ნულოვანი საშეღავათო",$K145&lt;=$Q$30),0,IF(AND($O$28="ნულოვანი საშეღავათო",$K145=$Q$30+1),ROUND($P$34/$I$22*($L145-$L$80)*IS144,2),IF(AND($O$28="ნულოვანი საშეღავათო",$K145&gt;$Q$30),ROUND($P$34/$I$22*($L145-$L144)*IS144,2)))))))</f>
        <v/>
      </c>
      <c r="IS145" s="110" t="str">
        <f t="shared" si="167"/>
        <v/>
      </c>
      <c r="IT145" s="51"/>
      <c r="IU145" s="108" t="str">
        <f t="shared" ref="IU145:IU200" si="325">IF($K145="","",ROUND(-PMT($P$34/$I$20,$R$32,IU$80),2))</f>
        <v/>
      </c>
      <c r="IV145" s="109" t="str">
        <f t="shared" si="168"/>
        <v/>
      </c>
      <c r="IW145" s="109" t="str">
        <f t="shared" ref="IW145:IW200" si="326">IF($K145="","",ROUND($P$34/$I$22*($L145-$L144)*IX144,2))</f>
        <v/>
      </c>
      <c r="IX145" s="110" t="str">
        <f t="shared" si="197"/>
        <v/>
      </c>
      <c r="IY145" s="51"/>
      <c r="IZ145" s="108" t="str">
        <f t="shared" si="169"/>
        <v/>
      </c>
      <c r="JA145" s="109" t="str">
        <f t="shared" si="170"/>
        <v/>
      </c>
      <c r="JB145" s="109" t="str">
        <f t="shared" ref="JB145:JB200" si="327">IF($K145="","",IF(OR($O$28="ანუიტეტური",$O$28="სამომხმარებლო"),ROUND($P$34/$I$22*($L145-$L144)*JC144,2),IF($O$28="საშეღავათო",ROUND($P$34/$I$22*($L145-$L144)*JC144,2),IF(AND($O$28="ნულოვანი საშეღავათო",$K145&lt;=$Q$30),0,IF(AND($O$28="ნულოვანი საშეღავათო",$K145=$Q$30+1),ROUND($P$34/$I$22*($L145-$L$80)*JC144,2),IF(AND($O$28="ნულოვანი საშეღავათო",$K145&gt;$Q$30),ROUND($P$34/$I$22*($L145-$L144)*JC144,2)))))))</f>
        <v/>
      </c>
      <c r="JC145" s="110" t="str">
        <f t="shared" si="171"/>
        <v/>
      </c>
      <c r="JD145" s="51"/>
      <c r="JE145" s="108" t="str">
        <f t="shared" ref="JE145:JE200" si="328">IF($K145="","",ROUND(-PMT($P$34/$I$20,$R$32,JE$80),2))</f>
        <v/>
      </c>
      <c r="JF145" s="109" t="str">
        <f t="shared" si="172"/>
        <v/>
      </c>
      <c r="JG145" s="109" t="str">
        <f t="shared" ref="JG145:JG200" si="329">IF($K145="","",ROUND($P$34/$I$22*($L145-$L144)*JH144,2))</f>
        <v/>
      </c>
      <c r="JH145" s="110" t="str">
        <f t="shared" si="198"/>
        <v/>
      </c>
      <c r="JI145" s="51"/>
      <c r="JJ145" s="108" t="str">
        <f t="shared" si="173"/>
        <v/>
      </c>
      <c r="JK145" s="109" t="str">
        <f t="shared" si="174"/>
        <v/>
      </c>
      <c r="JL145" s="109" t="str">
        <f t="shared" ref="JL145:JL200" si="330">IF($K145="","",IF(OR($O$28="ანუიტეტური",$O$28="სამომხმარებლო"),ROUND($P$34/$I$22*($L145-$L144)*JM144,2),IF($O$28="საშეღავათო",ROUND($P$34/$I$22*($L145-$L144)*JM144,2),IF(AND($O$28="ნულოვანი საშეღავათო",$K145&lt;=$Q$30),0,IF(AND($O$28="ნულოვანი საშეღავათო",$K145=$Q$30+1),ROUND($P$34/$I$22*($L145-$L$80)*JM144,2),IF(AND($O$28="ნულოვანი საშეღავათო",$K145&gt;$Q$30),ROUND($P$34/$I$22*($L145-$L144)*JM144,2)))))))</f>
        <v/>
      </c>
      <c r="JM145" s="110" t="str">
        <f t="shared" si="175"/>
        <v/>
      </c>
      <c r="JN145" s="51"/>
      <c r="JO145" s="108" t="str">
        <f t="shared" ref="JO145:JO200" si="331">IF($K145="","",ROUND(-PMT($P$34/$I$20,$R$32,JO$80),2))</f>
        <v/>
      </c>
      <c r="JP145" s="109" t="str">
        <f t="shared" si="176"/>
        <v/>
      </c>
      <c r="JQ145" s="109" t="str">
        <f t="shared" ref="JQ145:JQ200" si="332">IF($K145="","",ROUND($P$34/$I$22*($L145-$L144)*JR144,2))</f>
        <v/>
      </c>
      <c r="JR145" s="110" t="str">
        <f t="shared" si="199"/>
        <v/>
      </c>
      <c r="JS145" s="51"/>
      <c r="JT145" s="108" t="str">
        <f t="shared" si="177"/>
        <v/>
      </c>
      <c r="JU145" s="109" t="str">
        <f t="shared" si="178"/>
        <v/>
      </c>
      <c r="JV145" s="109" t="str">
        <f t="shared" ref="JV145:JV200" si="333">IF($K145="","",IF(OR($O$28="ანუიტეტური",$O$28="სამომხმარებლო"),ROUND($P$34/$I$22*($L145-$L144)*JW144,2),IF($O$28="საშეღავათო",ROUND($P$34/$I$22*($L145-$L144)*JW144,2),IF(AND($O$28="ნულოვანი საშეღავათო",$K145&lt;=$Q$30),0,IF(AND($O$28="ნულოვანი საშეღავათო",$K145=$Q$30+1),ROUND($P$34/$I$22*($L145-$L$80)*JW144,2),IF(AND($O$28="ნულოვანი საშეღავათო",$K145&gt;$Q$30),ROUND($P$34/$I$22*($L145-$L144)*JW144,2)))))))</f>
        <v/>
      </c>
      <c r="JW145" s="110" t="str">
        <f t="shared" si="179"/>
        <v/>
      </c>
      <c r="JX145" s="51"/>
      <c r="JY145" s="108" t="str">
        <f t="shared" ref="JY145:JY200" si="334">IF($K145="","",ROUND(-PMT($P$34/$I$20,$R$32,JY$80),2))</f>
        <v/>
      </c>
      <c r="JZ145" s="109" t="str">
        <f t="shared" si="180"/>
        <v/>
      </c>
      <c r="KA145" s="109" t="str">
        <f t="shared" ref="KA145:KA200" si="335">IF($K145="","",ROUND($P$34/$I$22*($L145-$L144)*KB144,2))</f>
        <v/>
      </c>
      <c r="KB145" s="110" t="str">
        <f t="shared" si="200"/>
        <v/>
      </c>
      <c r="KC145" s="51"/>
      <c r="KD145" s="108" t="str">
        <f t="shared" si="181"/>
        <v/>
      </c>
      <c r="KE145" s="109" t="str">
        <f t="shared" si="182"/>
        <v/>
      </c>
      <c r="KF145" s="109" t="str">
        <f t="shared" ref="KF145:KF200" si="336">IF($K145="","",IF(OR($O$28="ანუიტეტური",$O$28="სამომხმარებლო"),ROUND($P$34/$I$22*($L145-$L144)*KG144,2),IF($O$28="საშეღავათო",ROUND($P$34/$I$22*($L145-$L144)*KG144,2),IF(AND($O$28="ნულოვანი საშეღავათო",$K145&lt;=$Q$30),0,IF(AND($O$28="ნულოვანი საშეღავათო",$K145=$Q$30+1),ROUND($P$34/$I$22*($L145-$L$80)*KG144,2),IF(AND($O$28="ნულოვანი საშეღავათო",$K145&gt;$Q$30),ROUND($P$34/$I$22*($L145-$L144)*KG144,2)))))))</f>
        <v/>
      </c>
      <c r="KG145" s="110" t="str">
        <f t="shared" ref="KG145:KG200" si="337">IF($K145="","",KG144-KE145)</f>
        <v/>
      </c>
    </row>
    <row r="146" spans="1:293" ht="12" customHeight="1">
      <c r="A146" s="105">
        <f t="array" ref="A146">MAX(IF($J$80:J145&gt;0,$C$80:C145,0))</f>
        <v>43535</v>
      </c>
      <c r="B146" s="81" t="str">
        <f t="shared" si="248"/>
        <v/>
      </c>
      <c r="C146" s="82">
        <f t="shared" si="5"/>
        <v>0</v>
      </c>
      <c r="D146" s="83" t="str">
        <f t="shared" si="249"/>
        <v/>
      </c>
      <c r="E146" s="83" t="str">
        <f t="shared" ref="E146:E200" si="338">IF(B146="","",IF(H145&gt;0,IF(OR($F$10="ანუიტეტური",$F$10="საშეღავათო",$F$10="ასიმეტრიული პროცენტით",$F$10="სამომხმარებლო"),ROUND($H145*$R$20/$I$22*(C146-C145),2),IF($F$10="ნულოვანი საშეღავათო",IF($B146&lt;=$G$12,0,IF($B146=$G$12+1,ROUND($H145*$R$20/$I$22*($C146-$C$80),2),ROUND($H145*$R$20/$I$22*($C146-$C145),2))),IF($F$10="ასიმეტრიული",IF(AND(J146="",B146&lt;$H$20),0,IF(OR(J146&gt;0,B146=$H$20),ROUND($H145*$R$20/$I$22*(C146-A146),2))),0)))))</f>
        <v/>
      </c>
      <c r="F146" s="83" t="str">
        <f t="shared" si="250"/>
        <v/>
      </c>
      <c r="G146" s="83" t="str">
        <f t="shared" si="251"/>
        <v/>
      </c>
      <c r="H146" s="83" t="str">
        <f t="shared" si="252"/>
        <v/>
      </c>
      <c r="I146" s="105">
        <f t="array" ref="I146">MAX(IF($R$80:R145&gt;0,$L$80:L145,0))</f>
        <v>0</v>
      </c>
      <c r="J146" s="106"/>
      <c r="K146" s="2" t="str">
        <f t="shared" si="253"/>
        <v/>
      </c>
      <c r="L146" s="82">
        <f t="shared" si="183"/>
        <v>0</v>
      </c>
      <c r="M146" s="83" t="str">
        <f t="shared" si="254"/>
        <v/>
      </c>
      <c r="N146" s="83" t="str">
        <f t="shared" si="255"/>
        <v/>
      </c>
      <c r="O146" s="83" t="str">
        <f t="shared" si="256"/>
        <v/>
      </c>
      <c r="P146" s="83" t="str">
        <f t="shared" si="257"/>
        <v/>
      </c>
      <c r="Q146" s="83" t="str">
        <f t="shared" si="258"/>
        <v/>
      </c>
      <c r="R146" s="106"/>
      <c r="S146" s="1"/>
      <c r="U146" s="85" t="e">
        <f t="shared" si="244"/>
        <v>#NUM!</v>
      </c>
      <c r="V146" s="86" t="e">
        <f t="shared" ref="V146:V200" si="339">IF(U146="",0,C146)</f>
        <v>#NUM!</v>
      </c>
      <c r="W146" s="87" t="e">
        <f t="shared" si="259"/>
        <v>#NUM!</v>
      </c>
      <c r="X146" s="87" t="e">
        <f t="shared" si="260"/>
        <v>#NUM!</v>
      </c>
      <c r="Y146" s="87" t="e">
        <f t="shared" si="261"/>
        <v>#NUM!</v>
      </c>
      <c r="Z146" s="88" t="e">
        <f t="shared" si="245"/>
        <v>#NUM!</v>
      </c>
      <c r="AA146" t="s">
        <v>282</v>
      </c>
      <c r="AB146" s="89">
        <f t="shared" ref="AB146:AB200" si="340">IF(D146&lt;&gt;"",D146,0)</f>
        <v>0</v>
      </c>
      <c r="AC146" s="87">
        <f t="shared" si="262"/>
        <v>0</v>
      </c>
      <c r="AD146" s="87" t="str">
        <f t="shared" si="263"/>
        <v/>
      </c>
      <c r="AE146" s="87" t="str">
        <f t="shared" si="264"/>
        <v/>
      </c>
      <c r="AF146" s="86">
        <f t="shared" ref="AF146:AF200" si="341">IF(AND(EDATE($AF145,1)&lt;=MAX($C$80:$C$200),$AF145&lt;&gt;0),EDATE($AF145,1),0)</f>
        <v>0</v>
      </c>
      <c r="AG146" s="87">
        <f t="shared" si="246"/>
        <v>0</v>
      </c>
      <c r="AH146" s="87">
        <f t="shared" ref="AH146:AH200" si="342">IF(E146&lt;&gt;"",E146,0)</f>
        <v>0</v>
      </c>
      <c r="AI146" s="90"/>
      <c r="AJ146" s="87" t="e">
        <f t="shared" si="265"/>
        <v>#NUM!</v>
      </c>
      <c r="AK146" s="87" t="e">
        <f t="shared" ref="AK146:AK200" si="343">IF(OR($F$46="",DATE($F$34,$G$34,$H$34)&lt;=DATE($F$46,$G$46,$H$46)),0,IF(M146&lt;&gt;"",ROUND((M146*($BJ$81+(L146-$L$80)*$BJ$82)),2),0))</f>
        <v>#NUM!</v>
      </c>
      <c r="AL146" s="87" t="e">
        <f t="shared" ref="AL146:AL200" si="344">IF(OR($F$46="",DATE($F$34,$G$34,$H$34)&lt;=DATE($F$46,$G$46,$H$46)),0,IF(OR($O$28="ბიზნეს ოვერდრაფტი",$O$28="საკრედიტო ბარათი"),IF(M146&lt;&gt;"",M146,0),""))</f>
        <v>#NUM!</v>
      </c>
      <c r="AM146" s="87" t="e">
        <f t="shared" ref="AM146:AM200" si="345">IF(OR($F$46="",DATE($F$34,$G$34,$H$34)&lt;=DATE($F$46,$G$46,$H$46)),0,IF(OR($O$28="ბიზნეს ოვერდრაფტი",$O$28="საკრედიტო ბარათი"),IF(M146&lt;&gt;"",ROUND((M146*($BJ$81+(L146-$L$80)*$BJ$82)),2),0),""))</f>
        <v>#NUM!</v>
      </c>
      <c r="AN146" s="86">
        <f t="shared" si="266"/>
        <v>0</v>
      </c>
      <c r="AO146" s="87">
        <f t="shared" si="267"/>
        <v>0</v>
      </c>
      <c r="AP146" s="88">
        <f t="shared" si="268"/>
        <v>0</v>
      </c>
      <c r="AR146" s="91">
        <f t="shared" si="269"/>
        <v>0</v>
      </c>
      <c r="AS146" s="92">
        <f t="shared" si="270"/>
        <v>0</v>
      </c>
      <c r="AT146" s="87" t="str">
        <f t="shared" si="271"/>
        <v/>
      </c>
      <c r="AU146" s="87" t="str">
        <f t="shared" si="272"/>
        <v/>
      </c>
      <c r="AV146" s="86">
        <f t="shared" ref="AV146:AV200" si="346">IF(OR($F$46="",$G$46="",$H$46=""),IF(AND(EDATE($AF145,1)&lt;=MAX($C$80:$C$200),$AF145&lt;&gt;0),EDATE($AF145,1),0),IF(DATE($F$46,$G$46,$H$46)&gt;=DATE($F$34,$G$34,$H$34),IF(AND(EDATE($AF145,1)&lt;=MAX($C$80:$C$200),$AF145&lt;&gt;0),EDATE($AF145,1),0),IF(AND(DATE($F$46,$G$46,$H$46)&lt;DATE($F$34,$G$34,$H$34),U146&lt;&gt;""),IF(AND(EDATE($AF145,1)&lt;=MAX($C$80:$C$200),$AF145&lt;&gt;0),EDATE($AF145,1),0),IF(AND(DATE($F$46,$G$46,$H$46)&lt;DATE($F$34,$G$34,$H$34),U146=""),0))))</f>
        <v>0</v>
      </c>
      <c r="AW146" s="87">
        <f t="shared" ref="AW146:AW200" si="347">IF(OR($F$46="",$G$46="",$H$46=""),IF(AF146&gt;0,$R$14,0),IF(DATE($F$46,$G$46,$H$46)&gt;=DATE($F$34,$G$34,$H$34),IF(AF146&gt;0,$R$14,0),IF(AND(DATE($F$46,$G$46,$H$46)&lt;DATE($F$34,$G$34,$H$34),U146&lt;&gt;""),IF(AF146&gt;0,$R$14,0),IF(AND(DATE($F$46,$G$46,$H$46)&lt;DATE($F$34,$G$34,$H$34),U146=""),0))))</f>
        <v>0</v>
      </c>
      <c r="AX146" s="87">
        <f t="shared" ref="AX146:AX200" si="348">IF(OR($F$46="",$G$46="",$H$46=""),IF($H$16="GEL",$AH146,ROUND($AH146*$H$18,2)),IF(DATE($F$46,$G$46,$H$46)&gt;=DATE($F$34,$G$34,$H$34),IF($H$16="GEL",$AH146,ROUND($AH146*$H$18,2)),IF(AND(DATE($F$46,$G$46,$H$46)&lt;DATE($F$34,$G$34,$H$34),U146&lt;&gt;""),IF($H$16="GEL",$AH146,ROUND($AH146*$H$18,2)),IF(AND(DATE($F$46,$G$46,$H$46)&lt;DATE($F$34,$G$34,$H$34),U146=""),0))))</f>
        <v>0</v>
      </c>
      <c r="AY146" s="93"/>
      <c r="AZ146" s="87">
        <f t="shared" si="201"/>
        <v>0</v>
      </c>
      <c r="BA146" s="87">
        <f t="shared" ref="BA146:BA200" si="349">IFERROR(IF(OR($F$46="",DATE($F$34,$G$34,$H$34)&lt;=DATE($F$46,$G$46,$H$46)),0,IF(M146&lt;&gt;"",(IF($P$32="GEL",M146,M146*$Q$32)*($BJ$81+(L146-$L$80)*$BJ$82)),0)),0)</f>
        <v>0</v>
      </c>
      <c r="BB146" s="87">
        <f t="shared" ref="BB146:BB200" si="350">IFERROR(IF(OR($F$46="",DATE($F$34,$G$34,$H$34)&lt;=DATE($F$46,$G$46,$H$46)),0,IF(OR($O$28="ბიზნეს ოვერდრაფტი",$O$28="საკრედიტო ბარათი"),IF(M146&lt;&gt;"",IF($P$32="GEL",M146,M146*$Q$32),0),"")),0)</f>
        <v>0</v>
      </c>
      <c r="BC146" s="87">
        <f t="shared" si="184"/>
        <v>0</v>
      </c>
      <c r="BD146" s="86" t="e">
        <f t="shared" si="273"/>
        <v>#NUM!</v>
      </c>
      <c r="BE146" s="87" t="e">
        <f t="shared" si="247"/>
        <v>#NUM!</v>
      </c>
      <c r="BF146" s="88">
        <f t="shared" ref="BF146:BF200" si="351">IFERROR(IF(Q145&gt;0,IF($P$32="GEL",ROUND($Q145*$R$46/$I$22*(L146-L145),2),ROUND($Q145*$Q$32*$R$46/$I$22*(L146-L145),2)),0),0)</f>
        <v>0</v>
      </c>
      <c r="BH146" s="87" t="e">
        <f t="shared" si="274"/>
        <v>#NUM!</v>
      </c>
      <c r="BK146" s="95">
        <v>41012</v>
      </c>
      <c r="BL146" s="96">
        <v>67</v>
      </c>
      <c r="CY146" s="108" t="str">
        <f t="shared" si="275"/>
        <v/>
      </c>
      <c r="CZ146" s="109" t="str">
        <f t="shared" si="276"/>
        <v/>
      </c>
      <c r="DA146" s="109" t="str">
        <f t="shared" si="277"/>
        <v/>
      </c>
      <c r="DB146" s="110" t="str">
        <f t="shared" si="225"/>
        <v/>
      </c>
      <c r="DD146" s="108" t="str">
        <f t="shared" si="278"/>
        <v/>
      </c>
      <c r="DE146" s="109" t="str">
        <f t="shared" ref="DE146:DE200" si="352">IF($B146="","",DD146-DF146)</f>
        <v/>
      </c>
      <c r="DF146" s="109" t="str">
        <f t="shared" si="279"/>
        <v/>
      </c>
      <c r="DG146" s="110" t="str">
        <f t="shared" si="226"/>
        <v/>
      </c>
      <c r="DI146" s="108" t="str">
        <f t="shared" ref="DI146:DI200" si="353">IF($B146="","",IF(OR($F$10="ანუიტეტური",$F$10="სამომხმარებლო"),DI145,IF(AND($F$10="საშეღავათო",$B146&lt;=$G$12),DJ146+DK146,IF(AND($F$10="საშეღავათო",$B146&gt;$G$12),CY146+DD146,IF(AND($F$10="ნულოვანი საშეღავათო",$B146&lt;=$G$12),DJ146+DK146,IF(AND($F$10="ნულოვანი საშეღავათო",$B146&gt;$G$12,DA146&gt;ROUND(-PMT($H$22/$I$20,$H$20-$G$12,$CY$80),2)),DA146,CY146+DD146))))))</f>
        <v/>
      </c>
      <c r="DJ146" s="109" t="str">
        <f t="shared" ref="DJ146:DJ200" si="354">IF($B146="","",IF(OR($F$10="ანუიტეტური",$F$10="სამომხმარებლო"),DI146-DK146,IF(AND($F$10="საშეღავათო",$B146&gt;$G$12),DI146-DK146,IF(AND($F$10="საშეღავათო",$B146&lt;=$G$12),0,IF(AND($F$10="ნულოვანი საშეღავათო",$B146&gt;$G$12),DI146-DK146,IF(AND($F$10="ნულოვანი საშეღავათო",$B146&lt;=$G$12),0))))))</f>
        <v/>
      </c>
      <c r="DK146" s="109" t="str">
        <f t="shared" si="280"/>
        <v/>
      </c>
      <c r="DL146" s="110" t="str">
        <f t="shared" si="227"/>
        <v/>
      </c>
      <c r="DN146" s="108" t="str">
        <f t="shared" si="281"/>
        <v/>
      </c>
      <c r="DO146" s="109" t="str">
        <f t="shared" si="282"/>
        <v/>
      </c>
      <c r="DP146" s="109" t="str">
        <f t="shared" si="283"/>
        <v/>
      </c>
      <c r="DQ146" s="110" t="str">
        <f t="shared" si="228"/>
        <v/>
      </c>
      <c r="DS146" s="108" t="str">
        <f t="shared" ref="DS146:DS200" si="355">IF($B146="","",IF(OR($F$10="ანუიტეტური",$F$10="სამომხმარებლო"),DS145,IF(AND($F$10="საშეღავათო",$B146&lt;=$G$12),DT146+DU146,IF(AND($F$10="საშეღავათო",$B146&gt;$G$12),DI146+DN146,IF(AND($F$10="ნულოვანი საშეღავათო",$B146&lt;=$G$12),DT146+DU146,IF(AND($F$10="ნულოვანი საშეღავათო",$B146&gt;$G$12,DA146&gt;ROUND(-PMT($H$22/$I$20,$H$20-$G$12,$CY$80),2)),DA146,DI146+DN146))))))</f>
        <v/>
      </c>
      <c r="DT146" s="109" t="str">
        <f t="shared" ref="DT146:DT200" si="356">IF($B146="","",IF(OR($F$10="ანუიტეტური",$F$10="სამომხმარებლო"),DS146-DU146,IF(AND($F$10="საშეღავათო",$B146&gt;$G$12),DS146-DU146,IF(AND($F$10="საშეღავათო",$B146&lt;=$G$12),0,IF(AND($F$10="ნულოვანი საშეღავათო",$B146&gt;$G$12),DS146-DU146,IF(AND($F$10="ნულოვანი საშეღავათო",$B146&lt;=$G$12),0))))))</f>
        <v/>
      </c>
      <c r="DU146" s="109" t="str">
        <f t="shared" si="284"/>
        <v/>
      </c>
      <c r="DV146" s="110" t="str">
        <f t="shared" si="229"/>
        <v/>
      </c>
      <c r="DX146" s="108" t="str">
        <f t="shared" si="285"/>
        <v/>
      </c>
      <c r="DY146" s="109" t="str">
        <f t="shared" ref="DY146:DY200" si="357">IF($B146="","",DX146-DZ146)</f>
        <v/>
      </c>
      <c r="DZ146" s="109" t="str">
        <f t="shared" si="286"/>
        <v/>
      </c>
      <c r="EA146" s="110" t="str">
        <f t="shared" si="230"/>
        <v/>
      </c>
      <c r="EC146" s="108" t="str">
        <f t="shared" ref="EC146:EC200" si="358">IF($B146="","",IF(OR($F$10="ანუიტეტური",$F$10="სამომხმარებლო"),EC145,IF(AND($F$10="საშეღავათო",$B146&lt;=$G$12),ED146+EE146,IF(AND($F$10="საშეღავათო",$B146&gt;$G$12),DS146+DX146,IF(AND($F$10="ნულოვანი საშეღავათო",$B146&lt;=$G$12),ED146+EE146,IF(AND($F$10="ნულოვანი საშეღავათო",$B146&gt;$G$12,DA146&gt;ROUND(-PMT($H$22/$I$20,$H$20-$G$12,$CY$80),2)),DA146,DS146+DX146))))))</f>
        <v/>
      </c>
      <c r="ED146" s="109" t="str">
        <f t="shared" ref="ED146:ED200" si="359">IF($B146="","",IF(OR($F$10="ანუიტეტური",$F$10="სამომხმარებლო"),EC146-EE146,IF(AND($F$10="საშეღავათო",$B146&gt;$G$12),EC146-EE146,IF(AND($F$10="საშეღავათო",$B146&lt;=$G$12),0,IF(AND($F$10="ნულოვანი საშეღავათო",$B146&gt;$G$12),EC146-EE146,IF(AND($F$10="ნულოვანი საშეღავათო",$B146&lt;=$G$12),0))))))</f>
        <v/>
      </c>
      <c r="EE146" s="109" t="str">
        <f t="shared" si="287"/>
        <v/>
      </c>
      <c r="EF146" s="110" t="str">
        <f t="shared" si="231"/>
        <v/>
      </c>
      <c r="EH146" s="108" t="str">
        <f t="shared" si="288"/>
        <v/>
      </c>
      <c r="EI146" s="109" t="str">
        <f t="shared" ref="EI146:EI200" si="360">IF($B146="","",EH146-EJ146)</f>
        <v/>
      </c>
      <c r="EJ146" s="109" t="str">
        <f t="shared" si="289"/>
        <v/>
      </c>
      <c r="EK146" s="110" t="str">
        <f t="shared" si="232"/>
        <v/>
      </c>
      <c r="EM146" s="108" t="str">
        <f t="shared" ref="EM146:EM200" si="361">IF($B146="","",IF(OR($F$10="ანუიტეტური",$F$10="სამომხმარებლო"),EM145,IF(AND($F$10="საშეღავათო",$B146&lt;=$G$12),EN146+EO146,IF(AND($F$10="საშეღავათო",$B146&gt;$G$12),EC146+EH146,IF(AND($F$10="ნულოვანი საშეღავათო",$B146&lt;=$G$12),EN146+EO146,IF(AND($F$10="ნულოვანი საშეღავათო",$B146&gt;$G$12,DA146&gt;ROUND(-PMT($H$22/$I$20,$H$20-$G$12,$CY$80),2)),DA146,EC146+EH146))))))</f>
        <v/>
      </c>
      <c r="EN146" s="109" t="str">
        <f t="shared" ref="EN146:EN200" si="362">IF($B146="","",IF(OR($F$10="ანუიტეტური",$F$10="სამომხმარებლო"),EM146-EO146,IF(AND($F$10="საშეღავათო",$B146&gt;$G$12),EM146-EO146,IF(AND($F$10="საშეღავათო",$B146&lt;=$G$12),0,IF(AND($F$10="ნულოვანი საშეღავათო",$B146&gt;$G$12),EM146-EO146,IF(AND($F$10="ნულოვანი საშეღავათო",$B146&lt;=$G$12),0))))))</f>
        <v/>
      </c>
      <c r="EO146" s="109" t="str">
        <f t="shared" si="290"/>
        <v/>
      </c>
      <c r="EP146" s="110" t="str">
        <f t="shared" si="233"/>
        <v/>
      </c>
      <c r="ER146" s="108" t="str">
        <f t="shared" si="291"/>
        <v/>
      </c>
      <c r="ES146" s="109" t="str">
        <f t="shared" ref="ES146:ES200" si="363">IF($B146="","",ER146-ET146)</f>
        <v/>
      </c>
      <c r="ET146" s="109" t="str">
        <f t="shared" si="292"/>
        <v/>
      </c>
      <c r="EU146" s="110" t="str">
        <f t="shared" si="234"/>
        <v/>
      </c>
      <c r="EW146" s="108" t="str">
        <f t="shared" ref="EW146:EW200" si="364">IF($B146="","",IF(OR($F$10="ანუიტეტური",$F$10="სამომხმარებლო"),EW145,IF(AND($F$10="საშეღავათო",$B146&lt;=$G$12),EX146+EY146,IF(AND($F$10="საშეღავათო",$B146&gt;$G$12),EM146+ER146,IF(AND($F$10="ნულოვანი საშეღავათო",$B146&lt;=$G$12),EX146+EY146,IF(AND($F$10="ნულოვანი საშეღავათო",$B146&gt;$G$12,DA146&gt;ROUND(-PMT($H$22/$I$20,$H$20-$G$12,$CY$80),2)),DA146,EM146+ER146))))))</f>
        <v/>
      </c>
      <c r="EX146" s="109" t="str">
        <f t="shared" ref="EX146:EX200" si="365">IF($B146="","",IF(OR($F$10="ანუიტეტური",$F$10="სამომხმარებლო"),EW146-EY146,IF(AND($F$10="საშეღავათო",$B146&gt;$G$12),EW146-EY146,IF(AND($F$10="საშეღავათო",$B146&lt;=$G$12),0,IF(AND($F$10="ნულოვანი საშეღავათო",$B146&gt;$G$12),EW146-EY146,IF(AND($F$10="ნულოვანი საშეღავათო",$B146&lt;=$G$12),0))))))</f>
        <v/>
      </c>
      <c r="EY146" s="109" t="str">
        <f t="shared" si="293"/>
        <v/>
      </c>
      <c r="EZ146" s="110" t="str">
        <f t="shared" si="235"/>
        <v/>
      </c>
      <c r="FB146" s="108" t="str">
        <f t="shared" si="294"/>
        <v/>
      </c>
      <c r="FC146" s="109" t="str">
        <f t="shared" ref="FC146:FC200" si="366">IF($B146="","",FB146-FD146)</f>
        <v/>
      </c>
      <c r="FD146" s="109" t="str">
        <f t="shared" si="295"/>
        <v/>
      </c>
      <c r="FE146" s="110" t="str">
        <f t="shared" si="236"/>
        <v/>
      </c>
      <c r="FG146" s="108" t="str">
        <f t="shared" ref="FG146:FG200" si="367">IF($B146="","",IF(OR($F$10="ანუიტეტური",$F$10="სამომხმარებლო"),FG145,IF(AND($F$10="საშეღავათო",$B146&lt;=$G$12),FH146+FI146,IF(AND($F$10="საშეღავათო",$B146&gt;$G$12),EW146+FB146,IF(AND($F$10="ნულოვანი საშეღავათო",$B146&lt;=$G$12),FH146+FI146,IF(AND($F$10="ნულოვანი საშეღავათო",$B146&gt;$G$12,DA146&gt;ROUND(-PMT($H$22/$I$20,$H$20-$G$12,$CY$80),2)),DA146,EW146+FB146))))))</f>
        <v/>
      </c>
      <c r="FH146" s="109" t="str">
        <f t="shared" ref="FH146:FH200" si="368">IF($B146="","",IF(OR($F$10="ანუიტეტური",$F$10="სამომხმარებლო"),FG146-FI146,IF(AND($F$10="საშეღავათო",$B146&gt;$G$12),FG146-FI146,IF(AND($F$10="საშეღავათო",$B146&lt;=$G$12),0,IF(AND($F$10="ნულოვანი საშეღავათო",$B146&gt;$G$12),FG146-FI146,IF(AND($F$10="ნულოვანი საშეღავათო",$B146&lt;=$G$12),0))))))</f>
        <v/>
      </c>
      <c r="FI146" s="109" t="str">
        <f t="shared" si="296"/>
        <v/>
      </c>
      <c r="FJ146" s="110" t="str">
        <f t="shared" si="237"/>
        <v/>
      </c>
      <c r="FL146" s="108" t="str">
        <f t="shared" si="297"/>
        <v/>
      </c>
      <c r="FM146" s="109" t="str">
        <f t="shared" ref="FM146:FM200" si="369">IF($B146="","",FL146-FN146)</f>
        <v/>
      </c>
      <c r="FN146" s="109" t="str">
        <f t="shared" si="298"/>
        <v/>
      </c>
      <c r="FO146" s="110" t="str">
        <f t="shared" si="238"/>
        <v/>
      </c>
      <c r="FQ146" s="108" t="str">
        <f t="shared" ref="FQ146:FQ200" si="370">IF($B146="","",IF(OR($F$10="ანუიტეტური",$F$10="სამომხმარებლო"),FQ145,IF(AND($F$10="საშეღავათო",$B146&lt;=$G$12),FR146+FS146,IF(AND($F$10="საშეღავათო",$B146&gt;$G$12),FG146+FL146,IF(AND($F$10="ნულოვანი საშეღავათო",$B146&lt;=$G$12),FR146+FS146,IF(AND($F$10="ნულოვანი საშეღავათო",$B146&gt;$G$12,DA146&gt;ROUND(-PMT($H$22/$I$20,$H$20-$G$12,$CY$80),2)),DA146,FG146+FL146))))))</f>
        <v/>
      </c>
      <c r="FR146" s="109" t="str">
        <f t="shared" ref="FR146:FR200" si="371">IF($B146="","",IF(OR($F$10="ანუიტეტური",$F$10="სამომხმარებლო"),FQ146-FS146,IF(AND($F$10="საშეღავათო",$B146&gt;$G$12),FQ146-FS146,IF(AND($F$10="საშეღავათო",$B146&lt;=$G$12),0,IF(AND($F$10="ნულოვანი საშეღავათო",$B146&gt;$G$12),FQ146-FS146,IF(AND($F$10="ნულოვანი საშეღავათო",$B146&lt;=$G$12),0))))))</f>
        <v/>
      </c>
      <c r="FS146" s="109" t="str">
        <f t="shared" si="299"/>
        <v/>
      </c>
      <c r="FT146" s="110" t="str">
        <f t="shared" si="239"/>
        <v/>
      </c>
      <c r="FV146" s="108" t="str">
        <f t="shared" si="300"/>
        <v/>
      </c>
      <c r="FW146" s="109" t="str">
        <f t="shared" ref="FW146:FW200" si="372">IF($B146="","",FV146-FX146)</f>
        <v/>
      </c>
      <c r="FX146" s="109" t="str">
        <f t="shared" si="301"/>
        <v/>
      </c>
      <c r="FY146" s="110" t="str">
        <f t="shared" si="240"/>
        <v/>
      </c>
      <c r="GA146" s="108" t="str">
        <f t="shared" ref="GA146:GA200" si="373">IF($B146="","",IF(OR($F$10="ანუიტეტური",$F$10="სამომხმარებლო"),GA145,IF(AND($F$10="საშეღავათო",$B146&lt;=$G$12),GB146+GC146,IF(AND($F$10="საშეღავათო",$B146&gt;$G$12),FQ146+FV146,IF(AND($F$10="ნულოვანი საშეღავათო",$B146&lt;=$G$12),GB146+GC146,IF(AND($F$10="ნულოვანი საშეღავათო",$B146&gt;$G$12,DA146&gt;ROUND(-PMT($H$22/$I$20,$H$20-$G$12,$CY$80),2)),DA146,FQ146+FV146))))))</f>
        <v/>
      </c>
      <c r="GB146" s="109" t="str">
        <f t="shared" ref="GB146:GB200" si="374">IF($B146="","",IF(OR($F$10="ანუიტეტური",$F$10="სამომხმარებლო"),GA146-GC146,IF(AND($F$10="საშეღავათო",$B146&gt;$G$12),GA146-GC146,IF(AND($F$10="საშეღავათო",$B146&lt;=$G$12),0,IF(AND($F$10="ნულოვანი საშეღავათო",$B146&gt;$G$12),GA146-GC146,IF(AND($F$10="ნულოვანი საშეღავათო",$B146&lt;=$G$12),0))))))</f>
        <v/>
      </c>
      <c r="GC146" s="109" t="str">
        <f t="shared" si="302"/>
        <v/>
      </c>
      <c r="GD146" s="110" t="str">
        <f t="shared" si="241"/>
        <v/>
      </c>
      <c r="GF146" s="108" t="str">
        <f t="shared" si="303"/>
        <v/>
      </c>
      <c r="GG146" s="109" t="str">
        <f t="shared" ref="GG146:GG200" si="375">IF($B146="","",GF146-GH146)</f>
        <v/>
      </c>
      <c r="GH146" s="109" t="str">
        <f t="shared" si="304"/>
        <v/>
      </c>
      <c r="GI146" s="110" t="str">
        <f t="shared" si="242"/>
        <v/>
      </c>
      <c r="GK146" s="108" t="str">
        <f t="shared" ref="GK146:GK200" si="376">IF($B146="","",IF($B146=$H$20,GL146+GM146,IF(OR($F$10="ანუიტეტური",$F$10="სამომხმარებლო"),GK145,IF(AND($F$10="საშეღავათო",$B146&lt;=$G$12),GL146+GM146,IF(AND($F$10="საშეღავათო",$B146&gt;$G$12),GA146+GF146,IF(AND($F$10="ნულოვანი საშეღავათო",$B146&lt;=$G$12),GL146+GM146,IF(AND($F$10="ნულოვანი საშეღავათო",$B146&gt;$G$12,DA146&gt;ROUND(-PMT($H$22/$I$20,$H$20-$G$12,$CY$80),2)),DA146,GA146+GF146)))))))</f>
        <v/>
      </c>
      <c r="GL146" s="109" t="str">
        <f t="shared" ref="GL146:GL200" si="377">IF($B146="","",IF($B146=$H$20,GN145,IF(OR($F$10="ანუიტეტური",$F$10="სამომხმარებლო"),GK146-GM146,IF(AND($F$10="საშეღავათო",$B146&gt;$G$12),GK146-GM146,IF(AND($F$10="საშეღავათო",$B146&lt;=$G$12),0,IF(AND($F$10="ნულოვანი საშეღავათო",$B146&gt;$G$12),GK146-GM146,IF(AND($F$10="ნულოვანი საშეღავათო",$B146&lt;=$G$12),0)))))))</f>
        <v/>
      </c>
      <c r="GM146" s="109" t="str">
        <f t="shared" ref="GM146:GM200" si="378">IF($B146="","",IF(OR($F$10="ანუიტეტური",$F$10="სამომხმარებლო"),ROUND($H$22/$I$22*($C146-$C145)*GN145,2),IF($F$10="საშეღავათო",ROUND($H$22/$I$22*($C146-$C145)*GN145,2),IF(AND($F$10="ნულოვანი საშეღავათო",$B146&lt;=$G$12),0,IF(AND($F$10="ნულოვანი საშეღავათო",$B146=$G$12+1),ROUND($H$22/$I$22*($C146-$C$80)*GN145,2),IF(AND($F$10="ნულოვანი საშეღავათო",$B146&gt;$G$12),ROUND($H$22/$I$22*($C146-$C145)*GN145,2)))))))</f>
        <v/>
      </c>
      <c r="GN146" s="110" t="str">
        <f t="shared" si="243"/>
        <v/>
      </c>
      <c r="GR146" s="108" t="str">
        <f t="shared" si="305"/>
        <v/>
      </c>
      <c r="GS146" s="109" t="str">
        <f t="shared" si="306"/>
        <v/>
      </c>
      <c r="GT146" s="109" t="str">
        <f t="shared" si="307"/>
        <v/>
      </c>
      <c r="GU146" s="110" t="str">
        <f t="shared" si="308"/>
        <v/>
      </c>
      <c r="GV146" s="51"/>
      <c r="GW146" s="108" t="str">
        <f t="shared" si="309"/>
        <v/>
      </c>
      <c r="GX146" s="109" t="str">
        <f t="shared" ref="GX146:GX200" si="379">IF($K146="","",GW146-GY146)</f>
        <v/>
      </c>
      <c r="GY146" s="109" t="str">
        <f t="shared" si="310"/>
        <v/>
      </c>
      <c r="GZ146" s="110" t="str">
        <f t="shared" si="311"/>
        <v/>
      </c>
      <c r="HA146" s="51"/>
      <c r="HB146" s="108" t="str">
        <f t="shared" ref="HB146:HB200" si="380">IF($K146="","",IF(OR($O$28="ანუიტეტური",$O$28="სამომხმარებლო"),HB145,IF(AND($O$28="საშეღავათო",$K146&lt;=$Q$30),HC146+HD146,IF(AND($O$28="საშეღავათო",$K146&gt;$Q$30),GR146+GW146,IF(AND($O$28="ნულოვანი საშეღავათო",$K146&lt;=$Q$30),HC146+HD146,IF(AND($O$28="ნულოვანი საშეღავათო",$K146&gt;$Q$30,GT146&gt;ROUND(-PMT($P$34/$I$20,$R$32-$Q$30,$GR$80),2)),GT146,GR146+GW146))))))</f>
        <v/>
      </c>
      <c r="HC146" s="109" t="str">
        <f t="shared" ref="HC146:HC200" si="381">IF($K146="","",IF(OR($O$28="ანუიტეტური",$O$28="სამომხმარებლო"),HB146-HD146,IF(AND($O$28="საშეღავათო",$K146&gt;$Q$30),HB146-HD146,IF(AND($O$28="საშეღავათო",$K146&lt;=$Q$30),0,IF(AND($O$28="ნულოვანი საშეღავათო",$K146&gt;$Q$30),HB146-HD146,IF(AND($O$28="ნულოვანი საშეღავათო",$K146&lt;=$Q$30),0))))))</f>
        <v/>
      </c>
      <c r="HD146" s="109" t="str">
        <f t="shared" si="312"/>
        <v/>
      </c>
      <c r="HE146" s="110" t="str">
        <f t="shared" ref="HE146:HE200" si="382">IF($K146="","",HE145-HC146)</f>
        <v/>
      </c>
      <c r="HF146" s="51"/>
      <c r="HG146" s="108" t="str">
        <f t="shared" si="313"/>
        <v/>
      </c>
      <c r="HH146" s="109" t="str">
        <f t="shared" ref="HH146:HH200" si="383">IF($K146="","",HG146-HI146)</f>
        <v/>
      </c>
      <c r="HI146" s="109" t="str">
        <f t="shared" si="314"/>
        <v/>
      </c>
      <c r="HJ146" s="110" t="str">
        <f t="shared" si="193"/>
        <v/>
      </c>
      <c r="HK146" s="51"/>
      <c r="HL146" s="108" t="str">
        <f t="shared" ref="HL146:HL200" si="384">IF($K146="","",IF(OR($O$28="ანუიტეტური",$O$28="სამომხმარებლო"),HL145,IF(AND($O$28="საშეღავათო",$K146&lt;=$Q$30),HM146+HN146,IF(AND($O$28="საშეღავათო",$K146&gt;$Q$30),HB146+HG146,IF(AND($O$28="ნულოვანი საშეღავათო",$K146&lt;=$Q$30),HM146+HN146,IF(AND($O$28="ნულოვანი საშეღავათო",$K146&gt;$Q$30,HD146&gt;ROUND(-PMT($P$34/$I$20,$R$32-$Q$30,$GR$80),2)),HD146,HB146+HG146))))))</f>
        <v/>
      </c>
      <c r="HM146" s="109" t="str">
        <f t="shared" ref="HM146:HM200" si="385">IF($K146="","",IF(OR($O$28="ანუიტეტური",$O$28="სამომხმარებლო"),HL146-HN146,IF(AND($O$28="საშეღავათო",$K146&gt;$Q$30),HL146-HN146,IF(AND($O$28="საშეღავათო",$K146&lt;=$Q$30),0,IF(AND($O$28="ნულოვანი საშეღავათო",$K146&gt;$Q$30),HL146-HN146,IF(AND($O$28="ნულოვანი საშეღავათო",$K146&lt;=$Q$30),0))))))</f>
        <v/>
      </c>
      <c r="HN146" s="109" t="str">
        <f t="shared" si="315"/>
        <v/>
      </c>
      <c r="HO146" s="110" t="str">
        <f t="shared" ref="HO146:HO200" si="386">IF($K146="","",HO145-HM146)</f>
        <v/>
      </c>
      <c r="HP146" s="51"/>
      <c r="HQ146" s="108" t="str">
        <f t="shared" si="316"/>
        <v/>
      </c>
      <c r="HR146" s="109" t="str">
        <f t="shared" ref="HR146:HR200" si="387">IF($K146="","",HQ146-HS146)</f>
        <v/>
      </c>
      <c r="HS146" s="109" t="str">
        <f t="shared" si="317"/>
        <v/>
      </c>
      <c r="HT146" s="110" t="str">
        <f t="shared" si="194"/>
        <v/>
      </c>
      <c r="HU146" s="51"/>
      <c r="HV146" s="108" t="str">
        <f t="shared" ref="HV146:HV200" si="388">IF($K146="","",IF(OR($O$28="ანუიტეტური",$O$28="სამომხმარებლო"),HV145,IF(AND($O$28="საშეღავათო",$K146&lt;=$Q$30),HW146+HX146,IF(AND($O$28="საშეღავათო",$K146&gt;$Q$30),HL146+HQ146,IF(AND($O$28="ნულოვანი საშეღავათო",$K146&lt;=$Q$30),HW146+HX146,IF(AND($O$28="ნულოვანი საშეღავათო",$K146&gt;$Q$30,HN146&gt;ROUND(-PMT($P$34/$I$20,$R$32-$Q$30,$GR$80),2)),HN146,HL146+HQ146))))))</f>
        <v/>
      </c>
      <c r="HW146" s="109" t="str">
        <f t="shared" ref="HW146:HW200" si="389">IF($K146="","",IF(OR($O$28="ანუიტეტური",$O$28="სამომხმარებლო"),HV146-HX146,IF(AND($O$28="საშეღავათო",$K146&gt;$Q$30),HV146-HX146,IF(AND($O$28="საშეღავათო",$K146&lt;=$Q$30),0,IF(AND($O$28="ნულოვანი საშეღავათო",$K146&gt;$Q$30),HV146-HX146,IF(AND($O$28="ნულოვანი საშეღავათო",$K146&lt;=$Q$30),0))))))</f>
        <v/>
      </c>
      <c r="HX146" s="109" t="str">
        <f t="shared" si="318"/>
        <v/>
      </c>
      <c r="HY146" s="110" t="str">
        <f t="shared" ref="HY146:HY200" si="390">IF($K146="","",HY145-HW146)</f>
        <v/>
      </c>
      <c r="HZ146" s="51"/>
      <c r="IA146" s="108" t="str">
        <f t="shared" si="319"/>
        <v/>
      </c>
      <c r="IB146" s="109" t="str">
        <f t="shared" ref="IB146:IB200" si="391">IF($K146="","",IA146-IC146)</f>
        <v/>
      </c>
      <c r="IC146" s="109" t="str">
        <f t="shared" si="320"/>
        <v/>
      </c>
      <c r="ID146" s="110" t="str">
        <f t="shared" si="195"/>
        <v/>
      </c>
      <c r="IE146" s="51"/>
      <c r="IF146" s="108" t="str">
        <f t="shared" ref="IF146:IF200" si="392">IF($K146="","",IF(OR($O$28="ანუიტეტური",$O$28="სამომხმარებლო"),IF145,IF(AND($O$28="საშეღავათო",$K146&lt;=$Q$30),IG146+IH146,IF(AND($O$28="საშეღავათო",$K146&gt;$Q$30),HV146+IA146,IF(AND($O$28="ნულოვანი საშეღავათო",$K146&lt;=$Q$30),IG146+IH146,IF(AND($O$28="ნულოვანი საშეღავათო",$K146&gt;$Q$30,HX146&gt;ROUND(-PMT($P$34/$I$20,$R$32-$Q$30,$GR$80),2)),HX146,HV146+IA146))))))</f>
        <v/>
      </c>
      <c r="IG146" s="109" t="str">
        <f t="shared" ref="IG146:IG200" si="393">IF($K146="","",IF(OR($O$28="ანუიტეტური",$O$28="სამომხმარებლო"),IF146-IH146,IF(AND($O$28="საშეღავათო",$K146&gt;$Q$30),IF146-IH146,IF(AND($O$28="საშეღავათო",$K146&lt;=$Q$30),0,IF(AND($O$28="ნულოვანი საშეღავათო",$K146&gt;$Q$30),IF146-IH146,IF(AND($O$28="ნულოვანი საშეღავათო",$K146&lt;=$Q$30),0))))))</f>
        <v/>
      </c>
      <c r="IH146" s="109" t="str">
        <f t="shared" si="321"/>
        <v/>
      </c>
      <c r="II146" s="110" t="str">
        <f t="shared" ref="II146:II200" si="394">IF($K146="","",II145-IG146)</f>
        <v/>
      </c>
      <c r="IJ146" s="51"/>
      <c r="IK146" s="108" t="str">
        <f t="shared" si="322"/>
        <v/>
      </c>
      <c r="IL146" s="109" t="str">
        <f t="shared" ref="IL146:IL200" si="395">IF($K146="","",IK146-IM146)</f>
        <v/>
      </c>
      <c r="IM146" s="109" t="str">
        <f t="shared" si="323"/>
        <v/>
      </c>
      <c r="IN146" s="110" t="str">
        <f t="shared" si="196"/>
        <v/>
      </c>
      <c r="IO146" s="51"/>
      <c r="IP146" s="108" t="str">
        <f t="shared" ref="IP146:IP200" si="396">IF($K146="","",IF(OR($O$28="ანუიტეტური",$O$28="სამომხმარებლო"),IP145,IF(AND($O$28="საშეღავათო",$K146&lt;=$Q$30),IQ146+IR146,IF(AND($O$28="საშეღავათო",$K146&gt;$Q$30),IF146+IK146,IF(AND($O$28="ნულოვანი საშეღავათო",$K146&lt;=$Q$30),IQ146+IR146,IF(AND($O$28="ნულოვანი საშეღავათო",$K146&gt;$Q$30,IH146&gt;ROUND(-PMT($P$34/$I$20,$R$32-$Q$30,$GR$80),2)),IH146,IF146+IK146))))))</f>
        <v/>
      </c>
      <c r="IQ146" s="109" t="str">
        <f t="shared" ref="IQ146:IQ200" si="397">IF($K146="","",IF(OR($O$28="ანუიტეტური",$O$28="სამომხმარებლო"),IP146-IR146,IF(AND($O$28="საშეღავათო",$K146&gt;$Q$30),IP146-IR146,IF(AND($O$28="საშეღავათო",$K146&lt;=$Q$30),0,IF(AND($O$28="ნულოვანი საშეღავათო",$K146&gt;$Q$30),IP146-IR146,IF(AND($O$28="ნულოვანი საშეღავათო",$K146&lt;=$Q$30),0))))))</f>
        <v/>
      </c>
      <c r="IR146" s="109" t="str">
        <f t="shared" si="324"/>
        <v/>
      </c>
      <c r="IS146" s="110" t="str">
        <f t="shared" ref="IS146:IS200" si="398">IF($K146="","",IS145-IQ146)</f>
        <v/>
      </c>
      <c r="IT146" s="51"/>
      <c r="IU146" s="108" t="str">
        <f t="shared" si="325"/>
        <v/>
      </c>
      <c r="IV146" s="109" t="str">
        <f t="shared" ref="IV146:IV200" si="399">IF($K146="","",IU146-IW146)</f>
        <v/>
      </c>
      <c r="IW146" s="109" t="str">
        <f t="shared" si="326"/>
        <v/>
      </c>
      <c r="IX146" s="110" t="str">
        <f t="shared" si="197"/>
        <v/>
      </c>
      <c r="IY146" s="51"/>
      <c r="IZ146" s="108" t="str">
        <f t="shared" ref="IZ146:IZ200" si="400">IF($K146="","",IF(OR($O$28="ანუიტეტური",$O$28="სამომხმარებლო"),IZ145,IF(AND($O$28="საშეღავათო",$K146&lt;=$Q$30),JA146+JB146,IF(AND($O$28="საშეღავათო",$K146&gt;$Q$30),IP146+IU146,IF(AND($O$28="ნულოვანი საშეღავათო",$K146&lt;=$Q$30),JA146+JB146,IF(AND($O$28="ნულოვანი საშეღავათო",$K146&gt;$Q$30,IR146&gt;ROUND(-PMT($P$34/$I$20,$R$32-$Q$30,$GR$80),2)),IR146,IP146+IU146))))))</f>
        <v/>
      </c>
      <c r="JA146" s="109" t="str">
        <f t="shared" ref="JA146:JA200" si="401">IF($K146="","",IF(OR($O$28="ანუიტეტური",$O$28="სამომხმარებლო"),IZ146-JB146,IF(AND($O$28="საშეღავათო",$K146&gt;$Q$30),IZ146-JB146,IF(AND($O$28="საშეღავათო",$K146&lt;=$Q$30),0,IF(AND($O$28="ნულოვანი საშეღავათო",$K146&gt;$Q$30),IZ146-JB146,IF(AND($O$28="ნულოვანი საშეღავათო",$K146&lt;=$Q$30),0))))))</f>
        <v/>
      </c>
      <c r="JB146" s="109" t="str">
        <f t="shared" si="327"/>
        <v/>
      </c>
      <c r="JC146" s="110" t="str">
        <f t="shared" ref="JC146:JC200" si="402">IF($K146="","",JC145-JA146)</f>
        <v/>
      </c>
      <c r="JD146" s="51"/>
      <c r="JE146" s="108" t="str">
        <f t="shared" si="328"/>
        <v/>
      </c>
      <c r="JF146" s="109" t="str">
        <f t="shared" ref="JF146:JF200" si="403">IF($K146="","",JE146-JG146)</f>
        <v/>
      </c>
      <c r="JG146" s="109" t="str">
        <f t="shared" si="329"/>
        <v/>
      </c>
      <c r="JH146" s="110" t="str">
        <f t="shared" si="198"/>
        <v/>
      </c>
      <c r="JI146" s="51"/>
      <c r="JJ146" s="108" t="str">
        <f t="shared" ref="JJ146:JJ200" si="404">IF($K146="","",IF(OR($O$28="ანუიტეტური",$O$28="სამომხმარებლო"),JJ145,IF(AND($O$28="საშეღავათო",$K146&lt;=$Q$30),JK146+JL146,IF(AND($O$28="საშეღავათო",$K146&gt;$Q$30),IZ146+JE146,IF(AND($O$28="ნულოვანი საშეღავათო",$K146&lt;=$Q$30),JK146+JL146,IF(AND($O$28="ნულოვანი საშეღავათო",$K146&gt;$Q$30,JB146&gt;ROUND(-PMT($P$34/$I$20,$R$32-$Q$30,$GR$80),2)),JB146,IZ146+JE146))))))</f>
        <v/>
      </c>
      <c r="JK146" s="109" t="str">
        <f t="shared" ref="JK146:JK200" si="405">IF($K146="","",IF(OR($O$28="ანუიტეტური",$O$28="სამომხმარებლო"),JJ146-JL146,IF(AND($O$28="საშეღავათო",$K146&gt;$Q$30),JJ146-JL146,IF(AND($O$28="საშეღავათო",$K146&lt;=$Q$30),0,IF(AND($O$28="ნულოვანი საშეღავათო",$K146&gt;$Q$30),JJ146-JL146,IF(AND($O$28="ნულოვანი საშეღავათო",$K146&lt;=$Q$30),0))))))</f>
        <v/>
      </c>
      <c r="JL146" s="109" t="str">
        <f t="shared" si="330"/>
        <v/>
      </c>
      <c r="JM146" s="110" t="str">
        <f t="shared" ref="JM146:JM200" si="406">IF($K146="","",JM145-JK146)</f>
        <v/>
      </c>
      <c r="JN146" s="51"/>
      <c r="JO146" s="108" t="str">
        <f t="shared" si="331"/>
        <v/>
      </c>
      <c r="JP146" s="109" t="str">
        <f t="shared" ref="JP146:JP200" si="407">IF($K146="","",JO146-JQ146)</f>
        <v/>
      </c>
      <c r="JQ146" s="109" t="str">
        <f t="shared" si="332"/>
        <v/>
      </c>
      <c r="JR146" s="110" t="str">
        <f t="shared" si="199"/>
        <v/>
      </c>
      <c r="JS146" s="51"/>
      <c r="JT146" s="108" t="str">
        <f t="shared" ref="JT146:JT200" si="408">IF($K146="","",IF(OR($O$28="ანუიტეტური",$O$28="სამომხმარებლო"),JT145,IF(AND($O$28="საშეღავათო",$K146&lt;=$Q$30),JU146+JV146,IF(AND($O$28="საშეღავათო",$K146&gt;$Q$30),JJ146+JO146,IF(AND($O$28="ნულოვანი საშეღავათო",$K146&lt;=$Q$30),JU146+JV146,IF(AND($O$28="ნულოვანი საშეღავათო",$K146&gt;$Q$30,JL146&gt;ROUND(-PMT($P$34/$I$20,$R$32-$Q$30,$GR$80),2)),JL146,JJ146+JO146))))))</f>
        <v/>
      </c>
      <c r="JU146" s="109" t="str">
        <f t="shared" ref="JU146:JU200" si="409">IF($K146="","",IF(OR($O$28="ანუიტეტური",$O$28="სამომხმარებლო"),JT146-JV146,IF(AND($O$28="საშეღავათო",$K146&gt;$Q$30),JT146-JV146,IF(AND($O$28="საშეღავათო",$K146&lt;=$Q$30),0,IF(AND($O$28="ნულოვანი საშეღავათო",$K146&gt;$Q$30),JT146-JV146,IF(AND($O$28="ნულოვანი საშეღავათო",$K146&lt;=$Q$30),0))))))</f>
        <v/>
      </c>
      <c r="JV146" s="109" t="str">
        <f t="shared" si="333"/>
        <v/>
      </c>
      <c r="JW146" s="110" t="str">
        <f t="shared" ref="JW146:JW200" si="410">IF($K146="","",JW145-JU146)</f>
        <v/>
      </c>
      <c r="JX146" s="51"/>
      <c r="JY146" s="108" t="str">
        <f t="shared" si="334"/>
        <v/>
      </c>
      <c r="JZ146" s="109" t="str">
        <f t="shared" ref="JZ146:JZ200" si="411">IF($K146="","",JY146-KA146)</f>
        <v/>
      </c>
      <c r="KA146" s="109" t="str">
        <f t="shared" si="335"/>
        <v/>
      </c>
      <c r="KB146" s="110" t="str">
        <f t="shared" si="200"/>
        <v/>
      </c>
      <c r="KC146" s="51"/>
      <c r="KD146" s="108" t="str">
        <f t="shared" ref="KD146:KD200" si="412">IF($K146="","",IF($K146=$R$32,KE146+KF146,IF(OR($O$28="ანუიტეტური",$O$28="სამომხმარებლო"),KD145,IF(AND($O$28="საშეღავათო",$K146&lt;=$Q$30),KE146+KF146,IF(AND($O$28="საშეღავათო",$K146&gt;$Q$30),JT146+JY146,IF(AND($O$28="ნულოვანი საშეღავათო",$K146&lt;=$Q$30),KE146+KF146,IF(AND($O$28="ნულოვანი საშეღავათო",$K146&gt;$Q$30,GT146&gt;ROUND(-PMT($P$34/$I$20,$R$32-$Q$30,$CY$80),2)),GT146,JT146+JY146)))))))</f>
        <v/>
      </c>
      <c r="KE146" s="109" t="str">
        <f t="shared" ref="KE146:KE200" si="413">IF($K146="","",IF($K146=$R$32,KG145,IF(OR($O$28="ანუიტეტური",$O$28="სამომხმარებლო"),KD146-KF146,IF(AND($O$28="საშეღავათო",$K146&gt;$Q$30),KD146-KF146,IF(AND($O$28="საშეღავათო",$K146&lt;=$Q$30),0,IF(AND($O$28="ნულოვანი საშეღავათო",$K146&gt;$Q$30),KD146-KF146,IF(AND($O$28="ნულოვანი საშეღავათო",$K146&lt;=$Q$30),0)))))))</f>
        <v/>
      </c>
      <c r="KF146" s="109" t="str">
        <f t="shared" si="336"/>
        <v/>
      </c>
      <c r="KG146" s="110" t="str">
        <f t="shared" si="337"/>
        <v/>
      </c>
    </row>
    <row r="147" spans="1:293" ht="12" customHeight="1">
      <c r="A147" s="105">
        <f t="array" ref="A147">MAX(IF($J$80:J146&gt;0,$C$80:C146,0))</f>
        <v>43535</v>
      </c>
      <c r="B147" s="81" t="str">
        <f t="shared" si="248"/>
        <v/>
      </c>
      <c r="C147" s="82">
        <f t="shared" ref="C147:C200" si="414">IF(B147="",0,IF(OR($F$36="ფიქსირებული",AND($F$36="თვის ბოლო",B147=$H$20)),IF(OR(WEEKDAY(EDATE(DATE($F$32,$G$32,$H$36),B147-$B$82),2)=6,WEEKDAY(EDATE(DATE($F$32,$G$32,$H$36),B147-$B$82),2)=7,IF(EDATE(DATE($F$32,$G$32,$H$36),B147-$B$82)=IFERROR(VLOOKUP(EDATE(DATE($F$32,$G$32,$H$36),B147-$B$82),$BK$80:$BK$624,1,FALSE),0),1,0)=1),WORKDAY(EDATE(DATE($F$32,$G$32,$H$36),B147-$B$82),1,$BK$80:$BK$624),EDATE(DATE($F$32,$G$32,$H$36),B147-$B$82)),IF(OR(WEEKDAY(EOMONTH(DATE($F$28,$G$28,$H$28),B147),2)=6,WEEKDAY(EOMONTH(DATE($F$28,$G$28,$H$28),B147),2)=7,IF(EOMONTH(DATE($F$28,$G$28,$H$28),B147)=IFERROR(VLOOKUP(EOMONTH(DATE($F$28,$G$28,$H$28),B147),$BK$80:$BK$624,1,FALSE),0),1,0)=1),WORKDAY(EOMONTH(DATE($F$28,$G$28,$H$28),B147),1,$BK$80:$BK$624),EOMONTH(DATE($F$28,$G$28,$H$28),B147))))</f>
        <v>0</v>
      </c>
      <c r="D147" s="83" t="str">
        <f t="shared" si="249"/>
        <v/>
      </c>
      <c r="E147" s="83" t="str">
        <f t="shared" si="338"/>
        <v/>
      </c>
      <c r="F147" s="83" t="str">
        <f t="shared" si="250"/>
        <v/>
      </c>
      <c r="G147" s="83" t="str">
        <f t="shared" si="251"/>
        <v/>
      </c>
      <c r="H147" s="83" t="str">
        <f t="shared" si="252"/>
        <v/>
      </c>
      <c r="I147" s="105">
        <f t="array" ref="I147">MAX(IF($R$80:R146&gt;0,$L$80:L146,0))</f>
        <v>0</v>
      </c>
      <c r="J147" s="106"/>
      <c r="K147" s="2" t="str">
        <f t="shared" si="253"/>
        <v/>
      </c>
      <c r="L147" s="82">
        <f t="shared" ref="L147:L200" si="415">IFERROR(IF(K147="",0,IF(OR($F$52="ფიქსირებული",AND($F$52="თვის ბოლო",K147=$R$32)),IF(OR(WEEKDAY(EDATE(DATE($F$50,$G$50,$H$52),K147-$K$82),2)=6,WEEKDAY(EDATE(DATE($F$50,$G$50,$H$52),K147-$K$82),2)=7,IF(EDATE(DATE($F$50,$G$50,$H$52),K147-$K$82)=IFERROR(VLOOKUP(EDATE(DATE($F$50,$G$50,$H$52),K147-$K$82),$BK$80:$BK$624,1,FALSE),0),1,0)=1),WORKDAY(EDATE(DATE($F$50,$G$50,$H$52),K147-$K$82),1,$BK$80:$BK$624),EDATE(DATE($F$50,$G$50,$H$52),K147-$K$82)),IF(OR(WEEKDAY(EOMONTH(DATE($F$46,$G$46,$H$46),K147),2)=6,WEEKDAY(EOMONTH(DATE($F$46,$G$46,$H$46),K147),2)=7,IF(EOMONTH(DATE($F$46,$G$46,$H$46),K147)=IFERROR(VLOOKUP(EOMONTH(DATE($F$46,$G$46,$H$46),K147),$BK$80:$BK$624,1,FALSE),0),1,0)=1),WORKDAY(EOMONTH(DATE($F$46,$G$46,$H$46),K147),1,$BK$80:$BK$624),EOMONTH(DATE($F$46,$G$46,$H$46),K147)))),0)</f>
        <v>0</v>
      </c>
      <c r="M147" s="83" t="str">
        <f t="shared" si="254"/>
        <v/>
      </c>
      <c r="N147" s="83" t="str">
        <f t="shared" si="255"/>
        <v/>
      </c>
      <c r="O147" s="83" t="str">
        <f t="shared" si="256"/>
        <v/>
      </c>
      <c r="P147" s="83" t="str">
        <f t="shared" si="257"/>
        <v/>
      </c>
      <c r="Q147" s="83" t="str">
        <f t="shared" si="258"/>
        <v/>
      </c>
      <c r="R147" s="106"/>
      <c r="S147" s="1"/>
      <c r="U147" s="85" t="e">
        <f t="shared" si="244"/>
        <v>#NUM!</v>
      </c>
      <c r="V147" s="86" t="e">
        <f t="shared" si="339"/>
        <v>#NUM!</v>
      </c>
      <c r="W147" s="87" t="e">
        <f t="shared" si="259"/>
        <v>#NUM!</v>
      </c>
      <c r="X147" s="87" t="e">
        <f t="shared" si="260"/>
        <v>#NUM!</v>
      </c>
      <c r="Y147" s="87" t="e">
        <f t="shared" si="261"/>
        <v>#NUM!</v>
      </c>
      <c r="Z147" s="88" t="e">
        <f t="shared" si="245"/>
        <v>#NUM!</v>
      </c>
      <c r="AA147" t="s">
        <v>282</v>
      </c>
      <c r="AB147" s="89">
        <f t="shared" si="340"/>
        <v>0</v>
      </c>
      <c r="AC147" s="87">
        <f t="shared" si="262"/>
        <v>0</v>
      </c>
      <c r="AD147" s="87" t="str">
        <f t="shared" si="263"/>
        <v/>
      </c>
      <c r="AE147" s="87" t="str">
        <f t="shared" si="264"/>
        <v/>
      </c>
      <c r="AF147" s="86">
        <f t="shared" si="341"/>
        <v>0</v>
      </c>
      <c r="AG147" s="87">
        <f t="shared" si="246"/>
        <v>0</v>
      </c>
      <c r="AH147" s="87">
        <f t="shared" si="342"/>
        <v>0</v>
      </c>
      <c r="AI147" s="90"/>
      <c r="AJ147" s="87" t="e">
        <f t="shared" si="265"/>
        <v>#NUM!</v>
      </c>
      <c r="AK147" s="87" t="e">
        <f t="shared" si="343"/>
        <v>#NUM!</v>
      </c>
      <c r="AL147" s="87" t="e">
        <f t="shared" si="344"/>
        <v>#NUM!</v>
      </c>
      <c r="AM147" s="87" t="e">
        <f t="shared" si="345"/>
        <v>#NUM!</v>
      </c>
      <c r="AN147" s="86">
        <f t="shared" si="266"/>
        <v>0</v>
      </c>
      <c r="AO147" s="87">
        <f t="shared" si="267"/>
        <v>0</v>
      </c>
      <c r="AP147" s="88">
        <f t="shared" si="268"/>
        <v>0</v>
      </c>
      <c r="AR147" s="91">
        <f t="shared" si="269"/>
        <v>0</v>
      </c>
      <c r="AS147" s="92">
        <f t="shared" si="270"/>
        <v>0</v>
      </c>
      <c r="AT147" s="87" t="str">
        <f t="shared" si="271"/>
        <v/>
      </c>
      <c r="AU147" s="87" t="str">
        <f t="shared" si="272"/>
        <v/>
      </c>
      <c r="AV147" s="86">
        <f t="shared" si="346"/>
        <v>0</v>
      </c>
      <c r="AW147" s="87">
        <f t="shared" si="347"/>
        <v>0</v>
      </c>
      <c r="AX147" s="87">
        <f t="shared" si="348"/>
        <v>0</v>
      </c>
      <c r="AY147" s="93"/>
      <c r="AZ147" s="87">
        <f t="shared" si="201"/>
        <v>0</v>
      </c>
      <c r="BA147" s="87">
        <f t="shared" si="349"/>
        <v>0</v>
      </c>
      <c r="BB147" s="87">
        <f t="shared" si="350"/>
        <v>0</v>
      </c>
      <c r="BC147" s="87">
        <f t="shared" ref="BC147:BC200" si="416">IFERROR(IF(OR($F$46="",DATE($F$34,$G$34,$H$34)&lt;=DATE($F$46,$G$46,$H$46)),0,IF(OR($O$28="ბიზნეს ოვერდრაფტი",$O$28="საკრედიტო ბარათი"),IF(M147&lt;&gt;"",(IF($P$32="GEL",M147,M147*$Q$32)*($BJ$81+(L147-$L$80)*$BJ$82)),0),"")),0)</f>
        <v>0</v>
      </c>
      <c r="BD147" s="86" t="e">
        <f t="shared" si="273"/>
        <v>#NUM!</v>
      </c>
      <c r="BE147" s="87" t="e">
        <f t="shared" si="247"/>
        <v>#NUM!</v>
      </c>
      <c r="BF147" s="88">
        <f t="shared" si="351"/>
        <v>0</v>
      </c>
      <c r="BH147" s="87" t="e">
        <f t="shared" si="274"/>
        <v>#NUM!</v>
      </c>
      <c r="BK147" s="95">
        <v>41015</v>
      </c>
      <c r="BL147" s="96">
        <v>68</v>
      </c>
      <c r="CY147" s="108" t="str">
        <f t="shared" si="275"/>
        <v/>
      </c>
      <c r="CZ147" s="109" t="str">
        <f t="shared" si="276"/>
        <v/>
      </c>
      <c r="DA147" s="109" t="str">
        <f t="shared" si="277"/>
        <v/>
      </c>
      <c r="DB147" s="110" t="str">
        <f t="shared" si="225"/>
        <v/>
      </c>
      <c r="DD147" s="108" t="str">
        <f t="shared" si="278"/>
        <v/>
      </c>
      <c r="DE147" s="109" t="str">
        <f t="shared" si="352"/>
        <v/>
      </c>
      <c r="DF147" s="109" t="str">
        <f t="shared" si="279"/>
        <v/>
      </c>
      <c r="DG147" s="110" t="str">
        <f t="shared" si="226"/>
        <v/>
      </c>
      <c r="DI147" s="108" t="str">
        <f t="shared" si="353"/>
        <v/>
      </c>
      <c r="DJ147" s="109" t="str">
        <f t="shared" si="354"/>
        <v/>
      </c>
      <c r="DK147" s="109" t="str">
        <f t="shared" si="280"/>
        <v/>
      </c>
      <c r="DL147" s="110" t="str">
        <f t="shared" si="227"/>
        <v/>
      </c>
      <c r="DN147" s="108" t="str">
        <f t="shared" si="281"/>
        <v/>
      </c>
      <c r="DO147" s="109" t="str">
        <f t="shared" si="282"/>
        <v/>
      </c>
      <c r="DP147" s="109" t="str">
        <f t="shared" si="283"/>
        <v/>
      </c>
      <c r="DQ147" s="110" t="str">
        <f t="shared" si="228"/>
        <v/>
      </c>
      <c r="DS147" s="108" t="str">
        <f t="shared" si="355"/>
        <v/>
      </c>
      <c r="DT147" s="109" t="str">
        <f t="shared" si="356"/>
        <v/>
      </c>
      <c r="DU147" s="109" t="str">
        <f t="shared" si="284"/>
        <v/>
      </c>
      <c r="DV147" s="110" t="str">
        <f t="shared" si="229"/>
        <v/>
      </c>
      <c r="DX147" s="108" t="str">
        <f t="shared" si="285"/>
        <v/>
      </c>
      <c r="DY147" s="109" t="str">
        <f t="shared" si="357"/>
        <v/>
      </c>
      <c r="DZ147" s="109" t="str">
        <f t="shared" si="286"/>
        <v/>
      </c>
      <c r="EA147" s="110" t="str">
        <f t="shared" si="230"/>
        <v/>
      </c>
      <c r="EC147" s="108" t="str">
        <f t="shared" si="358"/>
        <v/>
      </c>
      <c r="ED147" s="109" t="str">
        <f t="shared" si="359"/>
        <v/>
      </c>
      <c r="EE147" s="109" t="str">
        <f t="shared" si="287"/>
        <v/>
      </c>
      <c r="EF147" s="110" t="str">
        <f t="shared" si="231"/>
        <v/>
      </c>
      <c r="EH147" s="108" t="str">
        <f t="shared" si="288"/>
        <v/>
      </c>
      <c r="EI147" s="109" t="str">
        <f t="shared" si="360"/>
        <v/>
      </c>
      <c r="EJ147" s="109" t="str">
        <f t="shared" si="289"/>
        <v/>
      </c>
      <c r="EK147" s="110" t="str">
        <f t="shared" si="232"/>
        <v/>
      </c>
      <c r="EM147" s="108" t="str">
        <f t="shared" si="361"/>
        <v/>
      </c>
      <c r="EN147" s="109" t="str">
        <f t="shared" si="362"/>
        <v/>
      </c>
      <c r="EO147" s="109" t="str">
        <f t="shared" si="290"/>
        <v/>
      </c>
      <c r="EP147" s="110" t="str">
        <f t="shared" si="233"/>
        <v/>
      </c>
      <c r="ER147" s="108" t="str">
        <f t="shared" si="291"/>
        <v/>
      </c>
      <c r="ES147" s="109" t="str">
        <f t="shared" si="363"/>
        <v/>
      </c>
      <c r="ET147" s="109" t="str">
        <f t="shared" si="292"/>
        <v/>
      </c>
      <c r="EU147" s="110" t="str">
        <f t="shared" si="234"/>
        <v/>
      </c>
      <c r="EW147" s="108" t="str">
        <f t="shared" si="364"/>
        <v/>
      </c>
      <c r="EX147" s="109" t="str">
        <f t="shared" si="365"/>
        <v/>
      </c>
      <c r="EY147" s="109" t="str">
        <f t="shared" si="293"/>
        <v/>
      </c>
      <c r="EZ147" s="110" t="str">
        <f t="shared" si="235"/>
        <v/>
      </c>
      <c r="FB147" s="108" t="str">
        <f t="shared" si="294"/>
        <v/>
      </c>
      <c r="FC147" s="109" t="str">
        <f t="shared" si="366"/>
        <v/>
      </c>
      <c r="FD147" s="109" t="str">
        <f t="shared" si="295"/>
        <v/>
      </c>
      <c r="FE147" s="110" t="str">
        <f t="shared" si="236"/>
        <v/>
      </c>
      <c r="FG147" s="108" t="str">
        <f t="shared" si="367"/>
        <v/>
      </c>
      <c r="FH147" s="109" t="str">
        <f t="shared" si="368"/>
        <v/>
      </c>
      <c r="FI147" s="109" t="str">
        <f t="shared" si="296"/>
        <v/>
      </c>
      <c r="FJ147" s="110" t="str">
        <f t="shared" si="237"/>
        <v/>
      </c>
      <c r="FL147" s="108" t="str">
        <f t="shared" si="297"/>
        <v/>
      </c>
      <c r="FM147" s="109" t="str">
        <f t="shared" si="369"/>
        <v/>
      </c>
      <c r="FN147" s="109" t="str">
        <f t="shared" si="298"/>
        <v/>
      </c>
      <c r="FO147" s="110" t="str">
        <f t="shared" si="238"/>
        <v/>
      </c>
      <c r="FQ147" s="108" t="str">
        <f t="shared" si="370"/>
        <v/>
      </c>
      <c r="FR147" s="109" t="str">
        <f t="shared" si="371"/>
        <v/>
      </c>
      <c r="FS147" s="109" t="str">
        <f t="shared" si="299"/>
        <v/>
      </c>
      <c r="FT147" s="110" t="str">
        <f t="shared" si="239"/>
        <v/>
      </c>
      <c r="FV147" s="108" t="str">
        <f t="shared" si="300"/>
        <v/>
      </c>
      <c r="FW147" s="109" t="str">
        <f t="shared" si="372"/>
        <v/>
      </c>
      <c r="FX147" s="109" t="str">
        <f t="shared" si="301"/>
        <v/>
      </c>
      <c r="FY147" s="110" t="str">
        <f t="shared" si="240"/>
        <v/>
      </c>
      <c r="GA147" s="108" t="str">
        <f t="shared" si="373"/>
        <v/>
      </c>
      <c r="GB147" s="109" t="str">
        <f t="shared" si="374"/>
        <v/>
      </c>
      <c r="GC147" s="109" t="str">
        <f t="shared" si="302"/>
        <v/>
      </c>
      <c r="GD147" s="110" t="str">
        <f t="shared" si="241"/>
        <v/>
      </c>
      <c r="GF147" s="108" t="str">
        <f t="shared" si="303"/>
        <v/>
      </c>
      <c r="GG147" s="109" t="str">
        <f t="shared" si="375"/>
        <v/>
      </c>
      <c r="GH147" s="109" t="str">
        <f t="shared" si="304"/>
        <v/>
      </c>
      <c r="GI147" s="110" t="str">
        <f t="shared" si="242"/>
        <v/>
      </c>
      <c r="GK147" s="108" t="str">
        <f t="shared" si="376"/>
        <v/>
      </c>
      <c r="GL147" s="109" t="str">
        <f t="shared" si="377"/>
        <v/>
      </c>
      <c r="GM147" s="109" t="str">
        <f t="shared" si="378"/>
        <v/>
      </c>
      <c r="GN147" s="110" t="str">
        <f t="shared" si="243"/>
        <v/>
      </c>
      <c r="GR147" s="108" t="str">
        <f t="shared" si="305"/>
        <v/>
      </c>
      <c r="GS147" s="109" t="str">
        <f t="shared" si="306"/>
        <v/>
      </c>
      <c r="GT147" s="109" t="str">
        <f t="shared" si="307"/>
        <v/>
      </c>
      <c r="GU147" s="110" t="str">
        <f t="shared" si="308"/>
        <v/>
      </c>
      <c r="GV147" s="51"/>
      <c r="GW147" s="108" t="str">
        <f t="shared" si="309"/>
        <v/>
      </c>
      <c r="GX147" s="109" t="str">
        <f t="shared" si="379"/>
        <v/>
      </c>
      <c r="GY147" s="109" t="str">
        <f t="shared" si="310"/>
        <v/>
      </c>
      <c r="GZ147" s="110" t="str">
        <f t="shared" si="311"/>
        <v/>
      </c>
      <c r="HA147" s="51"/>
      <c r="HB147" s="108" t="str">
        <f t="shared" si="380"/>
        <v/>
      </c>
      <c r="HC147" s="109" t="str">
        <f t="shared" si="381"/>
        <v/>
      </c>
      <c r="HD147" s="109" t="str">
        <f t="shared" si="312"/>
        <v/>
      </c>
      <c r="HE147" s="110" t="str">
        <f t="shared" si="382"/>
        <v/>
      </c>
      <c r="HF147" s="51"/>
      <c r="HG147" s="108" t="str">
        <f t="shared" si="313"/>
        <v/>
      </c>
      <c r="HH147" s="109" t="str">
        <f t="shared" si="383"/>
        <v/>
      </c>
      <c r="HI147" s="109" t="str">
        <f t="shared" si="314"/>
        <v/>
      </c>
      <c r="HJ147" s="110" t="str">
        <f t="shared" ref="HJ147:HJ200" si="417">IF($K147="","",HJ146-HH147)</f>
        <v/>
      </c>
      <c r="HK147" s="51"/>
      <c r="HL147" s="108" t="str">
        <f t="shared" si="384"/>
        <v/>
      </c>
      <c r="HM147" s="109" t="str">
        <f t="shared" si="385"/>
        <v/>
      </c>
      <c r="HN147" s="109" t="str">
        <f t="shared" si="315"/>
        <v/>
      </c>
      <c r="HO147" s="110" t="str">
        <f t="shared" si="386"/>
        <v/>
      </c>
      <c r="HP147" s="51"/>
      <c r="HQ147" s="108" t="str">
        <f t="shared" si="316"/>
        <v/>
      </c>
      <c r="HR147" s="109" t="str">
        <f t="shared" si="387"/>
        <v/>
      </c>
      <c r="HS147" s="109" t="str">
        <f t="shared" si="317"/>
        <v/>
      </c>
      <c r="HT147" s="110" t="str">
        <f t="shared" ref="HT147:HT200" si="418">IF($K147="","",HT146-HR147)</f>
        <v/>
      </c>
      <c r="HU147" s="51"/>
      <c r="HV147" s="108" t="str">
        <f t="shared" si="388"/>
        <v/>
      </c>
      <c r="HW147" s="109" t="str">
        <f t="shared" si="389"/>
        <v/>
      </c>
      <c r="HX147" s="109" t="str">
        <f t="shared" si="318"/>
        <v/>
      </c>
      <c r="HY147" s="110" t="str">
        <f t="shared" si="390"/>
        <v/>
      </c>
      <c r="HZ147" s="51"/>
      <c r="IA147" s="108" t="str">
        <f t="shared" si="319"/>
        <v/>
      </c>
      <c r="IB147" s="109" t="str">
        <f t="shared" si="391"/>
        <v/>
      </c>
      <c r="IC147" s="109" t="str">
        <f t="shared" si="320"/>
        <v/>
      </c>
      <c r="ID147" s="110" t="str">
        <f t="shared" ref="ID147:ID200" si="419">IF($K147="","",ID146-IB147)</f>
        <v/>
      </c>
      <c r="IE147" s="51"/>
      <c r="IF147" s="108" t="str">
        <f t="shared" si="392"/>
        <v/>
      </c>
      <c r="IG147" s="109" t="str">
        <f t="shared" si="393"/>
        <v/>
      </c>
      <c r="IH147" s="109" t="str">
        <f t="shared" si="321"/>
        <v/>
      </c>
      <c r="II147" s="110" t="str">
        <f t="shared" si="394"/>
        <v/>
      </c>
      <c r="IJ147" s="51"/>
      <c r="IK147" s="108" t="str">
        <f t="shared" si="322"/>
        <v/>
      </c>
      <c r="IL147" s="109" t="str">
        <f t="shared" si="395"/>
        <v/>
      </c>
      <c r="IM147" s="109" t="str">
        <f t="shared" si="323"/>
        <v/>
      </c>
      <c r="IN147" s="110" t="str">
        <f t="shared" ref="IN147:IN200" si="420">IF($K147="","",IN146-IL147)</f>
        <v/>
      </c>
      <c r="IO147" s="51"/>
      <c r="IP147" s="108" t="str">
        <f t="shared" si="396"/>
        <v/>
      </c>
      <c r="IQ147" s="109" t="str">
        <f t="shared" si="397"/>
        <v/>
      </c>
      <c r="IR147" s="109" t="str">
        <f t="shared" si="324"/>
        <v/>
      </c>
      <c r="IS147" s="110" t="str">
        <f t="shared" si="398"/>
        <v/>
      </c>
      <c r="IT147" s="51"/>
      <c r="IU147" s="108" t="str">
        <f t="shared" si="325"/>
        <v/>
      </c>
      <c r="IV147" s="109" t="str">
        <f t="shared" si="399"/>
        <v/>
      </c>
      <c r="IW147" s="109" t="str">
        <f t="shared" si="326"/>
        <v/>
      </c>
      <c r="IX147" s="110" t="str">
        <f t="shared" ref="IX147:IX200" si="421">IF($K147="","",IX146-IV147)</f>
        <v/>
      </c>
      <c r="IY147" s="51"/>
      <c r="IZ147" s="108" t="str">
        <f t="shared" si="400"/>
        <v/>
      </c>
      <c r="JA147" s="109" t="str">
        <f t="shared" si="401"/>
        <v/>
      </c>
      <c r="JB147" s="109" t="str">
        <f t="shared" si="327"/>
        <v/>
      </c>
      <c r="JC147" s="110" t="str">
        <f t="shared" si="402"/>
        <v/>
      </c>
      <c r="JD147" s="51"/>
      <c r="JE147" s="108" t="str">
        <f t="shared" si="328"/>
        <v/>
      </c>
      <c r="JF147" s="109" t="str">
        <f t="shared" si="403"/>
        <v/>
      </c>
      <c r="JG147" s="109" t="str">
        <f t="shared" si="329"/>
        <v/>
      </c>
      <c r="JH147" s="110" t="str">
        <f t="shared" ref="JH147:JH200" si="422">IF($K147="","",JH146-JF147)</f>
        <v/>
      </c>
      <c r="JI147" s="51"/>
      <c r="JJ147" s="108" t="str">
        <f t="shared" si="404"/>
        <v/>
      </c>
      <c r="JK147" s="109" t="str">
        <f t="shared" si="405"/>
        <v/>
      </c>
      <c r="JL147" s="109" t="str">
        <f t="shared" si="330"/>
        <v/>
      </c>
      <c r="JM147" s="110" t="str">
        <f t="shared" si="406"/>
        <v/>
      </c>
      <c r="JN147" s="51"/>
      <c r="JO147" s="108" t="str">
        <f t="shared" si="331"/>
        <v/>
      </c>
      <c r="JP147" s="109" t="str">
        <f t="shared" si="407"/>
        <v/>
      </c>
      <c r="JQ147" s="109" t="str">
        <f t="shared" si="332"/>
        <v/>
      </c>
      <c r="JR147" s="110" t="str">
        <f t="shared" ref="JR147:JR200" si="423">IF($K147="","",JR146-JP147)</f>
        <v/>
      </c>
      <c r="JS147" s="51"/>
      <c r="JT147" s="108" t="str">
        <f t="shared" si="408"/>
        <v/>
      </c>
      <c r="JU147" s="109" t="str">
        <f t="shared" si="409"/>
        <v/>
      </c>
      <c r="JV147" s="109" t="str">
        <f t="shared" si="333"/>
        <v/>
      </c>
      <c r="JW147" s="110" t="str">
        <f t="shared" si="410"/>
        <v/>
      </c>
      <c r="JX147" s="51"/>
      <c r="JY147" s="108" t="str">
        <f t="shared" si="334"/>
        <v/>
      </c>
      <c r="JZ147" s="109" t="str">
        <f t="shared" si="411"/>
        <v/>
      </c>
      <c r="KA147" s="109" t="str">
        <f t="shared" si="335"/>
        <v/>
      </c>
      <c r="KB147" s="110" t="str">
        <f t="shared" ref="KB147:KB200" si="424">IF($K147="","",KB146-JZ147)</f>
        <v/>
      </c>
      <c r="KC147" s="51"/>
      <c r="KD147" s="108" t="str">
        <f t="shared" si="412"/>
        <v/>
      </c>
      <c r="KE147" s="109" t="str">
        <f t="shared" si="413"/>
        <v/>
      </c>
      <c r="KF147" s="109" t="str">
        <f t="shared" si="336"/>
        <v/>
      </c>
      <c r="KG147" s="110" t="str">
        <f t="shared" si="337"/>
        <v/>
      </c>
    </row>
    <row r="148" spans="1:293" ht="12" customHeight="1">
      <c r="A148" s="105">
        <f t="array" ref="A148">MAX(IF($J$80:J147&gt;0,$C$80:C147,0))</f>
        <v>43535</v>
      </c>
      <c r="B148" s="81" t="str">
        <f t="shared" si="248"/>
        <v/>
      </c>
      <c r="C148" s="82">
        <f t="shared" si="414"/>
        <v>0</v>
      </c>
      <c r="D148" s="83" t="str">
        <f t="shared" si="249"/>
        <v/>
      </c>
      <c r="E148" s="83" t="str">
        <f t="shared" si="338"/>
        <v/>
      </c>
      <c r="F148" s="83" t="str">
        <f t="shared" si="250"/>
        <v/>
      </c>
      <c r="G148" s="83" t="str">
        <f t="shared" si="251"/>
        <v/>
      </c>
      <c r="H148" s="83" t="str">
        <f t="shared" si="252"/>
        <v/>
      </c>
      <c r="I148" s="105">
        <f t="array" ref="I148">MAX(IF($R$80:R147&gt;0,$L$80:L147,0))</f>
        <v>0</v>
      </c>
      <c r="J148" s="106"/>
      <c r="K148" s="2" t="str">
        <f t="shared" si="253"/>
        <v/>
      </c>
      <c r="L148" s="82">
        <f t="shared" si="415"/>
        <v>0</v>
      </c>
      <c r="M148" s="83" t="str">
        <f t="shared" si="254"/>
        <v/>
      </c>
      <c r="N148" s="83" t="str">
        <f t="shared" si="255"/>
        <v/>
      </c>
      <c r="O148" s="83" t="str">
        <f t="shared" si="256"/>
        <v/>
      </c>
      <c r="P148" s="83" t="str">
        <f t="shared" si="257"/>
        <v/>
      </c>
      <c r="Q148" s="83" t="str">
        <f t="shared" si="258"/>
        <v/>
      </c>
      <c r="R148" s="106"/>
      <c r="S148" s="1"/>
      <c r="U148" s="85" t="e">
        <f t="shared" si="244"/>
        <v>#NUM!</v>
      </c>
      <c r="V148" s="86" t="e">
        <f t="shared" si="339"/>
        <v>#NUM!</v>
      </c>
      <c r="W148" s="87" t="e">
        <f t="shared" si="259"/>
        <v>#NUM!</v>
      </c>
      <c r="X148" s="87" t="e">
        <f t="shared" si="260"/>
        <v>#NUM!</v>
      </c>
      <c r="Y148" s="87" t="e">
        <f t="shared" si="261"/>
        <v>#NUM!</v>
      </c>
      <c r="Z148" s="88" t="e">
        <f t="shared" si="245"/>
        <v>#NUM!</v>
      </c>
      <c r="AA148" t="s">
        <v>282</v>
      </c>
      <c r="AB148" s="89">
        <f t="shared" si="340"/>
        <v>0</v>
      </c>
      <c r="AC148" s="87">
        <f t="shared" si="262"/>
        <v>0</v>
      </c>
      <c r="AD148" s="87" t="str">
        <f t="shared" si="263"/>
        <v/>
      </c>
      <c r="AE148" s="87" t="str">
        <f t="shared" si="264"/>
        <v/>
      </c>
      <c r="AF148" s="86">
        <f t="shared" si="341"/>
        <v>0</v>
      </c>
      <c r="AG148" s="87">
        <f t="shared" si="246"/>
        <v>0</v>
      </c>
      <c r="AH148" s="87">
        <f t="shared" si="342"/>
        <v>0</v>
      </c>
      <c r="AI148" s="90"/>
      <c r="AJ148" s="87" t="e">
        <f t="shared" si="265"/>
        <v>#NUM!</v>
      </c>
      <c r="AK148" s="87" t="e">
        <f t="shared" si="343"/>
        <v>#NUM!</v>
      </c>
      <c r="AL148" s="87" t="e">
        <f t="shared" si="344"/>
        <v>#NUM!</v>
      </c>
      <c r="AM148" s="87" t="e">
        <f t="shared" si="345"/>
        <v>#NUM!</v>
      </c>
      <c r="AN148" s="86">
        <f t="shared" si="266"/>
        <v>0</v>
      </c>
      <c r="AO148" s="87">
        <f t="shared" si="267"/>
        <v>0</v>
      </c>
      <c r="AP148" s="88">
        <f t="shared" si="268"/>
        <v>0</v>
      </c>
      <c r="AR148" s="91">
        <f t="shared" si="269"/>
        <v>0</v>
      </c>
      <c r="AS148" s="92">
        <f t="shared" si="270"/>
        <v>0</v>
      </c>
      <c r="AT148" s="87" t="str">
        <f t="shared" si="271"/>
        <v/>
      </c>
      <c r="AU148" s="87" t="str">
        <f t="shared" si="272"/>
        <v/>
      </c>
      <c r="AV148" s="86">
        <f t="shared" si="346"/>
        <v>0</v>
      </c>
      <c r="AW148" s="87">
        <f t="shared" si="347"/>
        <v>0</v>
      </c>
      <c r="AX148" s="87">
        <f t="shared" si="348"/>
        <v>0</v>
      </c>
      <c r="AY148" s="93"/>
      <c r="AZ148" s="87">
        <f t="shared" ref="AZ148:AZ200" si="425">IFERROR(IF(OR($F$46="",DATE($F$34,$G$34,$H$34)&lt;=DATE($F$46,$G$46,$H$46)),0,IF(M148&lt;&gt;"",IF($P$32="GEL",M148,M148*$Q$32),0)),0)</f>
        <v>0</v>
      </c>
      <c r="BA148" s="87">
        <f t="shared" si="349"/>
        <v>0</v>
      </c>
      <c r="BB148" s="87">
        <f t="shared" si="350"/>
        <v>0</v>
      </c>
      <c r="BC148" s="87">
        <f t="shared" si="416"/>
        <v>0</v>
      </c>
      <c r="BD148" s="86" t="e">
        <f t="shared" si="273"/>
        <v>#NUM!</v>
      </c>
      <c r="BE148" s="87" t="e">
        <f t="shared" si="247"/>
        <v>#NUM!</v>
      </c>
      <c r="BF148" s="88">
        <f t="shared" si="351"/>
        <v>0</v>
      </c>
      <c r="BH148" s="87" t="e">
        <f t="shared" si="274"/>
        <v>#NUM!</v>
      </c>
      <c r="BK148" s="95">
        <v>41038</v>
      </c>
      <c r="BL148" s="96">
        <v>69</v>
      </c>
      <c r="CY148" s="108" t="str">
        <f t="shared" si="275"/>
        <v/>
      </c>
      <c r="CZ148" s="109" t="str">
        <f t="shared" si="276"/>
        <v/>
      </c>
      <c r="DA148" s="109" t="str">
        <f t="shared" si="277"/>
        <v/>
      </c>
      <c r="DB148" s="110" t="str">
        <f t="shared" si="225"/>
        <v/>
      </c>
      <c r="DD148" s="108" t="str">
        <f t="shared" si="278"/>
        <v/>
      </c>
      <c r="DE148" s="109" t="str">
        <f t="shared" si="352"/>
        <v/>
      </c>
      <c r="DF148" s="109" t="str">
        <f t="shared" si="279"/>
        <v/>
      </c>
      <c r="DG148" s="110" t="str">
        <f t="shared" si="226"/>
        <v/>
      </c>
      <c r="DI148" s="108" t="str">
        <f t="shared" si="353"/>
        <v/>
      </c>
      <c r="DJ148" s="109" t="str">
        <f t="shared" si="354"/>
        <v/>
      </c>
      <c r="DK148" s="109" t="str">
        <f t="shared" si="280"/>
        <v/>
      </c>
      <c r="DL148" s="110" t="str">
        <f t="shared" si="227"/>
        <v/>
      </c>
      <c r="DN148" s="108" t="str">
        <f t="shared" si="281"/>
        <v/>
      </c>
      <c r="DO148" s="109" t="str">
        <f t="shared" si="282"/>
        <v/>
      </c>
      <c r="DP148" s="109" t="str">
        <f t="shared" si="283"/>
        <v/>
      </c>
      <c r="DQ148" s="110" t="str">
        <f t="shared" si="228"/>
        <v/>
      </c>
      <c r="DS148" s="108" t="str">
        <f t="shared" si="355"/>
        <v/>
      </c>
      <c r="DT148" s="109" t="str">
        <f t="shared" si="356"/>
        <v/>
      </c>
      <c r="DU148" s="109" t="str">
        <f t="shared" si="284"/>
        <v/>
      </c>
      <c r="DV148" s="110" t="str">
        <f t="shared" si="229"/>
        <v/>
      </c>
      <c r="DX148" s="108" t="str">
        <f t="shared" si="285"/>
        <v/>
      </c>
      <c r="DY148" s="109" t="str">
        <f t="shared" si="357"/>
        <v/>
      </c>
      <c r="DZ148" s="109" t="str">
        <f t="shared" si="286"/>
        <v/>
      </c>
      <c r="EA148" s="110" t="str">
        <f t="shared" si="230"/>
        <v/>
      </c>
      <c r="EC148" s="108" t="str">
        <f t="shared" si="358"/>
        <v/>
      </c>
      <c r="ED148" s="109" t="str">
        <f t="shared" si="359"/>
        <v/>
      </c>
      <c r="EE148" s="109" t="str">
        <f t="shared" si="287"/>
        <v/>
      </c>
      <c r="EF148" s="110" t="str">
        <f t="shared" si="231"/>
        <v/>
      </c>
      <c r="EH148" s="108" t="str">
        <f t="shared" si="288"/>
        <v/>
      </c>
      <c r="EI148" s="109" t="str">
        <f t="shared" si="360"/>
        <v/>
      </c>
      <c r="EJ148" s="109" t="str">
        <f t="shared" si="289"/>
        <v/>
      </c>
      <c r="EK148" s="110" t="str">
        <f t="shared" si="232"/>
        <v/>
      </c>
      <c r="EM148" s="108" t="str">
        <f t="shared" si="361"/>
        <v/>
      </c>
      <c r="EN148" s="109" t="str">
        <f t="shared" si="362"/>
        <v/>
      </c>
      <c r="EO148" s="109" t="str">
        <f t="shared" si="290"/>
        <v/>
      </c>
      <c r="EP148" s="110" t="str">
        <f t="shared" si="233"/>
        <v/>
      </c>
      <c r="ER148" s="108" t="str">
        <f t="shared" si="291"/>
        <v/>
      </c>
      <c r="ES148" s="109" t="str">
        <f t="shared" si="363"/>
        <v/>
      </c>
      <c r="ET148" s="109" t="str">
        <f t="shared" si="292"/>
        <v/>
      </c>
      <c r="EU148" s="110" t="str">
        <f t="shared" si="234"/>
        <v/>
      </c>
      <c r="EW148" s="108" t="str">
        <f t="shared" si="364"/>
        <v/>
      </c>
      <c r="EX148" s="109" t="str">
        <f t="shared" si="365"/>
        <v/>
      </c>
      <c r="EY148" s="109" t="str">
        <f t="shared" si="293"/>
        <v/>
      </c>
      <c r="EZ148" s="110" t="str">
        <f t="shared" si="235"/>
        <v/>
      </c>
      <c r="FB148" s="108" t="str">
        <f t="shared" si="294"/>
        <v/>
      </c>
      <c r="FC148" s="109" t="str">
        <f t="shared" si="366"/>
        <v/>
      </c>
      <c r="FD148" s="109" t="str">
        <f t="shared" si="295"/>
        <v/>
      </c>
      <c r="FE148" s="110" t="str">
        <f t="shared" si="236"/>
        <v/>
      </c>
      <c r="FG148" s="108" t="str">
        <f t="shared" si="367"/>
        <v/>
      </c>
      <c r="FH148" s="109" t="str">
        <f t="shared" si="368"/>
        <v/>
      </c>
      <c r="FI148" s="109" t="str">
        <f t="shared" si="296"/>
        <v/>
      </c>
      <c r="FJ148" s="110" t="str">
        <f t="shared" si="237"/>
        <v/>
      </c>
      <c r="FL148" s="108" t="str">
        <f t="shared" si="297"/>
        <v/>
      </c>
      <c r="FM148" s="109" t="str">
        <f t="shared" si="369"/>
        <v/>
      </c>
      <c r="FN148" s="109" t="str">
        <f t="shared" si="298"/>
        <v/>
      </c>
      <c r="FO148" s="110" t="str">
        <f t="shared" si="238"/>
        <v/>
      </c>
      <c r="FQ148" s="108" t="str">
        <f t="shared" si="370"/>
        <v/>
      </c>
      <c r="FR148" s="109" t="str">
        <f t="shared" si="371"/>
        <v/>
      </c>
      <c r="FS148" s="109" t="str">
        <f t="shared" si="299"/>
        <v/>
      </c>
      <c r="FT148" s="110" t="str">
        <f t="shared" si="239"/>
        <v/>
      </c>
      <c r="FV148" s="108" t="str">
        <f t="shared" si="300"/>
        <v/>
      </c>
      <c r="FW148" s="109" t="str">
        <f t="shared" si="372"/>
        <v/>
      </c>
      <c r="FX148" s="109" t="str">
        <f t="shared" si="301"/>
        <v/>
      </c>
      <c r="FY148" s="110" t="str">
        <f t="shared" si="240"/>
        <v/>
      </c>
      <c r="GA148" s="108" t="str">
        <f t="shared" si="373"/>
        <v/>
      </c>
      <c r="GB148" s="109" t="str">
        <f t="shared" si="374"/>
        <v/>
      </c>
      <c r="GC148" s="109" t="str">
        <f t="shared" si="302"/>
        <v/>
      </c>
      <c r="GD148" s="110" t="str">
        <f t="shared" si="241"/>
        <v/>
      </c>
      <c r="GF148" s="108" t="str">
        <f t="shared" si="303"/>
        <v/>
      </c>
      <c r="GG148" s="109" t="str">
        <f t="shared" si="375"/>
        <v/>
      </c>
      <c r="GH148" s="109" t="str">
        <f t="shared" si="304"/>
        <v/>
      </c>
      <c r="GI148" s="110" t="str">
        <f t="shared" si="242"/>
        <v/>
      </c>
      <c r="GK148" s="108" t="str">
        <f t="shared" si="376"/>
        <v/>
      </c>
      <c r="GL148" s="109" t="str">
        <f t="shared" si="377"/>
        <v/>
      </c>
      <c r="GM148" s="109" t="str">
        <f t="shared" si="378"/>
        <v/>
      </c>
      <c r="GN148" s="110" t="str">
        <f t="shared" si="243"/>
        <v/>
      </c>
      <c r="GR148" s="108" t="str">
        <f t="shared" si="305"/>
        <v/>
      </c>
      <c r="GS148" s="109" t="str">
        <f t="shared" si="306"/>
        <v/>
      </c>
      <c r="GT148" s="109" t="str">
        <f t="shared" si="307"/>
        <v/>
      </c>
      <c r="GU148" s="110" t="str">
        <f t="shared" si="308"/>
        <v/>
      </c>
      <c r="GV148" s="51"/>
      <c r="GW148" s="108" t="str">
        <f t="shared" si="309"/>
        <v/>
      </c>
      <c r="GX148" s="109" t="str">
        <f t="shared" si="379"/>
        <v/>
      </c>
      <c r="GY148" s="109" t="str">
        <f t="shared" si="310"/>
        <v/>
      </c>
      <c r="GZ148" s="110" t="str">
        <f t="shared" si="311"/>
        <v/>
      </c>
      <c r="HA148" s="51"/>
      <c r="HB148" s="108" t="str">
        <f t="shared" si="380"/>
        <v/>
      </c>
      <c r="HC148" s="109" t="str">
        <f t="shared" si="381"/>
        <v/>
      </c>
      <c r="HD148" s="109" t="str">
        <f t="shared" si="312"/>
        <v/>
      </c>
      <c r="HE148" s="110" t="str">
        <f t="shared" si="382"/>
        <v/>
      </c>
      <c r="HF148" s="51"/>
      <c r="HG148" s="108" t="str">
        <f t="shared" si="313"/>
        <v/>
      </c>
      <c r="HH148" s="109" t="str">
        <f t="shared" si="383"/>
        <v/>
      </c>
      <c r="HI148" s="109" t="str">
        <f t="shared" si="314"/>
        <v/>
      </c>
      <c r="HJ148" s="110" t="str">
        <f t="shared" si="417"/>
        <v/>
      </c>
      <c r="HK148" s="51"/>
      <c r="HL148" s="108" t="str">
        <f t="shared" si="384"/>
        <v/>
      </c>
      <c r="HM148" s="109" t="str">
        <f t="shared" si="385"/>
        <v/>
      </c>
      <c r="HN148" s="109" t="str">
        <f t="shared" si="315"/>
        <v/>
      </c>
      <c r="HO148" s="110" t="str">
        <f t="shared" si="386"/>
        <v/>
      </c>
      <c r="HP148" s="51"/>
      <c r="HQ148" s="108" t="str">
        <f t="shared" si="316"/>
        <v/>
      </c>
      <c r="HR148" s="109" t="str">
        <f t="shared" si="387"/>
        <v/>
      </c>
      <c r="HS148" s="109" t="str">
        <f t="shared" si="317"/>
        <v/>
      </c>
      <c r="HT148" s="110" t="str">
        <f t="shared" si="418"/>
        <v/>
      </c>
      <c r="HU148" s="51"/>
      <c r="HV148" s="108" t="str">
        <f t="shared" si="388"/>
        <v/>
      </c>
      <c r="HW148" s="109" t="str">
        <f t="shared" si="389"/>
        <v/>
      </c>
      <c r="HX148" s="109" t="str">
        <f t="shared" si="318"/>
        <v/>
      </c>
      <c r="HY148" s="110" t="str">
        <f t="shared" si="390"/>
        <v/>
      </c>
      <c r="HZ148" s="51"/>
      <c r="IA148" s="108" t="str">
        <f t="shared" si="319"/>
        <v/>
      </c>
      <c r="IB148" s="109" t="str">
        <f t="shared" si="391"/>
        <v/>
      </c>
      <c r="IC148" s="109" t="str">
        <f t="shared" si="320"/>
        <v/>
      </c>
      <c r="ID148" s="110" t="str">
        <f t="shared" si="419"/>
        <v/>
      </c>
      <c r="IE148" s="51"/>
      <c r="IF148" s="108" t="str">
        <f t="shared" si="392"/>
        <v/>
      </c>
      <c r="IG148" s="109" t="str">
        <f t="shared" si="393"/>
        <v/>
      </c>
      <c r="IH148" s="109" t="str">
        <f t="shared" si="321"/>
        <v/>
      </c>
      <c r="II148" s="110" t="str">
        <f t="shared" si="394"/>
        <v/>
      </c>
      <c r="IJ148" s="51"/>
      <c r="IK148" s="108" t="str">
        <f t="shared" si="322"/>
        <v/>
      </c>
      <c r="IL148" s="109" t="str">
        <f t="shared" si="395"/>
        <v/>
      </c>
      <c r="IM148" s="109" t="str">
        <f t="shared" si="323"/>
        <v/>
      </c>
      <c r="IN148" s="110" t="str">
        <f t="shared" si="420"/>
        <v/>
      </c>
      <c r="IO148" s="51"/>
      <c r="IP148" s="108" t="str">
        <f t="shared" si="396"/>
        <v/>
      </c>
      <c r="IQ148" s="109" t="str">
        <f t="shared" si="397"/>
        <v/>
      </c>
      <c r="IR148" s="109" t="str">
        <f t="shared" si="324"/>
        <v/>
      </c>
      <c r="IS148" s="110" t="str">
        <f t="shared" si="398"/>
        <v/>
      </c>
      <c r="IT148" s="51"/>
      <c r="IU148" s="108" t="str">
        <f t="shared" si="325"/>
        <v/>
      </c>
      <c r="IV148" s="109" t="str">
        <f t="shared" si="399"/>
        <v/>
      </c>
      <c r="IW148" s="109" t="str">
        <f t="shared" si="326"/>
        <v/>
      </c>
      <c r="IX148" s="110" t="str">
        <f t="shared" si="421"/>
        <v/>
      </c>
      <c r="IY148" s="51"/>
      <c r="IZ148" s="108" t="str">
        <f t="shared" si="400"/>
        <v/>
      </c>
      <c r="JA148" s="109" t="str">
        <f t="shared" si="401"/>
        <v/>
      </c>
      <c r="JB148" s="109" t="str">
        <f t="shared" si="327"/>
        <v/>
      </c>
      <c r="JC148" s="110" t="str">
        <f t="shared" si="402"/>
        <v/>
      </c>
      <c r="JD148" s="51"/>
      <c r="JE148" s="108" t="str">
        <f t="shared" si="328"/>
        <v/>
      </c>
      <c r="JF148" s="109" t="str">
        <f t="shared" si="403"/>
        <v/>
      </c>
      <c r="JG148" s="109" t="str">
        <f t="shared" si="329"/>
        <v/>
      </c>
      <c r="JH148" s="110" t="str">
        <f t="shared" si="422"/>
        <v/>
      </c>
      <c r="JI148" s="51"/>
      <c r="JJ148" s="108" t="str">
        <f t="shared" si="404"/>
        <v/>
      </c>
      <c r="JK148" s="109" t="str">
        <f t="shared" si="405"/>
        <v/>
      </c>
      <c r="JL148" s="109" t="str">
        <f t="shared" si="330"/>
        <v/>
      </c>
      <c r="JM148" s="110" t="str">
        <f t="shared" si="406"/>
        <v/>
      </c>
      <c r="JN148" s="51"/>
      <c r="JO148" s="108" t="str">
        <f t="shared" si="331"/>
        <v/>
      </c>
      <c r="JP148" s="109" t="str">
        <f t="shared" si="407"/>
        <v/>
      </c>
      <c r="JQ148" s="109" t="str">
        <f t="shared" si="332"/>
        <v/>
      </c>
      <c r="JR148" s="110" t="str">
        <f t="shared" si="423"/>
        <v/>
      </c>
      <c r="JS148" s="51"/>
      <c r="JT148" s="108" t="str">
        <f t="shared" si="408"/>
        <v/>
      </c>
      <c r="JU148" s="109" t="str">
        <f t="shared" si="409"/>
        <v/>
      </c>
      <c r="JV148" s="109" t="str">
        <f t="shared" si="333"/>
        <v/>
      </c>
      <c r="JW148" s="110" t="str">
        <f t="shared" si="410"/>
        <v/>
      </c>
      <c r="JX148" s="51"/>
      <c r="JY148" s="108" t="str">
        <f t="shared" si="334"/>
        <v/>
      </c>
      <c r="JZ148" s="109" t="str">
        <f t="shared" si="411"/>
        <v/>
      </c>
      <c r="KA148" s="109" t="str">
        <f t="shared" si="335"/>
        <v/>
      </c>
      <c r="KB148" s="110" t="str">
        <f t="shared" si="424"/>
        <v/>
      </c>
      <c r="KC148" s="51"/>
      <c r="KD148" s="108" t="str">
        <f t="shared" si="412"/>
        <v/>
      </c>
      <c r="KE148" s="109" t="str">
        <f t="shared" si="413"/>
        <v/>
      </c>
      <c r="KF148" s="109" t="str">
        <f t="shared" si="336"/>
        <v/>
      </c>
      <c r="KG148" s="110" t="str">
        <f t="shared" si="337"/>
        <v/>
      </c>
    </row>
    <row r="149" spans="1:293" ht="12" customHeight="1">
      <c r="A149" s="105">
        <f t="array" ref="A149">MAX(IF($J$80:J148&gt;0,$C$80:C148,0))</f>
        <v>43535</v>
      </c>
      <c r="B149" s="81" t="str">
        <f t="shared" si="248"/>
        <v/>
      </c>
      <c r="C149" s="82">
        <f t="shared" si="414"/>
        <v>0</v>
      </c>
      <c r="D149" s="83" t="str">
        <f t="shared" si="249"/>
        <v/>
      </c>
      <c r="E149" s="83" t="str">
        <f t="shared" si="338"/>
        <v/>
      </c>
      <c r="F149" s="83" t="str">
        <f t="shared" si="250"/>
        <v/>
      </c>
      <c r="G149" s="83" t="str">
        <f t="shared" si="251"/>
        <v/>
      </c>
      <c r="H149" s="83" t="str">
        <f t="shared" si="252"/>
        <v/>
      </c>
      <c r="I149" s="105">
        <f t="array" ref="I149">MAX(IF($R$80:R148&gt;0,$L$80:L148,0))</f>
        <v>0</v>
      </c>
      <c r="J149" s="106"/>
      <c r="K149" s="2" t="str">
        <f t="shared" si="253"/>
        <v/>
      </c>
      <c r="L149" s="82">
        <f t="shared" si="415"/>
        <v>0</v>
      </c>
      <c r="M149" s="83" t="str">
        <f t="shared" si="254"/>
        <v/>
      </c>
      <c r="N149" s="83" t="str">
        <f t="shared" si="255"/>
        <v/>
      </c>
      <c r="O149" s="83" t="str">
        <f t="shared" si="256"/>
        <v/>
      </c>
      <c r="P149" s="83" t="str">
        <f t="shared" si="257"/>
        <v/>
      </c>
      <c r="Q149" s="83" t="str">
        <f t="shared" si="258"/>
        <v/>
      </c>
      <c r="R149" s="106"/>
      <c r="S149" s="1"/>
      <c r="U149" s="85" t="e">
        <f t="shared" si="244"/>
        <v>#NUM!</v>
      </c>
      <c r="V149" s="86" t="e">
        <f t="shared" si="339"/>
        <v>#NUM!</v>
      </c>
      <c r="W149" s="87" t="e">
        <f t="shared" si="259"/>
        <v>#NUM!</v>
      </c>
      <c r="X149" s="87" t="e">
        <f t="shared" si="260"/>
        <v>#NUM!</v>
      </c>
      <c r="Y149" s="87" t="e">
        <f t="shared" si="261"/>
        <v>#NUM!</v>
      </c>
      <c r="Z149" s="88" t="e">
        <f t="shared" si="245"/>
        <v>#NUM!</v>
      </c>
      <c r="AA149" t="s">
        <v>282</v>
      </c>
      <c r="AB149" s="89">
        <f t="shared" si="340"/>
        <v>0</v>
      </c>
      <c r="AC149" s="87">
        <f t="shared" si="262"/>
        <v>0</v>
      </c>
      <c r="AD149" s="87" t="str">
        <f t="shared" si="263"/>
        <v/>
      </c>
      <c r="AE149" s="87" t="str">
        <f t="shared" si="264"/>
        <v/>
      </c>
      <c r="AF149" s="86">
        <f t="shared" si="341"/>
        <v>0</v>
      </c>
      <c r="AG149" s="87">
        <f t="shared" si="246"/>
        <v>0</v>
      </c>
      <c r="AH149" s="87">
        <f t="shared" si="342"/>
        <v>0</v>
      </c>
      <c r="AI149" s="90"/>
      <c r="AJ149" s="87" t="e">
        <f t="shared" si="265"/>
        <v>#NUM!</v>
      </c>
      <c r="AK149" s="87" t="e">
        <f t="shared" si="343"/>
        <v>#NUM!</v>
      </c>
      <c r="AL149" s="87" t="e">
        <f t="shared" si="344"/>
        <v>#NUM!</v>
      </c>
      <c r="AM149" s="87" t="e">
        <f t="shared" si="345"/>
        <v>#NUM!</v>
      </c>
      <c r="AN149" s="86">
        <f t="shared" si="266"/>
        <v>0</v>
      </c>
      <c r="AO149" s="87">
        <f t="shared" si="267"/>
        <v>0</v>
      </c>
      <c r="AP149" s="88">
        <f t="shared" si="268"/>
        <v>0</v>
      </c>
      <c r="AR149" s="91">
        <f t="shared" si="269"/>
        <v>0</v>
      </c>
      <c r="AS149" s="92">
        <f t="shared" si="270"/>
        <v>0</v>
      </c>
      <c r="AT149" s="87" t="str">
        <f t="shared" si="271"/>
        <v/>
      </c>
      <c r="AU149" s="87" t="str">
        <f t="shared" si="272"/>
        <v/>
      </c>
      <c r="AV149" s="86">
        <f t="shared" si="346"/>
        <v>0</v>
      </c>
      <c r="AW149" s="87">
        <f t="shared" si="347"/>
        <v>0</v>
      </c>
      <c r="AX149" s="87">
        <f t="shared" si="348"/>
        <v>0</v>
      </c>
      <c r="AY149" s="93"/>
      <c r="AZ149" s="87">
        <f t="shared" si="425"/>
        <v>0</v>
      </c>
      <c r="BA149" s="87">
        <f t="shared" si="349"/>
        <v>0</v>
      </c>
      <c r="BB149" s="87">
        <f t="shared" si="350"/>
        <v>0</v>
      </c>
      <c r="BC149" s="87">
        <f t="shared" si="416"/>
        <v>0</v>
      </c>
      <c r="BD149" s="86" t="e">
        <f t="shared" si="273"/>
        <v>#NUM!</v>
      </c>
      <c r="BE149" s="87" t="e">
        <f t="shared" si="247"/>
        <v>#NUM!</v>
      </c>
      <c r="BF149" s="88">
        <f t="shared" si="351"/>
        <v>0</v>
      </c>
      <c r="BH149" s="87" t="e">
        <f t="shared" si="274"/>
        <v>#NUM!</v>
      </c>
      <c r="BK149" s="95">
        <v>41041</v>
      </c>
      <c r="BL149" s="96">
        <v>70</v>
      </c>
      <c r="CY149" s="108" t="str">
        <f t="shared" si="275"/>
        <v/>
      </c>
      <c r="CZ149" s="109" t="str">
        <f t="shared" si="276"/>
        <v/>
      </c>
      <c r="DA149" s="109" t="str">
        <f t="shared" si="277"/>
        <v/>
      </c>
      <c r="DB149" s="110" t="str">
        <f t="shared" si="225"/>
        <v/>
      </c>
      <c r="DD149" s="108" t="str">
        <f t="shared" si="278"/>
        <v/>
      </c>
      <c r="DE149" s="109" t="str">
        <f t="shared" si="352"/>
        <v/>
      </c>
      <c r="DF149" s="109" t="str">
        <f t="shared" si="279"/>
        <v/>
      </c>
      <c r="DG149" s="110" t="str">
        <f t="shared" si="226"/>
        <v/>
      </c>
      <c r="DI149" s="108" t="str">
        <f t="shared" si="353"/>
        <v/>
      </c>
      <c r="DJ149" s="109" t="str">
        <f t="shared" si="354"/>
        <v/>
      </c>
      <c r="DK149" s="109" t="str">
        <f t="shared" si="280"/>
        <v/>
      </c>
      <c r="DL149" s="110" t="str">
        <f t="shared" si="227"/>
        <v/>
      </c>
      <c r="DN149" s="108" t="str">
        <f t="shared" si="281"/>
        <v/>
      </c>
      <c r="DO149" s="109" t="str">
        <f t="shared" si="282"/>
        <v/>
      </c>
      <c r="DP149" s="109" t="str">
        <f t="shared" si="283"/>
        <v/>
      </c>
      <c r="DQ149" s="110" t="str">
        <f t="shared" si="228"/>
        <v/>
      </c>
      <c r="DS149" s="108" t="str">
        <f t="shared" si="355"/>
        <v/>
      </c>
      <c r="DT149" s="109" t="str">
        <f t="shared" si="356"/>
        <v/>
      </c>
      <c r="DU149" s="109" t="str">
        <f t="shared" si="284"/>
        <v/>
      </c>
      <c r="DV149" s="110" t="str">
        <f t="shared" si="229"/>
        <v/>
      </c>
      <c r="DX149" s="108" t="str">
        <f t="shared" si="285"/>
        <v/>
      </c>
      <c r="DY149" s="109" t="str">
        <f t="shared" si="357"/>
        <v/>
      </c>
      <c r="DZ149" s="109" t="str">
        <f t="shared" si="286"/>
        <v/>
      </c>
      <c r="EA149" s="110" t="str">
        <f t="shared" si="230"/>
        <v/>
      </c>
      <c r="EC149" s="108" t="str">
        <f t="shared" si="358"/>
        <v/>
      </c>
      <c r="ED149" s="109" t="str">
        <f t="shared" si="359"/>
        <v/>
      </c>
      <c r="EE149" s="109" t="str">
        <f t="shared" si="287"/>
        <v/>
      </c>
      <c r="EF149" s="110" t="str">
        <f t="shared" si="231"/>
        <v/>
      </c>
      <c r="EH149" s="108" t="str">
        <f t="shared" si="288"/>
        <v/>
      </c>
      <c r="EI149" s="109" t="str">
        <f t="shared" si="360"/>
        <v/>
      </c>
      <c r="EJ149" s="109" t="str">
        <f t="shared" si="289"/>
        <v/>
      </c>
      <c r="EK149" s="110" t="str">
        <f t="shared" si="232"/>
        <v/>
      </c>
      <c r="EM149" s="108" t="str">
        <f t="shared" si="361"/>
        <v/>
      </c>
      <c r="EN149" s="109" t="str">
        <f t="shared" si="362"/>
        <v/>
      </c>
      <c r="EO149" s="109" t="str">
        <f t="shared" si="290"/>
        <v/>
      </c>
      <c r="EP149" s="110" t="str">
        <f t="shared" si="233"/>
        <v/>
      </c>
      <c r="ER149" s="108" t="str">
        <f t="shared" si="291"/>
        <v/>
      </c>
      <c r="ES149" s="109" t="str">
        <f t="shared" si="363"/>
        <v/>
      </c>
      <c r="ET149" s="109" t="str">
        <f t="shared" si="292"/>
        <v/>
      </c>
      <c r="EU149" s="110" t="str">
        <f t="shared" si="234"/>
        <v/>
      </c>
      <c r="EW149" s="108" t="str">
        <f t="shared" si="364"/>
        <v/>
      </c>
      <c r="EX149" s="109" t="str">
        <f t="shared" si="365"/>
        <v/>
      </c>
      <c r="EY149" s="109" t="str">
        <f t="shared" si="293"/>
        <v/>
      </c>
      <c r="EZ149" s="110" t="str">
        <f t="shared" si="235"/>
        <v/>
      </c>
      <c r="FB149" s="108" t="str">
        <f t="shared" si="294"/>
        <v/>
      </c>
      <c r="FC149" s="109" t="str">
        <f t="shared" si="366"/>
        <v/>
      </c>
      <c r="FD149" s="109" t="str">
        <f t="shared" si="295"/>
        <v/>
      </c>
      <c r="FE149" s="110" t="str">
        <f t="shared" si="236"/>
        <v/>
      </c>
      <c r="FG149" s="108" t="str">
        <f t="shared" si="367"/>
        <v/>
      </c>
      <c r="FH149" s="109" t="str">
        <f t="shared" si="368"/>
        <v/>
      </c>
      <c r="FI149" s="109" t="str">
        <f t="shared" si="296"/>
        <v/>
      </c>
      <c r="FJ149" s="110" t="str">
        <f t="shared" si="237"/>
        <v/>
      </c>
      <c r="FL149" s="108" t="str">
        <f t="shared" si="297"/>
        <v/>
      </c>
      <c r="FM149" s="109" t="str">
        <f t="shared" si="369"/>
        <v/>
      </c>
      <c r="FN149" s="109" t="str">
        <f t="shared" si="298"/>
        <v/>
      </c>
      <c r="FO149" s="110" t="str">
        <f t="shared" si="238"/>
        <v/>
      </c>
      <c r="FQ149" s="108" t="str">
        <f t="shared" si="370"/>
        <v/>
      </c>
      <c r="FR149" s="109" t="str">
        <f t="shared" si="371"/>
        <v/>
      </c>
      <c r="FS149" s="109" t="str">
        <f t="shared" si="299"/>
        <v/>
      </c>
      <c r="FT149" s="110" t="str">
        <f t="shared" si="239"/>
        <v/>
      </c>
      <c r="FV149" s="108" t="str">
        <f t="shared" si="300"/>
        <v/>
      </c>
      <c r="FW149" s="109" t="str">
        <f t="shared" si="372"/>
        <v/>
      </c>
      <c r="FX149" s="109" t="str">
        <f t="shared" si="301"/>
        <v/>
      </c>
      <c r="FY149" s="110" t="str">
        <f t="shared" si="240"/>
        <v/>
      </c>
      <c r="GA149" s="108" t="str">
        <f t="shared" si="373"/>
        <v/>
      </c>
      <c r="GB149" s="109" t="str">
        <f t="shared" si="374"/>
        <v/>
      </c>
      <c r="GC149" s="109" t="str">
        <f t="shared" si="302"/>
        <v/>
      </c>
      <c r="GD149" s="110" t="str">
        <f t="shared" si="241"/>
        <v/>
      </c>
      <c r="GF149" s="108" t="str">
        <f t="shared" si="303"/>
        <v/>
      </c>
      <c r="GG149" s="109" t="str">
        <f t="shared" si="375"/>
        <v/>
      </c>
      <c r="GH149" s="109" t="str">
        <f t="shared" si="304"/>
        <v/>
      </c>
      <c r="GI149" s="110" t="str">
        <f t="shared" si="242"/>
        <v/>
      </c>
      <c r="GK149" s="108" t="str">
        <f t="shared" si="376"/>
        <v/>
      </c>
      <c r="GL149" s="109" t="str">
        <f t="shared" si="377"/>
        <v/>
      </c>
      <c r="GM149" s="109" t="str">
        <f t="shared" si="378"/>
        <v/>
      </c>
      <c r="GN149" s="110" t="str">
        <f t="shared" si="243"/>
        <v/>
      </c>
      <c r="GR149" s="108" t="str">
        <f t="shared" si="305"/>
        <v/>
      </c>
      <c r="GS149" s="109" t="str">
        <f t="shared" si="306"/>
        <v/>
      </c>
      <c r="GT149" s="109" t="str">
        <f t="shared" si="307"/>
        <v/>
      </c>
      <c r="GU149" s="110" t="str">
        <f t="shared" si="308"/>
        <v/>
      </c>
      <c r="GV149" s="51"/>
      <c r="GW149" s="108" t="str">
        <f t="shared" si="309"/>
        <v/>
      </c>
      <c r="GX149" s="109" t="str">
        <f t="shared" si="379"/>
        <v/>
      </c>
      <c r="GY149" s="109" t="str">
        <f t="shared" si="310"/>
        <v/>
      </c>
      <c r="GZ149" s="110" t="str">
        <f t="shared" si="311"/>
        <v/>
      </c>
      <c r="HA149" s="51"/>
      <c r="HB149" s="108" t="str">
        <f t="shared" si="380"/>
        <v/>
      </c>
      <c r="HC149" s="109" t="str">
        <f t="shared" si="381"/>
        <v/>
      </c>
      <c r="HD149" s="109" t="str">
        <f t="shared" si="312"/>
        <v/>
      </c>
      <c r="HE149" s="110" t="str">
        <f t="shared" si="382"/>
        <v/>
      </c>
      <c r="HF149" s="51"/>
      <c r="HG149" s="108" t="str">
        <f t="shared" si="313"/>
        <v/>
      </c>
      <c r="HH149" s="109" t="str">
        <f t="shared" si="383"/>
        <v/>
      </c>
      <c r="HI149" s="109" t="str">
        <f t="shared" si="314"/>
        <v/>
      </c>
      <c r="HJ149" s="110" t="str">
        <f t="shared" si="417"/>
        <v/>
      </c>
      <c r="HK149" s="51"/>
      <c r="HL149" s="108" t="str">
        <f t="shared" si="384"/>
        <v/>
      </c>
      <c r="HM149" s="109" t="str">
        <f t="shared" si="385"/>
        <v/>
      </c>
      <c r="HN149" s="109" t="str">
        <f t="shared" si="315"/>
        <v/>
      </c>
      <c r="HO149" s="110" t="str">
        <f t="shared" si="386"/>
        <v/>
      </c>
      <c r="HP149" s="51"/>
      <c r="HQ149" s="108" t="str">
        <f t="shared" si="316"/>
        <v/>
      </c>
      <c r="HR149" s="109" t="str">
        <f t="shared" si="387"/>
        <v/>
      </c>
      <c r="HS149" s="109" t="str">
        <f t="shared" si="317"/>
        <v/>
      </c>
      <c r="HT149" s="110" t="str">
        <f t="shared" si="418"/>
        <v/>
      </c>
      <c r="HU149" s="51"/>
      <c r="HV149" s="108" t="str">
        <f t="shared" si="388"/>
        <v/>
      </c>
      <c r="HW149" s="109" t="str">
        <f t="shared" si="389"/>
        <v/>
      </c>
      <c r="HX149" s="109" t="str">
        <f t="shared" si="318"/>
        <v/>
      </c>
      <c r="HY149" s="110" t="str">
        <f t="shared" si="390"/>
        <v/>
      </c>
      <c r="HZ149" s="51"/>
      <c r="IA149" s="108" t="str">
        <f t="shared" si="319"/>
        <v/>
      </c>
      <c r="IB149" s="109" t="str">
        <f t="shared" si="391"/>
        <v/>
      </c>
      <c r="IC149" s="109" t="str">
        <f t="shared" si="320"/>
        <v/>
      </c>
      <c r="ID149" s="110" t="str">
        <f t="shared" si="419"/>
        <v/>
      </c>
      <c r="IE149" s="51"/>
      <c r="IF149" s="108" t="str">
        <f t="shared" si="392"/>
        <v/>
      </c>
      <c r="IG149" s="109" t="str">
        <f t="shared" si="393"/>
        <v/>
      </c>
      <c r="IH149" s="109" t="str">
        <f t="shared" si="321"/>
        <v/>
      </c>
      <c r="II149" s="110" t="str">
        <f t="shared" si="394"/>
        <v/>
      </c>
      <c r="IJ149" s="51"/>
      <c r="IK149" s="108" t="str">
        <f t="shared" si="322"/>
        <v/>
      </c>
      <c r="IL149" s="109" t="str">
        <f t="shared" si="395"/>
        <v/>
      </c>
      <c r="IM149" s="109" t="str">
        <f t="shared" si="323"/>
        <v/>
      </c>
      <c r="IN149" s="110" t="str">
        <f t="shared" si="420"/>
        <v/>
      </c>
      <c r="IO149" s="51"/>
      <c r="IP149" s="108" t="str">
        <f t="shared" si="396"/>
        <v/>
      </c>
      <c r="IQ149" s="109" t="str">
        <f t="shared" si="397"/>
        <v/>
      </c>
      <c r="IR149" s="109" t="str">
        <f t="shared" si="324"/>
        <v/>
      </c>
      <c r="IS149" s="110" t="str">
        <f t="shared" si="398"/>
        <v/>
      </c>
      <c r="IT149" s="51"/>
      <c r="IU149" s="108" t="str">
        <f t="shared" si="325"/>
        <v/>
      </c>
      <c r="IV149" s="109" t="str">
        <f t="shared" si="399"/>
        <v/>
      </c>
      <c r="IW149" s="109" t="str">
        <f t="shared" si="326"/>
        <v/>
      </c>
      <c r="IX149" s="110" t="str">
        <f t="shared" si="421"/>
        <v/>
      </c>
      <c r="IY149" s="51"/>
      <c r="IZ149" s="108" t="str">
        <f t="shared" si="400"/>
        <v/>
      </c>
      <c r="JA149" s="109" t="str">
        <f t="shared" si="401"/>
        <v/>
      </c>
      <c r="JB149" s="109" t="str">
        <f t="shared" si="327"/>
        <v/>
      </c>
      <c r="JC149" s="110" t="str">
        <f t="shared" si="402"/>
        <v/>
      </c>
      <c r="JD149" s="51"/>
      <c r="JE149" s="108" t="str">
        <f t="shared" si="328"/>
        <v/>
      </c>
      <c r="JF149" s="109" t="str">
        <f t="shared" si="403"/>
        <v/>
      </c>
      <c r="JG149" s="109" t="str">
        <f t="shared" si="329"/>
        <v/>
      </c>
      <c r="JH149" s="110" t="str">
        <f t="shared" si="422"/>
        <v/>
      </c>
      <c r="JI149" s="51"/>
      <c r="JJ149" s="108" t="str">
        <f t="shared" si="404"/>
        <v/>
      </c>
      <c r="JK149" s="109" t="str">
        <f t="shared" si="405"/>
        <v/>
      </c>
      <c r="JL149" s="109" t="str">
        <f t="shared" si="330"/>
        <v/>
      </c>
      <c r="JM149" s="110" t="str">
        <f t="shared" si="406"/>
        <v/>
      </c>
      <c r="JN149" s="51"/>
      <c r="JO149" s="108" t="str">
        <f t="shared" si="331"/>
        <v/>
      </c>
      <c r="JP149" s="109" t="str">
        <f t="shared" si="407"/>
        <v/>
      </c>
      <c r="JQ149" s="109" t="str">
        <f t="shared" si="332"/>
        <v/>
      </c>
      <c r="JR149" s="110" t="str">
        <f t="shared" si="423"/>
        <v/>
      </c>
      <c r="JS149" s="51"/>
      <c r="JT149" s="108" t="str">
        <f t="shared" si="408"/>
        <v/>
      </c>
      <c r="JU149" s="109" t="str">
        <f t="shared" si="409"/>
        <v/>
      </c>
      <c r="JV149" s="109" t="str">
        <f t="shared" si="333"/>
        <v/>
      </c>
      <c r="JW149" s="110" t="str">
        <f t="shared" si="410"/>
        <v/>
      </c>
      <c r="JX149" s="51"/>
      <c r="JY149" s="108" t="str">
        <f t="shared" si="334"/>
        <v/>
      </c>
      <c r="JZ149" s="109" t="str">
        <f t="shared" si="411"/>
        <v/>
      </c>
      <c r="KA149" s="109" t="str">
        <f t="shared" si="335"/>
        <v/>
      </c>
      <c r="KB149" s="110" t="str">
        <f t="shared" si="424"/>
        <v/>
      </c>
      <c r="KC149" s="51"/>
      <c r="KD149" s="108" t="str">
        <f t="shared" si="412"/>
        <v/>
      </c>
      <c r="KE149" s="109" t="str">
        <f t="shared" si="413"/>
        <v/>
      </c>
      <c r="KF149" s="109" t="str">
        <f t="shared" si="336"/>
        <v/>
      </c>
      <c r="KG149" s="110" t="str">
        <f t="shared" si="337"/>
        <v/>
      </c>
    </row>
    <row r="150" spans="1:293" ht="12" customHeight="1">
      <c r="A150" s="105">
        <f t="array" ref="A150">MAX(IF($J$80:J149&gt;0,$C$80:C149,0))</f>
        <v>43535</v>
      </c>
      <c r="B150" s="81" t="str">
        <f t="shared" si="248"/>
        <v/>
      </c>
      <c r="C150" s="82">
        <f t="shared" si="414"/>
        <v>0</v>
      </c>
      <c r="D150" s="83" t="str">
        <f t="shared" si="249"/>
        <v/>
      </c>
      <c r="E150" s="83" t="str">
        <f t="shared" si="338"/>
        <v/>
      </c>
      <c r="F150" s="83" t="str">
        <f t="shared" si="250"/>
        <v/>
      </c>
      <c r="G150" s="83" t="str">
        <f t="shared" si="251"/>
        <v/>
      </c>
      <c r="H150" s="83" t="str">
        <f t="shared" si="252"/>
        <v/>
      </c>
      <c r="I150" s="105">
        <f t="array" ref="I150">MAX(IF($R$80:R149&gt;0,$L$80:L149,0))</f>
        <v>0</v>
      </c>
      <c r="J150" s="106"/>
      <c r="K150" s="2" t="str">
        <f t="shared" si="253"/>
        <v/>
      </c>
      <c r="L150" s="82">
        <f t="shared" si="415"/>
        <v>0</v>
      </c>
      <c r="M150" s="83" t="str">
        <f t="shared" si="254"/>
        <v/>
      </c>
      <c r="N150" s="83" t="str">
        <f t="shared" si="255"/>
        <v/>
      </c>
      <c r="O150" s="83" t="str">
        <f t="shared" si="256"/>
        <v/>
      </c>
      <c r="P150" s="83" t="str">
        <f t="shared" si="257"/>
        <v/>
      </c>
      <c r="Q150" s="83" t="str">
        <f t="shared" si="258"/>
        <v/>
      </c>
      <c r="R150" s="106"/>
      <c r="S150" s="1"/>
      <c r="U150" s="85" t="e">
        <f t="shared" si="244"/>
        <v>#NUM!</v>
      </c>
      <c r="V150" s="86" t="e">
        <f t="shared" si="339"/>
        <v>#NUM!</v>
      </c>
      <c r="W150" s="87" t="e">
        <f t="shared" si="259"/>
        <v>#NUM!</v>
      </c>
      <c r="X150" s="87" t="e">
        <f t="shared" si="260"/>
        <v>#NUM!</v>
      </c>
      <c r="Y150" s="87" t="e">
        <f t="shared" si="261"/>
        <v>#NUM!</v>
      </c>
      <c r="Z150" s="88" t="e">
        <f t="shared" si="245"/>
        <v>#NUM!</v>
      </c>
      <c r="AA150" t="s">
        <v>282</v>
      </c>
      <c r="AB150" s="89">
        <f t="shared" si="340"/>
        <v>0</v>
      </c>
      <c r="AC150" s="87">
        <f t="shared" si="262"/>
        <v>0</v>
      </c>
      <c r="AD150" s="87" t="str">
        <f t="shared" si="263"/>
        <v/>
      </c>
      <c r="AE150" s="87" t="str">
        <f t="shared" si="264"/>
        <v/>
      </c>
      <c r="AF150" s="86">
        <f t="shared" si="341"/>
        <v>0</v>
      </c>
      <c r="AG150" s="87">
        <f t="shared" si="246"/>
        <v>0</v>
      </c>
      <c r="AH150" s="87">
        <f t="shared" si="342"/>
        <v>0</v>
      </c>
      <c r="AI150" s="90"/>
      <c r="AJ150" s="87" t="e">
        <f t="shared" si="265"/>
        <v>#NUM!</v>
      </c>
      <c r="AK150" s="87" t="e">
        <f t="shared" si="343"/>
        <v>#NUM!</v>
      </c>
      <c r="AL150" s="87" t="e">
        <f t="shared" si="344"/>
        <v>#NUM!</v>
      </c>
      <c r="AM150" s="87" t="e">
        <f t="shared" si="345"/>
        <v>#NUM!</v>
      </c>
      <c r="AN150" s="86">
        <f t="shared" si="266"/>
        <v>0</v>
      </c>
      <c r="AO150" s="87">
        <f t="shared" si="267"/>
        <v>0</v>
      </c>
      <c r="AP150" s="88">
        <f t="shared" si="268"/>
        <v>0</v>
      </c>
      <c r="AR150" s="91">
        <f t="shared" si="269"/>
        <v>0</v>
      </c>
      <c r="AS150" s="92">
        <f t="shared" si="270"/>
        <v>0</v>
      </c>
      <c r="AT150" s="87" t="str">
        <f t="shared" si="271"/>
        <v/>
      </c>
      <c r="AU150" s="87" t="str">
        <f t="shared" si="272"/>
        <v/>
      </c>
      <c r="AV150" s="86">
        <f t="shared" si="346"/>
        <v>0</v>
      </c>
      <c r="AW150" s="87">
        <f t="shared" si="347"/>
        <v>0</v>
      </c>
      <c r="AX150" s="87">
        <f t="shared" si="348"/>
        <v>0</v>
      </c>
      <c r="AY150" s="93"/>
      <c r="AZ150" s="87">
        <f t="shared" si="425"/>
        <v>0</v>
      </c>
      <c r="BA150" s="87">
        <f t="shared" si="349"/>
        <v>0</v>
      </c>
      <c r="BB150" s="87">
        <f t="shared" si="350"/>
        <v>0</v>
      </c>
      <c r="BC150" s="87">
        <f t="shared" si="416"/>
        <v>0</v>
      </c>
      <c r="BD150" s="86" t="e">
        <f t="shared" si="273"/>
        <v>#NUM!</v>
      </c>
      <c r="BE150" s="87" t="e">
        <f t="shared" si="247"/>
        <v>#NUM!</v>
      </c>
      <c r="BF150" s="88">
        <f t="shared" si="351"/>
        <v>0</v>
      </c>
      <c r="BH150" s="87" t="e">
        <f t="shared" si="274"/>
        <v>#NUM!</v>
      </c>
      <c r="BK150" s="95">
        <v>41055</v>
      </c>
      <c r="BL150" s="96">
        <v>71</v>
      </c>
      <c r="CY150" s="108" t="str">
        <f t="shared" si="275"/>
        <v/>
      </c>
      <c r="CZ150" s="109" t="str">
        <f t="shared" si="276"/>
        <v/>
      </c>
      <c r="DA150" s="109" t="str">
        <f t="shared" si="277"/>
        <v/>
      </c>
      <c r="DB150" s="110" t="str">
        <f t="shared" si="225"/>
        <v/>
      </c>
      <c r="DD150" s="108" t="str">
        <f t="shared" si="278"/>
        <v/>
      </c>
      <c r="DE150" s="109" t="str">
        <f t="shared" si="352"/>
        <v/>
      </c>
      <c r="DF150" s="109" t="str">
        <f t="shared" si="279"/>
        <v/>
      </c>
      <c r="DG150" s="110" t="str">
        <f t="shared" si="226"/>
        <v/>
      </c>
      <c r="DI150" s="108" t="str">
        <f t="shared" si="353"/>
        <v/>
      </c>
      <c r="DJ150" s="109" t="str">
        <f t="shared" si="354"/>
        <v/>
      </c>
      <c r="DK150" s="109" t="str">
        <f t="shared" si="280"/>
        <v/>
      </c>
      <c r="DL150" s="110" t="str">
        <f t="shared" si="227"/>
        <v/>
      </c>
      <c r="DN150" s="108" t="str">
        <f t="shared" si="281"/>
        <v/>
      </c>
      <c r="DO150" s="109" t="str">
        <f t="shared" si="282"/>
        <v/>
      </c>
      <c r="DP150" s="109" t="str">
        <f t="shared" si="283"/>
        <v/>
      </c>
      <c r="DQ150" s="110" t="str">
        <f t="shared" si="228"/>
        <v/>
      </c>
      <c r="DS150" s="108" t="str">
        <f t="shared" si="355"/>
        <v/>
      </c>
      <c r="DT150" s="109" t="str">
        <f t="shared" si="356"/>
        <v/>
      </c>
      <c r="DU150" s="109" t="str">
        <f t="shared" si="284"/>
        <v/>
      </c>
      <c r="DV150" s="110" t="str">
        <f t="shared" si="229"/>
        <v/>
      </c>
      <c r="DX150" s="108" t="str">
        <f t="shared" si="285"/>
        <v/>
      </c>
      <c r="DY150" s="109" t="str">
        <f t="shared" si="357"/>
        <v/>
      </c>
      <c r="DZ150" s="109" t="str">
        <f t="shared" si="286"/>
        <v/>
      </c>
      <c r="EA150" s="110" t="str">
        <f t="shared" si="230"/>
        <v/>
      </c>
      <c r="EC150" s="108" t="str">
        <f t="shared" si="358"/>
        <v/>
      </c>
      <c r="ED150" s="109" t="str">
        <f t="shared" si="359"/>
        <v/>
      </c>
      <c r="EE150" s="109" t="str">
        <f t="shared" si="287"/>
        <v/>
      </c>
      <c r="EF150" s="110" t="str">
        <f t="shared" si="231"/>
        <v/>
      </c>
      <c r="EH150" s="108" t="str">
        <f t="shared" si="288"/>
        <v/>
      </c>
      <c r="EI150" s="109" t="str">
        <f t="shared" si="360"/>
        <v/>
      </c>
      <c r="EJ150" s="109" t="str">
        <f t="shared" si="289"/>
        <v/>
      </c>
      <c r="EK150" s="110" t="str">
        <f t="shared" si="232"/>
        <v/>
      </c>
      <c r="EM150" s="108" t="str">
        <f t="shared" si="361"/>
        <v/>
      </c>
      <c r="EN150" s="109" t="str">
        <f t="shared" si="362"/>
        <v/>
      </c>
      <c r="EO150" s="109" t="str">
        <f t="shared" si="290"/>
        <v/>
      </c>
      <c r="EP150" s="110" t="str">
        <f t="shared" si="233"/>
        <v/>
      </c>
      <c r="ER150" s="108" t="str">
        <f t="shared" si="291"/>
        <v/>
      </c>
      <c r="ES150" s="109" t="str">
        <f t="shared" si="363"/>
        <v/>
      </c>
      <c r="ET150" s="109" t="str">
        <f t="shared" si="292"/>
        <v/>
      </c>
      <c r="EU150" s="110" t="str">
        <f t="shared" si="234"/>
        <v/>
      </c>
      <c r="EW150" s="108" t="str">
        <f t="shared" si="364"/>
        <v/>
      </c>
      <c r="EX150" s="109" t="str">
        <f t="shared" si="365"/>
        <v/>
      </c>
      <c r="EY150" s="109" t="str">
        <f t="shared" si="293"/>
        <v/>
      </c>
      <c r="EZ150" s="110" t="str">
        <f t="shared" si="235"/>
        <v/>
      </c>
      <c r="FB150" s="108" t="str">
        <f t="shared" si="294"/>
        <v/>
      </c>
      <c r="FC150" s="109" t="str">
        <f t="shared" si="366"/>
        <v/>
      </c>
      <c r="FD150" s="109" t="str">
        <f t="shared" si="295"/>
        <v/>
      </c>
      <c r="FE150" s="110" t="str">
        <f t="shared" si="236"/>
        <v/>
      </c>
      <c r="FG150" s="108" t="str">
        <f t="shared" si="367"/>
        <v/>
      </c>
      <c r="FH150" s="109" t="str">
        <f t="shared" si="368"/>
        <v/>
      </c>
      <c r="FI150" s="109" t="str">
        <f t="shared" si="296"/>
        <v/>
      </c>
      <c r="FJ150" s="110" t="str">
        <f t="shared" si="237"/>
        <v/>
      </c>
      <c r="FL150" s="108" t="str">
        <f t="shared" si="297"/>
        <v/>
      </c>
      <c r="FM150" s="109" t="str">
        <f t="shared" si="369"/>
        <v/>
      </c>
      <c r="FN150" s="109" t="str">
        <f t="shared" si="298"/>
        <v/>
      </c>
      <c r="FO150" s="110" t="str">
        <f t="shared" si="238"/>
        <v/>
      </c>
      <c r="FQ150" s="108" t="str">
        <f t="shared" si="370"/>
        <v/>
      </c>
      <c r="FR150" s="109" t="str">
        <f t="shared" si="371"/>
        <v/>
      </c>
      <c r="FS150" s="109" t="str">
        <f t="shared" si="299"/>
        <v/>
      </c>
      <c r="FT150" s="110" t="str">
        <f t="shared" si="239"/>
        <v/>
      </c>
      <c r="FV150" s="108" t="str">
        <f t="shared" si="300"/>
        <v/>
      </c>
      <c r="FW150" s="109" t="str">
        <f t="shared" si="372"/>
        <v/>
      </c>
      <c r="FX150" s="109" t="str">
        <f t="shared" si="301"/>
        <v/>
      </c>
      <c r="FY150" s="110" t="str">
        <f t="shared" si="240"/>
        <v/>
      </c>
      <c r="GA150" s="108" t="str">
        <f t="shared" si="373"/>
        <v/>
      </c>
      <c r="GB150" s="109" t="str">
        <f t="shared" si="374"/>
        <v/>
      </c>
      <c r="GC150" s="109" t="str">
        <f t="shared" si="302"/>
        <v/>
      </c>
      <c r="GD150" s="110" t="str">
        <f t="shared" si="241"/>
        <v/>
      </c>
      <c r="GF150" s="108" t="str">
        <f t="shared" si="303"/>
        <v/>
      </c>
      <c r="GG150" s="109" t="str">
        <f t="shared" si="375"/>
        <v/>
      </c>
      <c r="GH150" s="109" t="str">
        <f t="shared" si="304"/>
        <v/>
      </c>
      <c r="GI150" s="110" t="str">
        <f t="shared" si="242"/>
        <v/>
      </c>
      <c r="GK150" s="108" t="str">
        <f t="shared" si="376"/>
        <v/>
      </c>
      <c r="GL150" s="109" t="str">
        <f t="shared" si="377"/>
        <v/>
      </c>
      <c r="GM150" s="109" t="str">
        <f t="shared" si="378"/>
        <v/>
      </c>
      <c r="GN150" s="110" t="str">
        <f t="shared" si="243"/>
        <v/>
      </c>
      <c r="GR150" s="108" t="str">
        <f t="shared" si="305"/>
        <v/>
      </c>
      <c r="GS150" s="109" t="str">
        <f t="shared" si="306"/>
        <v/>
      </c>
      <c r="GT150" s="109" t="str">
        <f t="shared" si="307"/>
        <v/>
      </c>
      <c r="GU150" s="110" t="str">
        <f t="shared" si="308"/>
        <v/>
      </c>
      <c r="GV150" s="51"/>
      <c r="GW150" s="108" t="str">
        <f t="shared" si="309"/>
        <v/>
      </c>
      <c r="GX150" s="109" t="str">
        <f t="shared" si="379"/>
        <v/>
      </c>
      <c r="GY150" s="109" t="str">
        <f t="shared" si="310"/>
        <v/>
      </c>
      <c r="GZ150" s="110" t="str">
        <f t="shared" si="311"/>
        <v/>
      </c>
      <c r="HA150" s="51"/>
      <c r="HB150" s="108" t="str">
        <f t="shared" si="380"/>
        <v/>
      </c>
      <c r="HC150" s="109" t="str">
        <f t="shared" si="381"/>
        <v/>
      </c>
      <c r="HD150" s="109" t="str">
        <f t="shared" si="312"/>
        <v/>
      </c>
      <c r="HE150" s="110" t="str">
        <f t="shared" si="382"/>
        <v/>
      </c>
      <c r="HF150" s="51"/>
      <c r="HG150" s="108" t="str">
        <f t="shared" si="313"/>
        <v/>
      </c>
      <c r="HH150" s="109" t="str">
        <f t="shared" si="383"/>
        <v/>
      </c>
      <c r="HI150" s="109" t="str">
        <f t="shared" si="314"/>
        <v/>
      </c>
      <c r="HJ150" s="110" t="str">
        <f t="shared" si="417"/>
        <v/>
      </c>
      <c r="HK150" s="51"/>
      <c r="HL150" s="108" t="str">
        <f t="shared" si="384"/>
        <v/>
      </c>
      <c r="HM150" s="109" t="str">
        <f t="shared" si="385"/>
        <v/>
      </c>
      <c r="HN150" s="109" t="str">
        <f t="shared" si="315"/>
        <v/>
      </c>
      <c r="HO150" s="110" t="str">
        <f t="shared" si="386"/>
        <v/>
      </c>
      <c r="HP150" s="51"/>
      <c r="HQ150" s="108" t="str">
        <f t="shared" si="316"/>
        <v/>
      </c>
      <c r="HR150" s="109" t="str">
        <f t="shared" si="387"/>
        <v/>
      </c>
      <c r="HS150" s="109" t="str">
        <f t="shared" si="317"/>
        <v/>
      </c>
      <c r="HT150" s="110" t="str">
        <f t="shared" si="418"/>
        <v/>
      </c>
      <c r="HU150" s="51"/>
      <c r="HV150" s="108" t="str">
        <f t="shared" si="388"/>
        <v/>
      </c>
      <c r="HW150" s="109" t="str">
        <f t="shared" si="389"/>
        <v/>
      </c>
      <c r="HX150" s="109" t="str">
        <f t="shared" si="318"/>
        <v/>
      </c>
      <c r="HY150" s="110" t="str">
        <f t="shared" si="390"/>
        <v/>
      </c>
      <c r="HZ150" s="51"/>
      <c r="IA150" s="108" t="str">
        <f t="shared" si="319"/>
        <v/>
      </c>
      <c r="IB150" s="109" t="str">
        <f t="shared" si="391"/>
        <v/>
      </c>
      <c r="IC150" s="109" t="str">
        <f t="shared" si="320"/>
        <v/>
      </c>
      <c r="ID150" s="110" t="str">
        <f t="shared" si="419"/>
        <v/>
      </c>
      <c r="IE150" s="51"/>
      <c r="IF150" s="108" t="str">
        <f t="shared" si="392"/>
        <v/>
      </c>
      <c r="IG150" s="109" t="str">
        <f t="shared" si="393"/>
        <v/>
      </c>
      <c r="IH150" s="109" t="str">
        <f t="shared" si="321"/>
        <v/>
      </c>
      <c r="II150" s="110" t="str">
        <f t="shared" si="394"/>
        <v/>
      </c>
      <c r="IJ150" s="51"/>
      <c r="IK150" s="108" t="str">
        <f t="shared" si="322"/>
        <v/>
      </c>
      <c r="IL150" s="109" t="str">
        <f t="shared" si="395"/>
        <v/>
      </c>
      <c r="IM150" s="109" t="str">
        <f t="shared" si="323"/>
        <v/>
      </c>
      <c r="IN150" s="110" t="str">
        <f t="shared" si="420"/>
        <v/>
      </c>
      <c r="IO150" s="51"/>
      <c r="IP150" s="108" t="str">
        <f t="shared" si="396"/>
        <v/>
      </c>
      <c r="IQ150" s="109" t="str">
        <f t="shared" si="397"/>
        <v/>
      </c>
      <c r="IR150" s="109" t="str">
        <f t="shared" si="324"/>
        <v/>
      </c>
      <c r="IS150" s="110" t="str">
        <f t="shared" si="398"/>
        <v/>
      </c>
      <c r="IT150" s="51"/>
      <c r="IU150" s="108" t="str">
        <f t="shared" si="325"/>
        <v/>
      </c>
      <c r="IV150" s="109" t="str">
        <f t="shared" si="399"/>
        <v/>
      </c>
      <c r="IW150" s="109" t="str">
        <f t="shared" si="326"/>
        <v/>
      </c>
      <c r="IX150" s="110" t="str">
        <f t="shared" si="421"/>
        <v/>
      </c>
      <c r="IY150" s="51"/>
      <c r="IZ150" s="108" t="str">
        <f t="shared" si="400"/>
        <v/>
      </c>
      <c r="JA150" s="109" t="str">
        <f t="shared" si="401"/>
        <v/>
      </c>
      <c r="JB150" s="109" t="str">
        <f t="shared" si="327"/>
        <v/>
      </c>
      <c r="JC150" s="110" t="str">
        <f t="shared" si="402"/>
        <v/>
      </c>
      <c r="JD150" s="51"/>
      <c r="JE150" s="108" t="str">
        <f t="shared" si="328"/>
        <v/>
      </c>
      <c r="JF150" s="109" t="str">
        <f t="shared" si="403"/>
        <v/>
      </c>
      <c r="JG150" s="109" t="str">
        <f t="shared" si="329"/>
        <v/>
      </c>
      <c r="JH150" s="110" t="str">
        <f t="shared" si="422"/>
        <v/>
      </c>
      <c r="JI150" s="51"/>
      <c r="JJ150" s="108" t="str">
        <f t="shared" si="404"/>
        <v/>
      </c>
      <c r="JK150" s="109" t="str">
        <f t="shared" si="405"/>
        <v/>
      </c>
      <c r="JL150" s="109" t="str">
        <f t="shared" si="330"/>
        <v/>
      </c>
      <c r="JM150" s="110" t="str">
        <f t="shared" si="406"/>
        <v/>
      </c>
      <c r="JN150" s="51"/>
      <c r="JO150" s="108" t="str">
        <f t="shared" si="331"/>
        <v/>
      </c>
      <c r="JP150" s="109" t="str">
        <f t="shared" si="407"/>
        <v/>
      </c>
      <c r="JQ150" s="109" t="str">
        <f t="shared" si="332"/>
        <v/>
      </c>
      <c r="JR150" s="110" t="str">
        <f t="shared" si="423"/>
        <v/>
      </c>
      <c r="JS150" s="51"/>
      <c r="JT150" s="108" t="str">
        <f t="shared" si="408"/>
        <v/>
      </c>
      <c r="JU150" s="109" t="str">
        <f t="shared" si="409"/>
        <v/>
      </c>
      <c r="JV150" s="109" t="str">
        <f t="shared" si="333"/>
        <v/>
      </c>
      <c r="JW150" s="110" t="str">
        <f t="shared" si="410"/>
        <v/>
      </c>
      <c r="JX150" s="51"/>
      <c r="JY150" s="108" t="str">
        <f t="shared" si="334"/>
        <v/>
      </c>
      <c r="JZ150" s="109" t="str">
        <f t="shared" si="411"/>
        <v/>
      </c>
      <c r="KA150" s="109" t="str">
        <f t="shared" si="335"/>
        <v/>
      </c>
      <c r="KB150" s="110" t="str">
        <f t="shared" si="424"/>
        <v/>
      </c>
      <c r="KC150" s="51"/>
      <c r="KD150" s="108" t="str">
        <f t="shared" si="412"/>
        <v/>
      </c>
      <c r="KE150" s="109" t="str">
        <f t="shared" si="413"/>
        <v/>
      </c>
      <c r="KF150" s="109" t="str">
        <f t="shared" si="336"/>
        <v/>
      </c>
      <c r="KG150" s="110" t="str">
        <f t="shared" si="337"/>
        <v/>
      </c>
    </row>
    <row r="151" spans="1:293" ht="12" customHeight="1">
      <c r="A151" s="105">
        <f t="array" ref="A151">MAX(IF($J$80:J150&gt;0,$C$80:C150,0))</f>
        <v>43535</v>
      </c>
      <c r="B151" s="81" t="str">
        <f t="shared" si="248"/>
        <v/>
      </c>
      <c r="C151" s="82">
        <f t="shared" si="414"/>
        <v>0</v>
      </c>
      <c r="D151" s="83" t="str">
        <f t="shared" si="249"/>
        <v/>
      </c>
      <c r="E151" s="83" t="str">
        <f t="shared" si="338"/>
        <v/>
      </c>
      <c r="F151" s="83" t="str">
        <f t="shared" si="250"/>
        <v/>
      </c>
      <c r="G151" s="83" t="str">
        <f t="shared" si="251"/>
        <v/>
      </c>
      <c r="H151" s="83" t="str">
        <f t="shared" si="252"/>
        <v/>
      </c>
      <c r="I151" s="105">
        <f t="array" ref="I151">MAX(IF($R$80:R150&gt;0,$L$80:L150,0))</f>
        <v>0</v>
      </c>
      <c r="J151" s="106"/>
      <c r="K151" s="2" t="str">
        <f t="shared" si="253"/>
        <v/>
      </c>
      <c r="L151" s="82">
        <f t="shared" si="415"/>
        <v>0</v>
      </c>
      <c r="M151" s="83" t="str">
        <f t="shared" si="254"/>
        <v/>
      </c>
      <c r="N151" s="83" t="str">
        <f t="shared" si="255"/>
        <v/>
      </c>
      <c r="O151" s="83" t="str">
        <f t="shared" si="256"/>
        <v/>
      </c>
      <c r="P151" s="83" t="str">
        <f t="shared" si="257"/>
        <v/>
      </c>
      <c r="Q151" s="83" t="str">
        <f t="shared" si="258"/>
        <v/>
      </c>
      <c r="R151" s="106"/>
      <c r="S151" s="1"/>
      <c r="U151" s="85" t="e">
        <f t="shared" si="244"/>
        <v>#NUM!</v>
      </c>
      <c r="V151" s="86" t="e">
        <f t="shared" si="339"/>
        <v>#NUM!</v>
      </c>
      <c r="W151" s="87" t="e">
        <f t="shared" si="259"/>
        <v>#NUM!</v>
      </c>
      <c r="X151" s="87" t="e">
        <f t="shared" si="260"/>
        <v>#NUM!</v>
      </c>
      <c r="Y151" s="87" t="e">
        <f t="shared" si="261"/>
        <v>#NUM!</v>
      </c>
      <c r="Z151" s="88" t="e">
        <f t="shared" si="245"/>
        <v>#NUM!</v>
      </c>
      <c r="AA151" t="s">
        <v>282</v>
      </c>
      <c r="AB151" s="89">
        <f t="shared" si="340"/>
        <v>0</v>
      </c>
      <c r="AC151" s="87">
        <f t="shared" si="262"/>
        <v>0</v>
      </c>
      <c r="AD151" s="87" t="str">
        <f t="shared" si="263"/>
        <v/>
      </c>
      <c r="AE151" s="87" t="str">
        <f t="shared" si="264"/>
        <v/>
      </c>
      <c r="AF151" s="86">
        <f t="shared" si="341"/>
        <v>0</v>
      </c>
      <c r="AG151" s="87">
        <f t="shared" si="246"/>
        <v>0</v>
      </c>
      <c r="AH151" s="87">
        <f t="shared" si="342"/>
        <v>0</v>
      </c>
      <c r="AI151" s="90"/>
      <c r="AJ151" s="87" t="e">
        <f t="shared" si="265"/>
        <v>#NUM!</v>
      </c>
      <c r="AK151" s="87" t="e">
        <f t="shared" si="343"/>
        <v>#NUM!</v>
      </c>
      <c r="AL151" s="87" t="e">
        <f t="shared" si="344"/>
        <v>#NUM!</v>
      </c>
      <c r="AM151" s="87" t="e">
        <f t="shared" si="345"/>
        <v>#NUM!</v>
      </c>
      <c r="AN151" s="86">
        <f t="shared" si="266"/>
        <v>0</v>
      </c>
      <c r="AO151" s="87">
        <f t="shared" si="267"/>
        <v>0</v>
      </c>
      <c r="AP151" s="88">
        <f t="shared" si="268"/>
        <v>0</v>
      </c>
      <c r="AR151" s="91">
        <f t="shared" si="269"/>
        <v>0</v>
      </c>
      <c r="AS151" s="92">
        <f t="shared" si="270"/>
        <v>0</v>
      </c>
      <c r="AT151" s="87" t="str">
        <f t="shared" si="271"/>
        <v/>
      </c>
      <c r="AU151" s="87" t="str">
        <f t="shared" si="272"/>
        <v/>
      </c>
      <c r="AV151" s="86">
        <f t="shared" si="346"/>
        <v>0</v>
      </c>
      <c r="AW151" s="87">
        <f t="shared" si="347"/>
        <v>0</v>
      </c>
      <c r="AX151" s="87">
        <f t="shared" si="348"/>
        <v>0</v>
      </c>
      <c r="AY151" s="93"/>
      <c r="AZ151" s="87">
        <f t="shared" si="425"/>
        <v>0</v>
      </c>
      <c r="BA151" s="87">
        <f t="shared" si="349"/>
        <v>0</v>
      </c>
      <c r="BB151" s="87">
        <f t="shared" si="350"/>
        <v>0</v>
      </c>
      <c r="BC151" s="87">
        <f t="shared" si="416"/>
        <v>0</v>
      </c>
      <c r="BD151" s="86" t="e">
        <f t="shared" si="273"/>
        <v>#NUM!</v>
      </c>
      <c r="BE151" s="87" t="e">
        <f t="shared" si="247"/>
        <v>#NUM!</v>
      </c>
      <c r="BF151" s="88">
        <f t="shared" si="351"/>
        <v>0</v>
      </c>
      <c r="BH151" s="87" t="e">
        <f t="shared" si="274"/>
        <v>#NUM!</v>
      </c>
      <c r="BK151" s="95">
        <v>41149</v>
      </c>
      <c r="BL151" s="96">
        <v>72</v>
      </c>
      <c r="CY151" s="108" t="str">
        <f t="shared" si="275"/>
        <v/>
      </c>
      <c r="CZ151" s="109" t="str">
        <f t="shared" si="276"/>
        <v/>
      </c>
      <c r="DA151" s="109" t="str">
        <f t="shared" si="277"/>
        <v/>
      </c>
      <c r="DB151" s="110" t="str">
        <f t="shared" si="225"/>
        <v/>
      </c>
      <c r="DD151" s="108" t="str">
        <f t="shared" si="278"/>
        <v/>
      </c>
      <c r="DE151" s="109" t="str">
        <f t="shared" si="352"/>
        <v/>
      </c>
      <c r="DF151" s="109" t="str">
        <f t="shared" si="279"/>
        <v/>
      </c>
      <c r="DG151" s="110" t="str">
        <f t="shared" si="226"/>
        <v/>
      </c>
      <c r="DI151" s="108" t="str">
        <f t="shared" si="353"/>
        <v/>
      </c>
      <c r="DJ151" s="109" t="str">
        <f t="shared" si="354"/>
        <v/>
      </c>
      <c r="DK151" s="109" t="str">
        <f t="shared" si="280"/>
        <v/>
      </c>
      <c r="DL151" s="110" t="str">
        <f t="shared" si="227"/>
        <v/>
      </c>
      <c r="DN151" s="108" t="str">
        <f t="shared" si="281"/>
        <v/>
      </c>
      <c r="DO151" s="109" t="str">
        <f t="shared" si="282"/>
        <v/>
      </c>
      <c r="DP151" s="109" t="str">
        <f t="shared" si="283"/>
        <v/>
      </c>
      <c r="DQ151" s="110" t="str">
        <f t="shared" si="228"/>
        <v/>
      </c>
      <c r="DS151" s="108" t="str">
        <f t="shared" si="355"/>
        <v/>
      </c>
      <c r="DT151" s="109" t="str">
        <f t="shared" si="356"/>
        <v/>
      </c>
      <c r="DU151" s="109" t="str">
        <f t="shared" si="284"/>
        <v/>
      </c>
      <c r="DV151" s="110" t="str">
        <f t="shared" si="229"/>
        <v/>
      </c>
      <c r="DX151" s="108" t="str">
        <f t="shared" si="285"/>
        <v/>
      </c>
      <c r="DY151" s="109" t="str">
        <f t="shared" si="357"/>
        <v/>
      </c>
      <c r="DZ151" s="109" t="str">
        <f t="shared" si="286"/>
        <v/>
      </c>
      <c r="EA151" s="110" t="str">
        <f t="shared" si="230"/>
        <v/>
      </c>
      <c r="EC151" s="108" t="str">
        <f t="shared" si="358"/>
        <v/>
      </c>
      <c r="ED151" s="109" t="str">
        <f t="shared" si="359"/>
        <v/>
      </c>
      <c r="EE151" s="109" t="str">
        <f t="shared" si="287"/>
        <v/>
      </c>
      <c r="EF151" s="110" t="str">
        <f t="shared" si="231"/>
        <v/>
      </c>
      <c r="EH151" s="108" t="str">
        <f t="shared" si="288"/>
        <v/>
      </c>
      <c r="EI151" s="109" t="str">
        <f t="shared" si="360"/>
        <v/>
      </c>
      <c r="EJ151" s="109" t="str">
        <f t="shared" si="289"/>
        <v/>
      </c>
      <c r="EK151" s="110" t="str">
        <f t="shared" si="232"/>
        <v/>
      </c>
      <c r="EM151" s="108" t="str">
        <f t="shared" si="361"/>
        <v/>
      </c>
      <c r="EN151" s="109" t="str">
        <f t="shared" si="362"/>
        <v/>
      </c>
      <c r="EO151" s="109" t="str">
        <f t="shared" si="290"/>
        <v/>
      </c>
      <c r="EP151" s="110" t="str">
        <f t="shared" si="233"/>
        <v/>
      </c>
      <c r="ER151" s="108" t="str">
        <f t="shared" si="291"/>
        <v/>
      </c>
      <c r="ES151" s="109" t="str">
        <f t="shared" si="363"/>
        <v/>
      </c>
      <c r="ET151" s="109" t="str">
        <f t="shared" si="292"/>
        <v/>
      </c>
      <c r="EU151" s="110" t="str">
        <f t="shared" si="234"/>
        <v/>
      </c>
      <c r="EW151" s="108" t="str">
        <f t="shared" si="364"/>
        <v/>
      </c>
      <c r="EX151" s="109" t="str">
        <f t="shared" si="365"/>
        <v/>
      </c>
      <c r="EY151" s="109" t="str">
        <f t="shared" si="293"/>
        <v/>
      </c>
      <c r="EZ151" s="110" t="str">
        <f t="shared" si="235"/>
        <v/>
      </c>
      <c r="FB151" s="108" t="str">
        <f t="shared" si="294"/>
        <v/>
      </c>
      <c r="FC151" s="109" t="str">
        <f t="shared" si="366"/>
        <v/>
      </c>
      <c r="FD151" s="109" t="str">
        <f t="shared" si="295"/>
        <v/>
      </c>
      <c r="FE151" s="110" t="str">
        <f t="shared" si="236"/>
        <v/>
      </c>
      <c r="FG151" s="108" t="str">
        <f t="shared" si="367"/>
        <v/>
      </c>
      <c r="FH151" s="109" t="str">
        <f t="shared" si="368"/>
        <v/>
      </c>
      <c r="FI151" s="109" t="str">
        <f t="shared" si="296"/>
        <v/>
      </c>
      <c r="FJ151" s="110" t="str">
        <f t="shared" si="237"/>
        <v/>
      </c>
      <c r="FL151" s="108" t="str">
        <f t="shared" si="297"/>
        <v/>
      </c>
      <c r="FM151" s="109" t="str">
        <f t="shared" si="369"/>
        <v/>
      </c>
      <c r="FN151" s="109" t="str">
        <f t="shared" si="298"/>
        <v/>
      </c>
      <c r="FO151" s="110" t="str">
        <f t="shared" si="238"/>
        <v/>
      </c>
      <c r="FQ151" s="108" t="str">
        <f t="shared" si="370"/>
        <v/>
      </c>
      <c r="FR151" s="109" t="str">
        <f t="shared" si="371"/>
        <v/>
      </c>
      <c r="FS151" s="109" t="str">
        <f t="shared" si="299"/>
        <v/>
      </c>
      <c r="FT151" s="110" t="str">
        <f t="shared" si="239"/>
        <v/>
      </c>
      <c r="FV151" s="108" t="str">
        <f t="shared" si="300"/>
        <v/>
      </c>
      <c r="FW151" s="109" t="str">
        <f t="shared" si="372"/>
        <v/>
      </c>
      <c r="FX151" s="109" t="str">
        <f t="shared" si="301"/>
        <v/>
      </c>
      <c r="FY151" s="110" t="str">
        <f t="shared" si="240"/>
        <v/>
      </c>
      <c r="GA151" s="108" t="str">
        <f t="shared" si="373"/>
        <v/>
      </c>
      <c r="GB151" s="109" t="str">
        <f t="shared" si="374"/>
        <v/>
      </c>
      <c r="GC151" s="109" t="str">
        <f t="shared" si="302"/>
        <v/>
      </c>
      <c r="GD151" s="110" t="str">
        <f t="shared" si="241"/>
        <v/>
      </c>
      <c r="GF151" s="108" t="str">
        <f t="shared" si="303"/>
        <v/>
      </c>
      <c r="GG151" s="109" t="str">
        <f t="shared" si="375"/>
        <v/>
      </c>
      <c r="GH151" s="109" t="str">
        <f t="shared" si="304"/>
        <v/>
      </c>
      <c r="GI151" s="110" t="str">
        <f t="shared" si="242"/>
        <v/>
      </c>
      <c r="GK151" s="108" t="str">
        <f t="shared" si="376"/>
        <v/>
      </c>
      <c r="GL151" s="109" t="str">
        <f t="shared" si="377"/>
        <v/>
      </c>
      <c r="GM151" s="109" t="str">
        <f t="shared" si="378"/>
        <v/>
      </c>
      <c r="GN151" s="110" t="str">
        <f t="shared" si="243"/>
        <v/>
      </c>
      <c r="GR151" s="108" t="str">
        <f t="shared" si="305"/>
        <v/>
      </c>
      <c r="GS151" s="109" t="str">
        <f t="shared" si="306"/>
        <v/>
      </c>
      <c r="GT151" s="109" t="str">
        <f t="shared" si="307"/>
        <v/>
      </c>
      <c r="GU151" s="110" t="str">
        <f t="shared" si="308"/>
        <v/>
      </c>
      <c r="GV151" s="51"/>
      <c r="GW151" s="108" t="str">
        <f t="shared" si="309"/>
        <v/>
      </c>
      <c r="GX151" s="109" t="str">
        <f t="shared" si="379"/>
        <v/>
      </c>
      <c r="GY151" s="109" t="str">
        <f t="shared" si="310"/>
        <v/>
      </c>
      <c r="GZ151" s="110" t="str">
        <f t="shared" si="311"/>
        <v/>
      </c>
      <c r="HA151" s="51"/>
      <c r="HB151" s="108" t="str">
        <f t="shared" si="380"/>
        <v/>
      </c>
      <c r="HC151" s="109" t="str">
        <f t="shared" si="381"/>
        <v/>
      </c>
      <c r="HD151" s="109" t="str">
        <f t="shared" si="312"/>
        <v/>
      </c>
      <c r="HE151" s="110" t="str">
        <f t="shared" si="382"/>
        <v/>
      </c>
      <c r="HF151" s="51"/>
      <c r="HG151" s="108" t="str">
        <f t="shared" si="313"/>
        <v/>
      </c>
      <c r="HH151" s="109" t="str">
        <f t="shared" si="383"/>
        <v/>
      </c>
      <c r="HI151" s="109" t="str">
        <f t="shared" si="314"/>
        <v/>
      </c>
      <c r="HJ151" s="110" t="str">
        <f t="shared" si="417"/>
        <v/>
      </c>
      <c r="HK151" s="51"/>
      <c r="HL151" s="108" t="str">
        <f t="shared" si="384"/>
        <v/>
      </c>
      <c r="HM151" s="109" t="str">
        <f t="shared" si="385"/>
        <v/>
      </c>
      <c r="HN151" s="109" t="str">
        <f t="shared" si="315"/>
        <v/>
      </c>
      <c r="HO151" s="110" t="str">
        <f t="shared" si="386"/>
        <v/>
      </c>
      <c r="HP151" s="51"/>
      <c r="HQ151" s="108" t="str">
        <f t="shared" si="316"/>
        <v/>
      </c>
      <c r="HR151" s="109" t="str">
        <f t="shared" si="387"/>
        <v/>
      </c>
      <c r="HS151" s="109" t="str">
        <f t="shared" si="317"/>
        <v/>
      </c>
      <c r="HT151" s="110" t="str">
        <f t="shared" si="418"/>
        <v/>
      </c>
      <c r="HU151" s="51"/>
      <c r="HV151" s="108" t="str">
        <f t="shared" si="388"/>
        <v/>
      </c>
      <c r="HW151" s="109" t="str">
        <f t="shared" si="389"/>
        <v/>
      </c>
      <c r="HX151" s="109" t="str">
        <f t="shared" si="318"/>
        <v/>
      </c>
      <c r="HY151" s="110" t="str">
        <f t="shared" si="390"/>
        <v/>
      </c>
      <c r="HZ151" s="51"/>
      <c r="IA151" s="108" t="str">
        <f t="shared" si="319"/>
        <v/>
      </c>
      <c r="IB151" s="109" t="str">
        <f t="shared" si="391"/>
        <v/>
      </c>
      <c r="IC151" s="109" t="str">
        <f t="shared" si="320"/>
        <v/>
      </c>
      <c r="ID151" s="110" t="str">
        <f t="shared" si="419"/>
        <v/>
      </c>
      <c r="IE151" s="51"/>
      <c r="IF151" s="108" t="str">
        <f t="shared" si="392"/>
        <v/>
      </c>
      <c r="IG151" s="109" t="str">
        <f t="shared" si="393"/>
        <v/>
      </c>
      <c r="IH151" s="109" t="str">
        <f t="shared" si="321"/>
        <v/>
      </c>
      <c r="II151" s="110" t="str">
        <f t="shared" si="394"/>
        <v/>
      </c>
      <c r="IJ151" s="51"/>
      <c r="IK151" s="108" t="str">
        <f t="shared" si="322"/>
        <v/>
      </c>
      <c r="IL151" s="109" t="str">
        <f t="shared" si="395"/>
        <v/>
      </c>
      <c r="IM151" s="109" t="str">
        <f t="shared" si="323"/>
        <v/>
      </c>
      <c r="IN151" s="110" t="str">
        <f t="shared" si="420"/>
        <v/>
      </c>
      <c r="IO151" s="51"/>
      <c r="IP151" s="108" t="str">
        <f t="shared" si="396"/>
        <v/>
      </c>
      <c r="IQ151" s="109" t="str">
        <f t="shared" si="397"/>
        <v/>
      </c>
      <c r="IR151" s="109" t="str">
        <f t="shared" si="324"/>
        <v/>
      </c>
      <c r="IS151" s="110" t="str">
        <f t="shared" si="398"/>
        <v/>
      </c>
      <c r="IT151" s="51"/>
      <c r="IU151" s="108" t="str">
        <f t="shared" si="325"/>
        <v/>
      </c>
      <c r="IV151" s="109" t="str">
        <f t="shared" si="399"/>
        <v/>
      </c>
      <c r="IW151" s="109" t="str">
        <f t="shared" si="326"/>
        <v/>
      </c>
      <c r="IX151" s="110" t="str">
        <f t="shared" si="421"/>
        <v/>
      </c>
      <c r="IY151" s="51"/>
      <c r="IZ151" s="108" t="str">
        <f t="shared" si="400"/>
        <v/>
      </c>
      <c r="JA151" s="109" t="str">
        <f t="shared" si="401"/>
        <v/>
      </c>
      <c r="JB151" s="109" t="str">
        <f t="shared" si="327"/>
        <v/>
      </c>
      <c r="JC151" s="110" t="str">
        <f t="shared" si="402"/>
        <v/>
      </c>
      <c r="JD151" s="51"/>
      <c r="JE151" s="108" t="str">
        <f t="shared" si="328"/>
        <v/>
      </c>
      <c r="JF151" s="109" t="str">
        <f t="shared" si="403"/>
        <v/>
      </c>
      <c r="JG151" s="109" t="str">
        <f t="shared" si="329"/>
        <v/>
      </c>
      <c r="JH151" s="110" t="str">
        <f t="shared" si="422"/>
        <v/>
      </c>
      <c r="JI151" s="51"/>
      <c r="JJ151" s="108" t="str">
        <f t="shared" si="404"/>
        <v/>
      </c>
      <c r="JK151" s="109" t="str">
        <f t="shared" si="405"/>
        <v/>
      </c>
      <c r="JL151" s="109" t="str">
        <f t="shared" si="330"/>
        <v/>
      </c>
      <c r="JM151" s="110" t="str">
        <f t="shared" si="406"/>
        <v/>
      </c>
      <c r="JN151" s="51"/>
      <c r="JO151" s="108" t="str">
        <f t="shared" si="331"/>
        <v/>
      </c>
      <c r="JP151" s="109" t="str">
        <f t="shared" si="407"/>
        <v/>
      </c>
      <c r="JQ151" s="109" t="str">
        <f t="shared" si="332"/>
        <v/>
      </c>
      <c r="JR151" s="110" t="str">
        <f t="shared" si="423"/>
        <v/>
      </c>
      <c r="JS151" s="51"/>
      <c r="JT151" s="108" t="str">
        <f t="shared" si="408"/>
        <v/>
      </c>
      <c r="JU151" s="109" t="str">
        <f t="shared" si="409"/>
        <v/>
      </c>
      <c r="JV151" s="109" t="str">
        <f t="shared" si="333"/>
        <v/>
      </c>
      <c r="JW151" s="110" t="str">
        <f t="shared" si="410"/>
        <v/>
      </c>
      <c r="JX151" s="51"/>
      <c r="JY151" s="108" t="str">
        <f t="shared" si="334"/>
        <v/>
      </c>
      <c r="JZ151" s="109" t="str">
        <f t="shared" si="411"/>
        <v/>
      </c>
      <c r="KA151" s="109" t="str">
        <f t="shared" si="335"/>
        <v/>
      </c>
      <c r="KB151" s="110" t="str">
        <f t="shared" si="424"/>
        <v/>
      </c>
      <c r="KC151" s="51"/>
      <c r="KD151" s="108" t="str">
        <f t="shared" si="412"/>
        <v/>
      </c>
      <c r="KE151" s="109" t="str">
        <f t="shared" si="413"/>
        <v/>
      </c>
      <c r="KF151" s="109" t="str">
        <f t="shared" si="336"/>
        <v/>
      </c>
      <c r="KG151" s="110" t="str">
        <f t="shared" si="337"/>
        <v/>
      </c>
    </row>
    <row r="152" spans="1:293" ht="12" customHeight="1">
      <c r="A152" s="105">
        <f t="array" ref="A152">MAX(IF($J$80:J151&gt;0,$C$80:C151,0))</f>
        <v>43535</v>
      </c>
      <c r="B152" s="81" t="str">
        <f t="shared" si="248"/>
        <v/>
      </c>
      <c r="C152" s="82">
        <f t="shared" si="414"/>
        <v>0</v>
      </c>
      <c r="D152" s="83" t="str">
        <f t="shared" si="249"/>
        <v/>
      </c>
      <c r="E152" s="83" t="str">
        <f t="shared" si="338"/>
        <v/>
      </c>
      <c r="F152" s="83" t="str">
        <f t="shared" si="250"/>
        <v/>
      </c>
      <c r="G152" s="83" t="str">
        <f t="shared" si="251"/>
        <v/>
      </c>
      <c r="H152" s="83" t="str">
        <f t="shared" si="252"/>
        <v/>
      </c>
      <c r="I152" s="105">
        <f t="array" ref="I152">MAX(IF($R$80:R151&gt;0,$L$80:L151,0))</f>
        <v>0</v>
      </c>
      <c r="J152" s="106"/>
      <c r="K152" s="2" t="str">
        <f t="shared" si="253"/>
        <v/>
      </c>
      <c r="L152" s="82">
        <f t="shared" si="415"/>
        <v>0</v>
      </c>
      <c r="M152" s="83" t="str">
        <f t="shared" si="254"/>
        <v/>
      </c>
      <c r="N152" s="83" t="str">
        <f t="shared" si="255"/>
        <v/>
      </c>
      <c r="O152" s="83" t="str">
        <f t="shared" si="256"/>
        <v/>
      </c>
      <c r="P152" s="83" t="str">
        <f t="shared" si="257"/>
        <v/>
      </c>
      <c r="Q152" s="83" t="str">
        <f t="shared" si="258"/>
        <v/>
      </c>
      <c r="R152" s="106"/>
      <c r="S152" s="1"/>
      <c r="U152" s="85" t="e">
        <f t="shared" si="244"/>
        <v>#NUM!</v>
      </c>
      <c r="V152" s="86" t="e">
        <f t="shared" si="339"/>
        <v>#NUM!</v>
      </c>
      <c r="W152" s="87" t="e">
        <f t="shared" si="259"/>
        <v>#NUM!</v>
      </c>
      <c r="X152" s="87" t="e">
        <f t="shared" si="260"/>
        <v>#NUM!</v>
      </c>
      <c r="Y152" s="87" t="e">
        <f t="shared" si="261"/>
        <v>#NUM!</v>
      </c>
      <c r="Z152" s="88" t="e">
        <f t="shared" si="245"/>
        <v>#NUM!</v>
      </c>
      <c r="AA152" t="s">
        <v>282</v>
      </c>
      <c r="AB152" s="89">
        <f t="shared" si="340"/>
        <v>0</v>
      </c>
      <c r="AC152" s="87">
        <f t="shared" si="262"/>
        <v>0</v>
      </c>
      <c r="AD152" s="87" t="str">
        <f t="shared" si="263"/>
        <v/>
      </c>
      <c r="AE152" s="87" t="str">
        <f t="shared" si="264"/>
        <v/>
      </c>
      <c r="AF152" s="86">
        <f t="shared" si="341"/>
        <v>0</v>
      </c>
      <c r="AG152" s="87">
        <f t="shared" si="246"/>
        <v>0</v>
      </c>
      <c r="AH152" s="87">
        <f t="shared" si="342"/>
        <v>0</v>
      </c>
      <c r="AI152" s="90"/>
      <c r="AJ152" s="87" t="e">
        <f t="shared" si="265"/>
        <v>#NUM!</v>
      </c>
      <c r="AK152" s="87" t="e">
        <f t="shared" si="343"/>
        <v>#NUM!</v>
      </c>
      <c r="AL152" s="87" t="e">
        <f t="shared" si="344"/>
        <v>#NUM!</v>
      </c>
      <c r="AM152" s="87" t="e">
        <f t="shared" si="345"/>
        <v>#NUM!</v>
      </c>
      <c r="AN152" s="86">
        <f t="shared" si="266"/>
        <v>0</v>
      </c>
      <c r="AO152" s="87">
        <f t="shared" si="267"/>
        <v>0</v>
      </c>
      <c r="AP152" s="88">
        <f t="shared" si="268"/>
        <v>0</v>
      </c>
      <c r="AR152" s="91">
        <f t="shared" si="269"/>
        <v>0</v>
      </c>
      <c r="AS152" s="92">
        <f t="shared" si="270"/>
        <v>0</v>
      </c>
      <c r="AT152" s="87" t="str">
        <f t="shared" si="271"/>
        <v/>
      </c>
      <c r="AU152" s="87" t="str">
        <f t="shared" si="272"/>
        <v/>
      </c>
      <c r="AV152" s="86">
        <f t="shared" si="346"/>
        <v>0</v>
      </c>
      <c r="AW152" s="87">
        <f t="shared" si="347"/>
        <v>0</v>
      </c>
      <c r="AX152" s="87">
        <f t="shared" si="348"/>
        <v>0</v>
      </c>
      <c r="AY152" s="93"/>
      <c r="AZ152" s="87">
        <f t="shared" si="425"/>
        <v>0</v>
      </c>
      <c r="BA152" s="87">
        <f t="shared" si="349"/>
        <v>0</v>
      </c>
      <c r="BB152" s="87">
        <f t="shared" si="350"/>
        <v>0</v>
      </c>
      <c r="BC152" s="87">
        <f t="shared" si="416"/>
        <v>0</v>
      </c>
      <c r="BD152" s="86" t="e">
        <f t="shared" si="273"/>
        <v>#NUM!</v>
      </c>
      <c r="BE152" s="87" t="e">
        <f t="shared" si="247"/>
        <v>#NUM!</v>
      </c>
      <c r="BF152" s="88">
        <f t="shared" si="351"/>
        <v>0</v>
      </c>
      <c r="BH152" s="87" t="e">
        <f t="shared" si="274"/>
        <v>#NUM!</v>
      </c>
      <c r="BK152" s="95">
        <v>41196</v>
      </c>
      <c r="BL152" s="96">
        <v>73</v>
      </c>
      <c r="CY152" s="108" t="str">
        <f t="shared" si="275"/>
        <v/>
      </c>
      <c r="CZ152" s="109" t="str">
        <f t="shared" si="276"/>
        <v/>
      </c>
      <c r="DA152" s="109" t="str">
        <f t="shared" si="277"/>
        <v/>
      </c>
      <c r="DB152" s="110" t="str">
        <f t="shared" si="225"/>
        <v/>
      </c>
      <c r="DD152" s="108" t="str">
        <f t="shared" si="278"/>
        <v/>
      </c>
      <c r="DE152" s="109" t="str">
        <f t="shared" si="352"/>
        <v/>
      </c>
      <c r="DF152" s="109" t="str">
        <f t="shared" si="279"/>
        <v/>
      </c>
      <c r="DG152" s="110" t="str">
        <f t="shared" si="226"/>
        <v/>
      </c>
      <c r="DI152" s="108" t="str">
        <f t="shared" si="353"/>
        <v/>
      </c>
      <c r="DJ152" s="109" t="str">
        <f t="shared" si="354"/>
        <v/>
      </c>
      <c r="DK152" s="109" t="str">
        <f t="shared" si="280"/>
        <v/>
      </c>
      <c r="DL152" s="110" t="str">
        <f t="shared" si="227"/>
        <v/>
      </c>
      <c r="DN152" s="108" t="str">
        <f t="shared" si="281"/>
        <v/>
      </c>
      <c r="DO152" s="109" t="str">
        <f t="shared" si="282"/>
        <v/>
      </c>
      <c r="DP152" s="109" t="str">
        <f t="shared" si="283"/>
        <v/>
      </c>
      <c r="DQ152" s="110" t="str">
        <f t="shared" si="228"/>
        <v/>
      </c>
      <c r="DS152" s="108" t="str">
        <f t="shared" si="355"/>
        <v/>
      </c>
      <c r="DT152" s="109" t="str">
        <f t="shared" si="356"/>
        <v/>
      </c>
      <c r="DU152" s="109" t="str">
        <f t="shared" si="284"/>
        <v/>
      </c>
      <c r="DV152" s="110" t="str">
        <f t="shared" si="229"/>
        <v/>
      </c>
      <c r="DX152" s="108" t="str">
        <f t="shared" si="285"/>
        <v/>
      </c>
      <c r="DY152" s="109" t="str">
        <f t="shared" si="357"/>
        <v/>
      </c>
      <c r="DZ152" s="109" t="str">
        <f t="shared" si="286"/>
        <v/>
      </c>
      <c r="EA152" s="110" t="str">
        <f t="shared" si="230"/>
        <v/>
      </c>
      <c r="EC152" s="108" t="str">
        <f t="shared" si="358"/>
        <v/>
      </c>
      <c r="ED152" s="109" t="str">
        <f t="shared" si="359"/>
        <v/>
      </c>
      <c r="EE152" s="109" t="str">
        <f t="shared" si="287"/>
        <v/>
      </c>
      <c r="EF152" s="110" t="str">
        <f t="shared" si="231"/>
        <v/>
      </c>
      <c r="EH152" s="108" t="str">
        <f t="shared" si="288"/>
        <v/>
      </c>
      <c r="EI152" s="109" t="str">
        <f t="shared" si="360"/>
        <v/>
      </c>
      <c r="EJ152" s="109" t="str">
        <f t="shared" si="289"/>
        <v/>
      </c>
      <c r="EK152" s="110" t="str">
        <f t="shared" si="232"/>
        <v/>
      </c>
      <c r="EM152" s="108" t="str">
        <f t="shared" si="361"/>
        <v/>
      </c>
      <c r="EN152" s="109" t="str">
        <f t="shared" si="362"/>
        <v/>
      </c>
      <c r="EO152" s="109" t="str">
        <f t="shared" si="290"/>
        <v/>
      </c>
      <c r="EP152" s="110" t="str">
        <f t="shared" si="233"/>
        <v/>
      </c>
      <c r="ER152" s="108" t="str">
        <f t="shared" si="291"/>
        <v/>
      </c>
      <c r="ES152" s="109" t="str">
        <f t="shared" si="363"/>
        <v/>
      </c>
      <c r="ET152" s="109" t="str">
        <f t="shared" si="292"/>
        <v/>
      </c>
      <c r="EU152" s="110" t="str">
        <f t="shared" si="234"/>
        <v/>
      </c>
      <c r="EW152" s="108" t="str">
        <f t="shared" si="364"/>
        <v/>
      </c>
      <c r="EX152" s="109" t="str">
        <f t="shared" si="365"/>
        <v/>
      </c>
      <c r="EY152" s="109" t="str">
        <f t="shared" si="293"/>
        <v/>
      </c>
      <c r="EZ152" s="110" t="str">
        <f t="shared" si="235"/>
        <v/>
      </c>
      <c r="FB152" s="108" t="str">
        <f t="shared" si="294"/>
        <v/>
      </c>
      <c r="FC152" s="109" t="str">
        <f t="shared" si="366"/>
        <v/>
      </c>
      <c r="FD152" s="109" t="str">
        <f t="shared" si="295"/>
        <v/>
      </c>
      <c r="FE152" s="110" t="str">
        <f t="shared" si="236"/>
        <v/>
      </c>
      <c r="FG152" s="108" t="str">
        <f t="shared" si="367"/>
        <v/>
      </c>
      <c r="FH152" s="109" t="str">
        <f t="shared" si="368"/>
        <v/>
      </c>
      <c r="FI152" s="109" t="str">
        <f t="shared" si="296"/>
        <v/>
      </c>
      <c r="FJ152" s="110" t="str">
        <f t="shared" si="237"/>
        <v/>
      </c>
      <c r="FL152" s="108" t="str">
        <f t="shared" si="297"/>
        <v/>
      </c>
      <c r="FM152" s="109" t="str">
        <f t="shared" si="369"/>
        <v/>
      </c>
      <c r="FN152" s="109" t="str">
        <f t="shared" si="298"/>
        <v/>
      </c>
      <c r="FO152" s="110" t="str">
        <f t="shared" si="238"/>
        <v/>
      </c>
      <c r="FQ152" s="108" t="str">
        <f t="shared" si="370"/>
        <v/>
      </c>
      <c r="FR152" s="109" t="str">
        <f t="shared" si="371"/>
        <v/>
      </c>
      <c r="FS152" s="109" t="str">
        <f t="shared" si="299"/>
        <v/>
      </c>
      <c r="FT152" s="110" t="str">
        <f t="shared" si="239"/>
        <v/>
      </c>
      <c r="FV152" s="108" t="str">
        <f t="shared" si="300"/>
        <v/>
      </c>
      <c r="FW152" s="109" t="str">
        <f t="shared" si="372"/>
        <v/>
      </c>
      <c r="FX152" s="109" t="str">
        <f t="shared" si="301"/>
        <v/>
      </c>
      <c r="FY152" s="110" t="str">
        <f t="shared" si="240"/>
        <v/>
      </c>
      <c r="GA152" s="108" t="str">
        <f t="shared" si="373"/>
        <v/>
      </c>
      <c r="GB152" s="109" t="str">
        <f t="shared" si="374"/>
        <v/>
      </c>
      <c r="GC152" s="109" t="str">
        <f t="shared" si="302"/>
        <v/>
      </c>
      <c r="GD152" s="110" t="str">
        <f t="shared" si="241"/>
        <v/>
      </c>
      <c r="GF152" s="108" t="str">
        <f t="shared" si="303"/>
        <v/>
      </c>
      <c r="GG152" s="109" t="str">
        <f t="shared" si="375"/>
        <v/>
      </c>
      <c r="GH152" s="109" t="str">
        <f t="shared" si="304"/>
        <v/>
      </c>
      <c r="GI152" s="110" t="str">
        <f t="shared" si="242"/>
        <v/>
      </c>
      <c r="GK152" s="108" t="str">
        <f t="shared" si="376"/>
        <v/>
      </c>
      <c r="GL152" s="109" t="str">
        <f t="shared" si="377"/>
        <v/>
      </c>
      <c r="GM152" s="109" t="str">
        <f t="shared" si="378"/>
        <v/>
      </c>
      <c r="GN152" s="110" t="str">
        <f t="shared" si="243"/>
        <v/>
      </c>
      <c r="GR152" s="108" t="str">
        <f t="shared" si="305"/>
        <v/>
      </c>
      <c r="GS152" s="109" t="str">
        <f t="shared" si="306"/>
        <v/>
      </c>
      <c r="GT152" s="109" t="str">
        <f t="shared" si="307"/>
        <v/>
      </c>
      <c r="GU152" s="110" t="str">
        <f t="shared" si="308"/>
        <v/>
      </c>
      <c r="GV152" s="51"/>
      <c r="GW152" s="108" t="str">
        <f t="shared" si="309"/>
        <v/>
      </c>
      <c r="GX152" s="109" t="str">
        <f t="shared" si="379"/>
        <v/>
      </c>
      <c r="GY152" s="109" t="str">
        <f t="shared" si="310"/>
        <v/>
      </c>
      <c r="GZ152" s="110" t="str">
        <f t="shared" si="311"/>
        <v/>
      </c>
      <c r="HA152" s="51"/>
      <c r="HB152" s="108" t="str">
        <f t="shared" si="380"/>
        <v/>
      </c>
      <c r="HC152" s="109" t="str">
        <f t="shared" si="381"/>
        <v/>
      </c>
      <c r="HD152" s="109" t="str">
        <f t="shared" si="312"/>
        <v/>
      </c>
      <c r="HE152" s="110" t="str">
        <f t="shared" si="382"/>
        <v/>
      </c>
      <c r="HF152" s="51"/>
      <c r="HG152" s="108" t="str">
        <f t="shared" si="313"/>
        <v/>
      </c>
      <c r="HH152" s="109" t="str">
        <f t="shared" si="383"/>
        <v/>
      </c>
      <c r="HI152" s="109" t="str">
        <f t="shared" si="314"/>
        <v/>
      </c>
      <c r="HJ152" s="110" t="str">
        <f t="shared" si="417"/>
        <v/>
      </c>
      <c r="HK152" s="51"/>
      <c r="HL152" s="108" t="str">
        <f t="shared" si="384"/>
        <v/>
      </c>
      <c r="HM152" s="109" t="str">
        <f t="shared" si="385"/>
        <v/>
      </c>
      <c r="HN152" s="109" t="str">
        <f t="shared" si="315"/>
        <v/>
      </c>
      <c r="HO152" s="110" t="str">
        <f t="shared" si="386"/>
        <v/>
      </c>
      <c r="HP152" s="51"/>
      <c r="HQ152" s="108" t="str">
        <f t="shared" si="316"/>
        <v/>
      </c>
      <c r="HR152" s="109" t="str">
        <f t="shared" si="387"/>
        <v/>
      </c>
      <c r="HS152" s="109" t="str">
        <f t="shared" si="317"/>
        <v/>
      </c>
      <c r="HT152" s="110" t="str">
        <f t="shared" si="418"/>
        <v/>
      </c>
      <c r="HU152" s="51"/>
      <c r="HV152" s="108" t="str">
        <f t="shared" si="388"/>
        <v/>
      </c>
      <c r="HW152" s="109" t="str">
        <f t="shared" si="389"/>
        <v/>
      </c>
      <c r="HX152" s="109" t="str">
        <f t="shared" si="318"/>
        <v/>
      </c>
      <c r="HY152" s="110" t="str">
        <f t="shared" si="390"/>
        <v/>
      </c>
      <c r="HZ152" s="51"/>
      <c r="IA152" s="108" t="str">
        <f t="shared" si="319"/>
        <v/>
      </c>
      <c r="IB152" s="109" t="str">
        <f t="shared" si="391"/>
        <v/>
      </c>
      <c r="IC152" s="109" t="str">
        <f t="shared" si="320"/>
        <v/>
      </c>
      <c r="ID152" s="110" t="str">
        <f t="shared" si="419"/>
        <v/>
      </c>
      <c r="IE152" s="51"/>
      <c r="IF152" s="108" t="str">
        <f t="shared" si="392"/>
        <v/>
      </c>
      <c r="IG152" s="109" t="str">
        <f t="shared" si="393"/>
        <v/>
      </c>
      <c r="IH152" s="109" t="str">
        <f t="shared" si="321"/>
        <v/>
      </c>
      <c r="II152" s="110" t="str">
        <f t="shared" si="394"/>
        <v/>
      </c>
      <c r="IJ152" s="51"/>
      <c r="IK152" s="108" t="str">
        <f t="shared" si="322"/>
        <v/>
      </c>
      <c r="IL152" s="109" t="str">
        <f t="shared" si="395"/>
        <v/>
      </c>
      <c r="IM152" s="109" t="str">
        <f t="shared" si="323"/>
        <v/>
      </c>
      <c r="IN152" s="110" t="str">
        <f t="shared" si="420"/>
        <v/>
      </c>
      <c r="IO152" s="51"/>
      <c r="IP152" s="108" t="str">
        <f t="shared" si="396"/>
        <v/>
      </c>
      <c r="IQ152" s="109" t="str">
        <f t="shared" si="397"/>
        <v/>
      </c>
      <c r="IR152" s="109" t="str">
        <f t="shared" si="324"/>
        <v/>
      </c>
      <c r="IS152" s="110" t="str">
        <f t="shared" si="398"/>
        <v/>
      </c>
      <c r="IT152" s="51"/>
      <c r="IU152" s="108" t="str">
        <f t="shared" si="325"/>
        <v/>
      </c>
      <c r="IV152" s="109" t="str">
        <f t="shared" si="399"/>
        <v/>
      </c>
      <c r="IW152" s="109" t="str">
        <f t="shared" si="326"/>
        <v/>
      </c>
      <c r="IX152" s="110" t="str">
        <f t="shared" si="421"/>
        <v/>
      </c>
      <c r="IY152" s="51"/>
      <c r="IZ152" s="108" t="str">
        <f t="shared" si="400"/>
        <v/>
      </c>
      <c r="JA152" s="109" t="str">
        <f t="shared" si="401"/>
        <v/>
      </c>
      <c r="JB152" s="109" t="str">
        <f t="shared" si="327"/>
        <v/>
      </c>
      <c r="JC152" s="110" t="str">
        <f t="shared" si="402"/>
        <v/>
      </c>
      <c r="JD152" s="51"/>
      <c r="JE152" s="108" t="str">
        <f t="shared" si="328"/>
        <v/>
      </c>
      <c r="JF152" s="109" t="str">
        <f t="shared" si="403"/>
        <v/>
      </c>
      <c r="JG152" s="109" t="str">
        <f t="shared" si="329"/>
        <v/>
      </c>
      <c r="JH152" s="110" t="str">
        <f t="shared" si="422"/>
        <v/>
      </c>
      <c r="JI152" s="51"/>
      <c r="JJ152" s="108" t="str">
        <f t="shared" si="404"/>
        <v/>
      </c>
      <c r="JK152" s="109" t="str">
        <f t="shared" si="405"/>
        <v/>
      </c>
      <c r="JL152" s="109" t="str">
        <f t="shared" si="330"/>
        <v/>
      </c>
      <c r="JM152" s="110" t="str">
        <f t="shared" si="406"/>
        <v/>
      </c>
      <c r="JN152" s="51"/>
      <c r="JO152" s="108" t="str">
        <f t="shared" si="331"/>
        <v/>
      </c>
      <c r="JP152" s="109" t="str">
        <f t="shared" si="407"/>
        <v/>
      </c>
      <c r="JQ152" s="109" t="str">
        <f t="shared" si="332"/>
        <v/>
      </c>
      <c r="JR152" s="110" t="str">
        <f t="shared" si="423"/>
        <v/>
      </c>
      <c r="JS152" s="51"/>
      <c r="JT152" s="108" t="str">
        <f t="shared" si="408"/>
        <v/>
      </c>
      <c r="JU152" s="109" t="str">
        <f t="shared" si="409"/>
        <v/>
      </c>
      <c r="JV152" s="109" t="str">
        <f t="shared" si="333"/>
        <v/>
      </c>
      <c r="JW152" s="110" t="str">
        <f t="shared" si="410"/>
        <v/>
      </c>
      <c r="JX152" s="51"/>
      <c r="JY152" s="108" t="str">
        <f t="shared" si="334"/>
        <v/>
      </c>
      <c r="JZ152" s="109" t="str">
        <f t="shared" si="411"/>
        <v/>
      </c>
      <c r="KA152" s="109" t="str">
        <f t="shared" si="335"/>
        <v/>
      </c>
      <c r="KB152" s="110" t="str">
        <f t="shared" si="424"/>
        <v/>
      </c>
      <c r="KC152" s="51"/>
      <c r="KD152" s="108" t="str">
        <f t="shared" si="412"/>
        <v/>
      </c>
      <c r="KE152" s="109" t="str">
        <f t="shared" si="413"/>
        <v/>
      </c>
      <c r="KF152" s="109" t="str">
        <f t="shared" si="336"/>
        <v/>
      </c>
      <c r="KG152" s="110" t="str">
        <f t="shared" si="337"/>
        <v/>
      </c>
    </row>
    <row r="153" spans="1:293" ht="12" customHeight="1">
      <c r="A153" s="105">
        <f t="array" ref="A153">MAX(IF($J$80:J152&gt;0,$C$80:C152,0))</f>
        <v>43535</v>
      </c>
      <c r="B153" s="81" t="str">
        <f t="shared" si="248"/>
        <v/>
      </c>
      <c r="C153" s="82">
        <f t="shared" si="414"/>
        <v>0</v>
      </c>
      <c r="D153" s="83" t="str">
        <f t="shared" si="249"/>
        <v/>
      </c>
      <c r="E153" s="83" t="str">
        <f t="shared" si="338"/>
        <v/>
      </c>
      <c r="F153" s="83" t="str">
        <f t="shared" si="250"/>
        <v/>
      </c>
      <c r="G153" s="83" t="str">
        <f t="shared" si="251"/>
        <v/>
      </c>
      <c r="H153" s="83" t="str">
        <f t="shared" si="252"/>
        <v/>
      </c>
      <c r="I153" s="105">
        <f t="array" ref="I153">MAX(IF($R$80:R152&gt;0,$L$80:L152,0))</f>
        <v>0</v>
      </c>
      <c r="J153" s="106"/>
      <c r="K153" s="2" t="str">
        <f t="shared" si="253"/>
        <v/>
      </c>
      <c r="L153" s="82">
        <f t="shared" si="415"/>
        <v>0</v>
      </c>
      <c r="M153" s="83" t="str">
        <f t="shared" si="254"/>
        <v/>
      </c>
      <c r="N153" s="83" t="str">
        <f t="shared" si="255"/>
        <v/>
      </c>
      <c r="O153" s="83" t="str">
        <f t="shared" si="256"/>
        <v/>
      </c>
      <c r="P153" s="83" t="str">
        <f t="shared" si="257"/>
        <v/>
      </c>
      <c r="Q153" s="83" t="str">
        <f t="shared" si="258"/>
        <v/>
      </c>
      <c r="R153" s="106"/>
      <c r="S153" s="1"/>
      <c r="U153" s="85" t="e">
        <f t="shared" si="244"/>
        <v>#NUM!</v>
      </c>
      <c r="V153" s="86" t="e">
        <f t="shared" si="339"/>
        <v>#NUM!</v>
      </c>
      <c r="W153" s="87" t="e">
        <f t="shared" si="259"/>
        <v>#NUM!</v>
      </c>
      <c r="X153" s="87" t="e">
        <f t="shared" si="260"/>
        <v>#NUM!</v>
      </c>
      <c r="Y153" s="87" t="e">
        <f t="shared" si="261"/>
        <v>#NUM!</v>
      </c>
      <c r="Z153" s="88" t="e">
        <f t="shared" si="245"/>
        <v>#NUM!</v>
      </c>
      <c r="AA153" t="s">
        <v>282</v>
      </c>
      <c r="AB153" s="89">
        <f t="shared" si="340"/>
        <v>0</v>
      </c>
      <c r="AC153" s="87">
        <f t="shared" si="262"/>
        <v>0</v>
      </c>
      <c r="AD153" s="87" t="str">
        <f t="shared" si="263"/>
        <v/>
      </c>
      <c r="AE153" s="87" t="str">
        <f t="shared" si="264"/>
        <v/>
      </c>
      <c r="AF153" s="86">
        <f t="shared" si="341"/>
        <v>0</v>
      </c>
      <c r="AG153" s="87">
        <f t="shared" si="246"/>
        <v>0</v>
      </c>
      <c r="AH153" s="87">
        <f t="shared" si="342"/>
        <v>0</v>
      </c>
      <c r="AI153" s="90"/>
      <c r="AJ153" s="87" t="e">
        <f t="shared" si="265"/>
        <v>#NUM!</v>
      </c>
      <c r="AK153" s="87" t="e">
        <f t="shared" si="343"/>
        <v>#NUM!</v>
      </c>
      <c r="AL153" s="87" t="e">
        <f t="shared" si="344"/>
        <v>#NUM!</v>
      </c>
      <c r="AM153" s="87" t="e">
        <f t="shared" si="345"/>
        <v>#NUM!</v>
      </c>
      <c r="AN153" s="86">
        <f t="shared" si="266"/>
        <v>0</v>
      </c>
      <c r="AO153" s="87">
        <f t="shared" si="267"/>
        <v>0</v>
      </c>
      <c r="AP153" s="88">
        <f t="shared" si="268"/>
        <v>0</v>
      </c>
      <c r="AR153" s="91">
        <f t="shared" si="269"/>
        <v>0</v>
      </c>
      <c r="AS153" s="92">
        <f t="shared" si="270"/>
        <v>0</v>
      </c>
      <c r="AT153" s="87" t="str">
        <f t="shared" si="271"/>
        <v/>
      </c>
      <c r="AU153" s="87" t="str">
        <f t="shared" si="272"/>
        <v/>
      </c>
      <c r="AV153" s="86">
        <f t="shared" si="346"/>
        <v>0</v>
      </c>
      <c r="AW153" s="87">
        <f t="shared" si="347"/>
        <v>0</v>
      </c>
      <c r="AX153" s="87">
        <f t="shared" si="348"/>
        <v>0</v>
      </c>
      <c r="AY153" s="93"/>
      <c r="AZ153" s="87">
        <f t="shared" si="425"/>
        <v>0</v>
      </c>
      <c r="BA153" s="87">
        <f t="shared" si="349"/>
        <v>0</v>
      </c>
      <c r="BB153" s="87">
        <f t="shared" si="350"/>
        <v>0</v>
      </c>
      <c r="BC153" s="87">
        <f t="shared" si="416"/>
        <v>0</v>
      </c>
      <c r="BD153" s="86" t="e">
        <f t="shared" si="273"/>
        <v>#NUM!</v>
      </c>
      <c r="BE153" s="87" t="e">
        <f t="shared" si="247"/>
        <v>#NUM!</v>
      </c>
      <c r="BF153" s="88">
        <f t="shared" si="351"/>
        <v>0</v>
      </c>
      <c r="BH153" s="87" t="e">
        <f t="shared" si="274"/>
        <v>#NUM!</v>
      </c>
      <c r="BK153" s="95">
        <v>41236</v>
      </c>
      <c r="BL153" s="96">
        <v>74</v>
      </c>
      <c r="CY153" s="108" t="str">
        <f t="shared" si="275"/>
        <v/>
      </c>
      <c r="CZ153" s="109" t="str">
        <f t="shared" si="276"/>
        <v/>
      </c>
      <c r="DA153" s="109" t="str">
        <f t="shared" si="277"/>
        <v/>
      </c>
      <c r="DB153" s="110" t="str">
        <f t="shared" si="225"/>
        <v/>
      </c>
      <c r="DD153" s="108" t="str">
        <f t="shared" si="278"/>
        <v/>
      </c>
      <c r="DE153" s="109" t="str">
        <f t="shared" si="352"/>
        <v/>
      </c>
      <c r="DF153" s="109" t="str">
        <f t="shared" si="279"/>
        <v/>
      </c>
      <c r="DG153" s="110" t="str">
        <f t="shared" si="226"/>
        <v/>
      </c>
      <c r="DI153" s="108" t="str">
        <f t="shared" si="353"/>
        <v/>
      </c>
      <c r="DJ153" s="109" t="str">
        <f t="shared" si="354"/>
        <v/>
      </c>
      <c r="DK153" s="109" t="str">
        <f t="shared" si="280"/>
        <v/>
      </c>
      <c r="DL153" s="110" t="str">
        <f t="shared" si="227"/>
        <v/>
      </c>
      <c r="DN153" s="108" t="str">
        <f t="shared" si="281"/>
        <v/>
      </c>
      <c r="DO153" s="109" t="str">
        <f t="shared" si="282"/>
        <v/>
      </c>
      <c r="DP153" s="109" t="str">
        <f t="shared" si="283"/>
        <v/>
      </c>
      <c r="DQ153" s="110" t="str">
        <f t="shared" si="228"/>
        <v/>
      </c>
      <c r="DS153" s="108" t="str">
        <f t="shared" si="355"/>
        <v/>
      </c>
      <c r="DT153" s="109" t="str">
        <f t="shared" si="356"/>
        <v/>
      </c>
      <c r="DU153" s="109" t="str">
        <f t="shared" si="284"/>
        <v/>
      </c>
      <c r="DV153" s="110" t="str">
        <f t="shared" si="229"/>
        <v/>
      </c>
      <c r="DX153" s="108" t="str">
        <f t="shared" si="285"/>
        <v/>
      </c>
      <c r="DY153" s="109" t="str">
        <f t="shared" si="357"/>
        <v/>
      </c>
      <c r="DZ153" s="109" t="str">
        <f t="shared" si="286"/>
        <v/>
      </c>
      <c r="EA153" s="110" t="str">
        <f t="shared" si="230"/>
        <v/>
      </c>
      <c r="EC153" s="108" t="str">
        <f t="shared" si="358"/>
        <v/>
      </c>
      <c r="ED153" s="109" t="str">
        <f t="shared" si="359"/>
        <v/>
      </c>
      <c r="EE153" s="109" t="str">
        <f t="shared" si="287"/>
        <v/>
      </c>
      <c r="EF153" s="110" t="str">
        <f t="shared" si="231"/>
        <v/>
      </c>
      <c r="EH153" s="108" t="str">
        <f t="shared" si="288"/>
        <v/>
      </c>
      <c r="EI153" s="109" t="str">
        <f t="shared" si="360"/>
        <v/>
      </c>
      <c r="EJ153" s="109" t="str">
        <f t="shared" si="289"/>
        <v/>
      </c>
      <c r="EK153" s="110" t="str">
        <f t="shared" si="232"/>
        <v/>
      </c>
      <c r="EM153" s="108" t="str">
        <f t="shared" si="361"/>
        <v/>
      </c>
      <c r="EN153" s="109" t="str">
        <f t="shared" si="362"/>
        <v/>
      </c>
      <c r="EO153" s="109" t="str">
        <f t="shared" si="290"/>
        <v/>
      </c>
      <c r="EP153" s="110" t="str">
        <f t="shared" si="233"/>
        <v/>
      </c>
      <c r="ER153" s="108" t="str">
        <f t="shared" si="291"/>
        <v/>
      </c>
      <c r="ES153" s="109" t="str">
        <f t="shared" si="363"/>
        <v/>
      </c>
      <c r="ET153" s="109" t="str">
        <f t="shared" si="292"/>
        <v/>
      </c>
      <c r="EU153" s="110" t="str">
        <f t="shared" si="234"/>
        <v/>
      </c>
      <c r="EW153" s="108" t="str">
        <f t="shared" si="364"/>
        <v/>
      </c>
      <c r="EX153" s="109" t="str">
        <f t="shared" si="365"/>
        <v/>
      </c>
      <c r="EY153" s="109" t="str">
        <f t="shared" si="293"/>
        <v/>
      </c>
      <c r="EZ153" s="110" t="str">
        <f t="shared" si="235"/>
        <v/>
      </c>
      <c r="FB153" s="108" t="str">
        <f t="shared" si="294"/>
        <v/>
      </c>
      <c r="FC153" s="109" t="str">
        <f t="shared" si="366"/>
        <v/>
      </c>
      <c r="FD153" s="109" t="str">
        <f t="shared" si="295"/>
        <v/>
      </c>
      <c r="FE153" s="110" t="str">
        <f t="shared" si="236"/>
        <v/>
      </c>
      <c r="FG153" s="108" t="str">
        <f t="shared" si="367"/>
        <v/>
      </c>
      <c r="FH153" s="109" t="str">
        <f t="shared" si="368"/>
        <v/>
      </c>
      <c r="FI153" s="109" t="str">
        <f t="shared" si="296"/>
        <v/>
      </c>
      <c r="FJ153" s="110" t="str">
        <f t="shared" si="237"/>
        <v/>
      </c>
      <c r="FL153" s="108" t="str">
        <f t="shared" si="297"/>
        <v/>
      </c>
      <c r="FM153" s="109" t="str">
        <f t="shared" si="369"/>
        <v/>
      </c>
      <c r="FN153" s="109" t="str">
        <f t="shared" si="298"/>
        <v/>
      </c>
      <c r="FO153" s="110" t="str">
        <f t="shared" si="238"/>
        <v/>
      </c>
      <c r="FQ153" s="108" t="str">
        <f t="shared" si="370"/>
        <v/>
      </c>
      <c r="FR153" s="109" t="str">
        <f t="shared" si="371"/>
        <v/>
      </c>
      <c r="FS153" s="109" t="str">
        <f t="shared" si="299"/>
        <v/>
      </c>
      <c r="FT153" s="110" t="str">
        <f t="shared" si="239"/>
        <v/>
      </c>
      <c r="FV153" s="108" t="str">
        <f t="shared" si="300"/>
        <v/>
      </c>
      <c r="FW153" s="109" t="str">
        <f t="shared" si="372"/>
        <v/>
      </c>
      <c r="FX153" s="109" t="str">
        <f t="shared" si="301"/>
        <v/>
      </c>
      <c r="FY153" s="110" t="str">
        <f t="shared" si="240"/>
        <v/>
      </c>
      <c r="GA153" s="108" t="str">
        <f t="shared" si="373"/>
        <v/>
      </c>
      <c r="GB153" s="109" t="str">
        <f t="shared" si="374"/>
        <v/>
      </c>
      <c r="GC153" s="109" t="str">
        <f t="shared" si="302"/>
        <v/>
      </c>
      <c r="GD153" s="110" t="str">
        <f t="shared" si="241"/>
        <v/>
      </c>
      <c r="GF153" s="108" t="str">
        <f t="shared" si="303"/>
        <v/>
      </c>
      <c r="GG153" s="109" t="str">
        <f t="shared" si="375"/>
        <v/>
      </c>
      <c r="GH153" s="109" t="str">
        <f t="shared" si="304"/>
        <v/>
      </c>
      <c r="GI153" s="110" t="str">
        <f t="shared" si="242"/>
        <v/>
      </c>
      <c r="GK153" s="108" t="str">
        <f t="shared" si="376"/>
        <v/>
      </c>
      <c r="GL153" s="109" t="str">
        <f t="shared" si="377"/>
        <v/>
      </c>
      <c r="GM153" s="109" t="str">
        <f t="shared" si="378"/>
        <v/>
      </c>
      <c r="GN153" s="110" t="str">
        <f t="shared" si="243"/>
        <v/>
      </c>
      <c r="GR153" s="108" t="str">
        <f t="shared" si="305"/>
        <v/>
      </c>
      <c r="GS153" s="109" t="str">
        <f t="shared" si="306"/>
        <v/>
      </c>
      <c r="GT153" s="109" t="str">
        <f t="shared" si="307"/>
        <v/>
      </c>
      <c r="GU153" s="110" t="str">
        <f t="shared" si="308"/>
        <v/>
      </c>
      <c r="GV153" s="51"/>
      <c r="GW153" s="108" t="str">
        <f t="shared" si="309"/>
        <v/>
      </c>
      <c r="GX153" s="109" t="str">
        <f t="shared" si="379"/>
        <v/>
      </c>
      <c r="GY153" s="109" t="str">
        <f t="shared" si="310"/>
        <v/>
      </c>
      <c r="GZ153" s="110" t="str">
        <f t="shared" si="311"/>
        <v/>
      </c>
      <c r="HA153" s="51"/>
      <c r="HB153" s="108" t="str">
        <f t="shared" si="380"/>
        <v/>
      </c>
      <c r="HC153" s="109" t="str">
        <f t="shared" si="381"/>
        <v/>
      </c>
      <c r="HD153" s="109" t="str">
        <f t="shared" si="312"/>
        <v/>
      </c>
      <c r="HE153" s="110" t="str">
        <f t="shared" si="382"/>
        <v/>
      </c>
      <c r="HF153" s="51"/>
      <c r="HG153" s="108" t="str">
        <f t="shared" si="313"/>
        <v/>
      </c>
      <c r="HH153" s="109" t="str">
        <f t="shared" si="383"/>
        <v/>
      </c>
      <c r="HI153" s="109" t="str">
        <f t="shared" si="314"/>
        <v/>
      </c>
      <c r="HJ153" s="110" t="str">
        <f t="shared" si="417"/>
        <v/>
      </c>
      <c r="HK153" s="51"/>
      <c r="HL153" s="108" t="str">
        <f t="shared" si="384"/>
        <v/>
      </c>
      <c r="HM153" s="109" t="str">
        <f t="shared" si="385"/>
        <v/>
      </c>
      <c r="HN153" s="109" t="str">
        <f t="shared" si="315"/>
        <v/>
      </c>
      <c r="HO153" s="110" t="str">
        <f t="shared" si="386"/>
        <v/>
      </c>
      <c r="HP153" s="51"/>
      <c r="HQ153" s="108" t="str">
        <f t="shared" si="316"/>
        <v/>
      </c>
      <c r="HR153" s="109" t="str">
        <f t="shared" si="387"/>
        <v/>
      </c>
      <c r="HS153" s="109" t="str">
        <f t="shared" si="317"/>
        <v/>
      </c>
      <c r="HT153" s="110" t="str">
        <f t="shared" si="418"/>
        <v/>
      </c>
      <c r="HU153" s="51"/>
      <c r="HV153" s="108" t="str">
        <f t="shared" si="388"/>
        <v/>
      </c>
      <c r="HW153" s="109" t="str">
        <f t="shared" si="389"/>
        <v/>
      </c>
      <c r="HX153" s="109" t="str">
        <f t="shared" si="318"/>
        <v/>
      </c>
      <c r="HY153" s="110" t="str">
        <f t="shared" si="390"/>
        <v/>
      </c>
      <c r="HZ153" s="51"/>
      <c r="IA153" s="108" t="str">
        <f t="shared" si="319"/>
        <v/>
      </c>
      <c r="IB153" s="109" t="str">
        <f t="shared" si="391"/>
        <v/>
      </c>
      <c r="IC153" s="109" t="str">
        <f t="shared" si="320"/>
        <v/>
      </c>
      <c r="ID153" s="110" t="str">
        <f t="shared" si="419"/>
        <v/>
      </c>
      <c r="IE153" s="51"/>
      <c r="IF153" s="108" t="str">
        <f t="shared" si="392"/>
        <v/>
      </c>
      <c r="IG153" s="109" t="str">
        <f t="shared" si="393"/>
        <v/>
      </c>
      <c r="IH153" s="109" t="str">
        <f t="shared" si="321"/>
        <v/>
      </c>
      <c r="II153" s="110" t="str">
        <f t="shared" si="394"/>
        <v/>
      </c>
      <c r="IJ153" s="51"/>
      <c r="IK153" s="108" t="str">
        <f t="shared" si="322"/>
        <v/>
      </c>
      <c r="IL153" s="109" t="str">
        <f t="shared" si="395"/>
        <v/>
      </c>
      <c r="IM153" s="109" t="str">
        <f t="shared" si="323"/>
        <v/>
      </c>
      <c r="IN153" s="110" t="str">
        <f t="shared" si="420"/>
        <v/>
      </c>
      <c r="IO153" s="51"/>
      <c r="IP153" s="108" t="str">
        <f t="shared" si="396"/>
        <v/>
      </c>
      <c r="IQ153" s="109" t="str">
        <f t="shared" si="397"/>
        <v/>
      </c>
      <c r="IR153" s="109" t="str">
        <f t="shared" si="324"/>
        <v/>
      </c>
      <c r="IS153" s="110" t="str">
        <f t="shared" si="398"/>
        <v/>
      </c>
      <c r="IT153" s="51"/>
      <c r="IU153" s="108" t="str">
        <f t="shared" si="325"/>
        <v/>
      </c>
      <c r="IV153" s="109" t="str">
        <f t="shared" si="399"/>
        <v/>
      </c>
      <c r="IW153" s="109" t="str">
        <f t="shared" si="326"/>
        <v/>
      </c>
      <c r="IX153" s="110" t="str">
        <f t="shared" si="421"/>
        <v/>
      </c>
      <c r="IY153" s="51"/>
      <c r="IZ153" s="108" t="str">
        <f t="shared" si="400"/>
        <v/>
      </c>
      <c r="JA153" s="109" t="str">
        <f t="shared" si="401"/>
        <v/>
      </c>
      <c r="JB153" s="109" t="str">
        <f t="shared" si="327"/>
        <v/>
      </c>
      <c r="JC153" s="110" t="str">
        <f t="shared" si="402"/>
        <v/>
      </c>
      <c r="JD153" s="51"/>
      <c r="JE153" s="108" t="str">
        <f t="shared" si="328"/>
        <v/>
      </c>
      <c r="JF153" s="109" t="str">
        <f t="shared" si="403"/>
        <v/>
      </c>
      <c r="JG153" s="109" t="str">
        <f t="shared" si="329"/>
        <v/>
      </c>
      <c r="JH153" s="110" t="str">
        <f t="shared" si="422"/>
        <v/>
      </c>
      <c r="JI153" s="51"/>
      <c r="JJ153" s="108" t="str">
        <f t="shared" si="404"/>
        <v/>
      </c>
      <c r="JK153" s="109" t="str">
        <f t="shared" si="405"/>
        <v/>
      </c>
      <c r="JL153" s="109" t="str">
        <f t="shared" si="330"/>
        <v/>
      </c>
      <c r="JM153" s="110" t="str">
        <f t="shared" si="406"/>
        <v/>
      </c>
      <c r="JN153" s="51"/>
      <c r="JO153" s="108" t="str">
        <f t="shared" si="331"/>
        <v/>
      </c>
      <c r="JP153" s="109" t="str">
        <f t="shared" si="407"/>
        <v/>
      </c>
      <c r="JQ153" s="109" t="str">
        <f t="shared" si="332"/>
        <v/>
      </c>
      <c r="JR153" s="110" t="str">
        <f t="shared" si="423"/>
        <v/>
      </c>
      <c r="JS153" s="51"/>
      <c r="JT153" s="108" t="str">
        <f t="shared" si="408"/>
        <v/>
      </c>
      <c r="JU153" s="109" t="str">
        <f t="shared" si="409"/>
        <v/>
      </c>
      <c r="JV153" s="109" t="str">
        <f t="shared" si="333"/>
        <v/>
      </c>
      <c r="JW153" s="110" t="str">
        <f t="shared" si="410"/>
        <v/>
      </c>
      <c r="JX153" s="51"/>
      <c r="JY153" s="108" t="str">
        <f t="shared" si="334"/>
        <v/>
      </c>
      <c r="JZ153" s="109" t="str">
        <f t="shared" si="411"/>
        <v/>
      </c>
      <c r="KA153" s="109" t="str">
        <f t="shared" si="335"/>
        <v/>
      </c>
      <c r="KB153" s="110" t="str">
        <f t="shared" si="424"/>
        <v/>
      </c>
      <c r="KC153" s="51"/>
      <c r="KD153" s="108" t="str">
        <f t="shared" si="412"/>
        <v/>
      </c>
      <c r="KE153" s="109" t="str">
        <f t="shared" si="413"/>
        <v/>
      </c>
      <c r="KF153" s="109" t="str">
        <f t="shared" si="336"/>
        <v/>
      </c>
      <c r="KG153" s="110" t="str">
        <f t="shared" si="337"/>
        <v/>
      </c>
    </row>
    <row r="154" spans="1:293" ht="12" customHeight="1">
      <c r="A154" s="105">
        <f t="array" ref="A154">MAX(IF($J$80:J153&gt;0,$C$80:C153,0))</f>
        <v>43535</v>
      </c>
      <c r="B154" s="81" t="str">
        <f t="shared" si="248"/>
        <v/>
      </c>
      <c r="C154" s="82">
        <f t="shared" si="414"/>
        <v>0</v>
      </c>
      <c r="D154" s="83" t="str">
        <f t="shared" si="249"/>
        <v/>
      </c>
      <c r="E154" s="83" t="str">
        <f t="shared" si="338"/>
        <v/>
      </c>
      <c r="F154" s="83" t="str">
        <f t="shared" si="250"/>
        <v/>
      </c>
      <c r="G154" s="83" t="str">
        <f t="shared" si="251"/>
        <v/>
      </c>
      <c r="H154" s="83" t="str">
        <f t="shared" si="252"/>
        <v/>
      </c>
      <c r="I154" s="105">
        <f t="array" ref="I154">MAX(IF($R$80:R153&gt;0,$L$80:L153,0))</f>
        <v>0</v>
      </c>
      <c r="J154" s="106"/>
      <c r="K154" s="2" t="str">
        <f t="shared" si="253"/>
        <v/>
      </c>
      <c r="L154" s="82">
        <f t="shared" si="415"/>
        <v>0</v>
      </c>
      <c r="M154" s="83" t="str">
        <f t="shared" si="254"/>
        <v/>
      </c>
      <c r="N154" s="83" t="str">
        <f t="shared" si="255"/>
        <v/>
      </c>
      <c r="O154" s="83" t="str">
        <f t="shared" si="256"/>
        <v/>
      </c>
      <c r="P154" s="83" t="str">
        <f t="shared" si="257"/>
        <v/>
      </c>
      <c r="Q154" s="83" t="str">
        <f t="shared" si="258"/>
        <v/>
      </c>
      <c r="R154" s="106"/>
      <c r="S154" s="1"/>
      <c r="U154" s="85" t="e">
        <f t="shared" si="244"/>
        <v>#NUM!</v>
      </c>
      <c r="V154" s="86" t="e">
        <f t="shared" si="339"/>
        <v>#NUM!</v>
      </c>
      <c r="W154" s="87" t="e">
        <f t="shared" si="259"/>
        <v>#NUM!</v>
      </c>
      <c r="X154" s="87" t="e">
        <f t="shared" si="260"/>
        <v>#NUM!</v>
      </c>
      <c r="Y154" s="87" t="e">
        <f t="shared" si="261"/>
        <v>#NUM!</v>
      </c>
      <c r="Z154" s="88" t="e">
        <f t="shared" si="245"/>
        <v>#NUM!</v>
      </c>
      <c r="AA154" t="s">
        <v>282</v>
      </c>
      <c r="AB154" s="89">
        <f t="shared" si="340"/>
        <v>0</v>
      </c>
      <c r="AC154" s="87">
        <f t="shared" si="262"/>
        <v>0</v>
      </c>
      <c r="AD154" s="87" t="str">
        <f t="shared" si="263"/>
        <v/>
      </c>
      <c r="AE154" s="87" t="str">
        <f t="shared" si="264"/>
        <v/>
      </c>
      <c r="AF154" s="86">
        <f t="shared" si="341"/>
        <v>0</v>
      </c>
      <c r="AG154" s="87">
        <f t="shared" si="246"/>
        <v>0</v>
      </c>
      <c r="AH154" s="87">
        <f t="shared" si="342"/>
        <v>0</v>
      </c>
      <c r="AI154" s="90"/>
      <c r="AJ154" s="87" t="e">
        <f t="shared" si="265"/>
        <v>#NUM!</v>
      </c>
      <c r="AK154" s="87" t="e">
        <f t="shared" si="343"/>
        <v>#NUM!</v>
      </c>
      <c r="AL154" s="87" t="e">
        <f t="shared" si="344"/>
        <v>#NUM!</v>
      </c>
      <c r="AM154" s="87" t="e">
        <f t="shared" si="345"/>
        <v>#NUM!</v>
      </c>
      <c r="AN154" s="86">
        <f t="shared" si="266"/>
        <v>0</v>
      </c>
      <c r="AO154" s="87">
        <f t="shared" si="267"/>
        <v>0</v>
      </c>
      <c r="AP154" s="88">
        <f t="shared" si="268"/>
        <v>0</v>
      </c>
      <c r="AR154" s="91">
        <f t="shared" si="269"/>
        <v>0</v>
      </c>
      <c r="AS154" s="92">
        <f t="shared" si="270"/>
        <v>0</v>
      </c>
      <c r="AT154" s="87" t="str">
        <f t="shared" si="271"/>
        <v/>
      </c>
      <c r="AU154" s="87" t="str">
        <f t="shared" si="272"/>
        <v/>
      </c>
      <c r="AV154" s="86">
        <f t="shared" si="346"/>
        <v>0</v>
      </c>
      <c r="AW154" s="87">
        <f t="shared" si="347"/>
        <v>0</v>
      </c>
      <c r="AX154" s="87">
        <f t="shared" si="348"/>
        <v>0</v>
      </c>
      <c r="AY154" s="93"/>
      <c r="AZ154" s="87">
        <f t="shared" si="425"/>
        <v>0</v>
      </c>
      <c r="BA154" s="87">
        <f t="shared" si="349"/>
        <v>0</v>
      </c>
      <c r="BB154" s="87">
        <f t="shared" si="350"/>
        <v>0</v>
      </c>
      <c r="BC154" s="87">
        <f t="shared" si="416"/>
        <v>0</v>
      </c>
      <c r="BD154" s="86" t="e">
        <f t="shared" si="273"/>
        <v>#NUM!</v>
      </c>
      <c r="BE154" s="87" t="e">
        <f t="shared" si="247"/>
        <v>#NUM!</v>
      </c>
      <c r="BF154" s="88">
        <f t="shared" si="351"/>
        <v>0</v>
      </c>
      <c r="BH154" s="87" t="e">
        <f t="shared" si="274"/>
        <v>#NUM!</v>
      </c>
      <c r="BK154" s="95">
        <v>41275</v>
      </c>
      <c r="BL154" s="96">
        <v>75</v>
      </c>
      <c r="CY154" s="108" t="str">
        <f t="shared" si="275"/>
        <v/>
      </c>
      <c r="CZ154" s="109" t="str">
        <f t="shared" si="276"/>
        <v/>
      </c>
      <c r="DA154" s="109" t="str">
        <f t="shared" si="277"/>
        <v/>
      </c>
      <c r="DB154" s="110" t="str">
        <f t="shared" si="225"/>
        <v/>
      </c>
      <c r="DD154" s="108" t="str">
        <f t="shared" si="278"/>
        <v/>
      </c>
      <c r="DE154" s="109" t="str">
        <f t="shared" si="352"/>
        <v/>
      </c>
      <c r="DF154" s="109" t="str">
        <f t="shared" si="279"/>
        <v/>
      </c>
      <c r="DG154" s="110" t="str">
        <f t="shared" si="226"/>
        <v/>
      </c>
      <c r="DI154" s="108" t="str">
        <f t="shared" si="353"/>
        <v/>
      </c>
      <c r="DJ154" s="109" t="str">
        <f t="shared" si="354"/>
        <v/>
      </c>
      <c r="DK154" s="109" t="str">
        <f t="shared" si="280"/>
        <v/>
      </c>
      <c r="DL154" s="110" t="str">
        <f t="shared" si="227"/>
        <v/>
      </c>
      <c r="DN154" s="108" t="str">
        <f t="shared" si="281"/>
        <v/>
      </c>
      <c r="DO154" s="109" t="str">
        <f t="shared" si="282"/>
        <v/>
      </c>
      <c r="DP154" s="109" t="str">
        <f t="shared" si="283"/>
        <v/>
      </c>
      <c r="DQ154" s="110" t="str">
        <f t="shared" si="228"/>
        <v/>
      </c>
      <c r="DS154" s="108" t="str">
        <f t="shared" si="355"/>
        <v/>
      </c>
      <c r="DT154" s="109" t="str">
        <f t="shared" si="356"/>
        <v/>
      </c>
      <c r="DU154" s="109" t="str">
        <f t="shared" si="284"/>
        <v/>
      </c>
      <c r="DV154" s="110" t="str">
        <f t="shared" si="229"/>
        <v/>
      </c>
      <c r="DX154" s="108" t="str">
        <f t="shared" si="285"/>
        <v/>
      </c>
      <c r="DY154" s="109" t="str">
        <f t="shared" si="357"/>
        <v/>
      </c>
      <c r="DZ154" s="109" t="str">
        <f t="shared" si="286"/>
        <v/>
      </c>
      <c r="EA154" s="110" t="str">
        <f t="shared" si="230"/>
        <v/>
      </c>
      <c r="EC154" s="108" t="str">
        <f t="shared" si="358"/>
        <v/>
      </c>
      <c r="ED154" s="109" t="str">
        <f t="shared" si="359"/>
        <v/>
      </c>
      <c r="EE154" s="109" t="str">
        <f t="shared" si="287"/>
        <v/>
      </c>
      <c r="EF154" s="110" t="str">
        <f t="shared" si="231"/>
        <v/>
      </c>
      <c r="EH154" s="108" t="str">
        <f t="shared" si="288"/>
        <v/>
      </c>
      <c r="EI154" s="109" t="str">
        <f t="shared" si="360"/>
        <v/>
      </c>
      <c r="EJ154" s="109" t="str">
        <f t="shared" si="289"/>
        <v/>
      </c>
      <c r="EK154" s="110" t="str">
        <f t="shared" si="232"/>
        <v/>
      </c>
      <c r="EM154" s="108" t="str">
        <f t="shared" si="361"/>
        <v/>
      </c>
      <c r="EN154" s="109" t="str">
        <f t="shared" si="362"/>
        <v/>
      </c>
      <c r="EO154" s="109" t="str">
        <f t="shared" si="290"/>
        <v/>
      </c>
      <c r="EP154" s="110" t="str">
        <f t="shared" si="233"/>
        <v/>
      </c>
      <c r="ER154" s="108" t="str">
        <f t="shared" si="291"/>
        <v/>
      </c>
      <c r="ES154" s="109" t="str">
        <f t="shared" si="363"/>
        <v/>
      </c>
      <c r="ET154" s="109" t="str">
        <f t="shared" si="292"/>
        <v/>
      </c>
      <c r="EU154" s="110" t="str">
        <f t="shared" si="234"/>
        <v/>
      </c>
      <c r="EW154" s="108" t="str">
        <f t="shared" si="364"/>
        <v/>
      </c>
      <c r="EX154" s="109" t="str">
        <f t="shared" si="365"/>
        <v/>
      </c>
      <c r="EY154" s="109" t="str">
        <f t="shared" si="293"/>
        <v/>
      </c>
      <c r="EZ154" s="110" t="str">
        <f t="shared" si="235"/>
        <v/>
      </c>
      <c r="FB154" s="108" t="str">
        <f t="shared" si="294"/>
        <v/>
      </c>
      <c r="FC154" s="109" t="str">
        <f t="shared" si="366"/>
        <v/>
      </c>
      <c r="FD154" s="109" t="str">
        <f t="shared" si="295"/>
        <v/>
      </c>
      <c r="FE154" s="110" t="str">
        <f t="shared" si="236"/>
        <v/>
      </c>
      <c r="FG154" s="108" t="str">
        <f t="shared" si="367"/>
        <v/>
      </c>
      <c r="FH154" s="109" t="str">
        <f t="shared" si="368"/>
        <v/>
      </c>
      <c r="FI154" s="109" t="str">
        <f t="shared" si="296"/>
        <v/>
      </c>
      <c r="FJ154" s="110" t="str">
        <f t="shared" si="237"/>
        <v/>
      </c>
      <c r="FL154" s="108" t="str">
        <f t="shared" si="297"/>
        <v/>
      </c>
      <c r="FM154" s="109" t="str">
        <f t="shared" si="369"/>
        <v/>
      </c>
      <c r="FN154" s="109" t="str">
        <f t="shared" si="298"/>
        <v/>
      </c>
      <c r="FO154" s="110" t="str">
        <f t="shared" si="238"/>
        <v/>
      </c>
      <c r="FQ154" s="108" t="str">
        <f t="shared" si="370"/>
        <v/>
      </c>
      <c r="FR154" s="109" t="str">
        <f t="shared" si="371"/>
        <v/>
      </c>
      <c r="FS154" s="109" t="str">
        <f t="shared" si="299"/>
        <v/>
      </c>
      <c r="FT154" s="110" t="str">
        <f t="shared" si="239"/>
        <v/>
      </c>
      <c r="FV154" s="108" t="str">
        <f t="shared" si="300"/>
        <v/>
      </c>
      <c r="FW154" s="109" t="str">
        <f t="shared" si="372"/>
        <v/>
      </c>
      <c r="FX154" s="109" t="str">
        <f t="shared" si="301"/>
        <v/>
      </c>
      <c r="FY154" s="110" t="str">
        <f t="shared" si="240"/>
        <v/>
      </c>
      <c r="GA154" s="108" t="str">
        <f t="shared" si="373"/>
        <v/>
      </c>
      <c r="GB154" s="109" t="str">
        <f t="shared" si="374"/>
        <v/>
      </c>
      <c r="GC154" s="109" t="str">
        <f t="shared" si="302"/>
        <v/>
      </c>
      <c r="GD154" s="110" t="str">
        <f t="shared" si="241"/>
        <v/>
      </c>
      <c r="GF154" s="108" t="str">
        <f t="shared" si="303"/>
        <v/>
      </c>
      <c r="GG154" s="109" t="str">
        <f t="shared" si="375"/>
        <v/>
      </c>
      <c r="GH154" s="109" t="str">
        <f t="shared" si="304"/>
        <v/>
      </c>
      <c r="GI154" s="110" t="str">
        <f t="shared" si="242"/>
        <v/>
      </c>
      <c r="GK154" s="108" t="str">
        <f t="shared" si="376"/>
        <v/>
      </c>
      <c r="GL154" s="109" t="str">
        <f t="shared" si="377"/>
        <v/>
      </c>
      <c r="GM154" s="109" t="str">
        <f t="shared" si="378"/>
        <v/>
      </c>
      <c r="GN154" s="110" t="str">
        <f t="shared" si="243"/>
        <v/>
      </c>
      <c r="GR154" s="108" t="str">
        <f t="shared" si="305"/>
        <v/>
      </c>
      <c r="GS154" s="109" t="str">
        <f t="shared" si="306"/>
        <v/>
      </c>
      <c r="GT154" s="109" t="str">
        <f t="shared" si="307"/>
        <v/>
      </c>
      <c r="GU154" s="110" t="str">
        <f t="shared" si="308"/>
        <v/>
      </c>
      <c r="GV154" s="51"/>
      <c r="GW154" s="108" t="str">
        <f t="shared" si="309"/>
        <v/>
      </c>
      <c r="GX154" s="109" t="str">
        <f t="shared" si="379"/>
        <v/>
      </c>
      <c r="GY154" s="109" t="str">
        <f t="shared" si="310"/>
        <v/>
      </c>
      <c r="GZ154" s="110" t="str">
        <f t="shared" si="311"/>
        <v/>
      </c>
      <c r="HA154" s="51"/>
      <c r="HB154" s="108" t="str">
        <f t="shared" si="380"/>
        <v/>
      </c>
      <c r="HC154" s="109" t="str">
        <f t="shared" si="381"/>
        <v/>
      </c>
      <c r="HD154" s="109" t="str">
        <f t="shared" si="312"/>
        <v/>
      </c>
      <c r="HE154" s="110" t="str">
        <f t="shared" si="382"/>
        <v/>
      </c>
      <c r="HF154" s="51"/>
      <c r="HG154" s="108" t="str">
        <f t="shared" si="313"/>
        <v/>
      </c>
      <c r="HH154" s="109" t="str">
        <f t="shared" si="383"/>
        <v/>
      </c>
      <c r="HI154" s="109" t="str">
        <f t="shared" si="314"/>
        <v/>
      </c>
      <c r="HJ154" s="110" t="str">
        <f t="shared" si="417"/>
        <v/>
      </c>
      <c r="HK154" s="51"/>
      <c r="HL154" s="108" t="str">
        <f t="shared" si="384"/>
        <v/>
      </c>
      <c r="HM154" s="109" t="str">
        <f t="shared" si="385"/>
        <v/>
      </c>
      <c r="HN154" s="109" t="str">
        <f t="shared" si="315"/>
        <v/>
      </c>
      <c r="HO154" s="110" t="str">
        <f t="shared" si="386"/>
        <v/>
      </c>
      <c r="HP154" s="51"/>
      <c r="HQ154" s="108" t="str">
        <f t="shared" si="316"/>
        <v/>
      </c>
      <c r="HR154" s="109" t="str">
        <f t="shared" si="387"/>
        <v/>
      </c>
      <c r="HS154" s="109" t="str">
        <f t="shared" si="317"/>
        <v/>
      </c>
      <c r="HT154" s="110" t="str">
        <f t="shared" si="418"/>
        <v/>
      </c>
      <c r="HU154" s="51"/>
      <c r="HV154" s="108" t="str">
        <f t="shared" si="388"/>
        <v/>
      </c>
      <c r="HW154" s="109" t="str">
        <f t="shared" si="389"/>
        <v/>
      </c>
      <c r="HX154" s="109" t="str">
        <f t="shared" si="318"/>
        <v/>
      </c>
      <c r="HY154" s="110" t="str">
        <f t="shared" si="390"/>
        <v/>
      </c>
      <c r="HZ154" s="51"/>
      <c r="IA154" s="108" t="str">
        <f t="shared" si="319"/>
        <v/>
      </c>
      <c r="IB154" s="109" t="str">
        <f t="shared" si="391"/>
        <v/>
      </c>
      <c r="IC154" s="109" t="str">
        <f t="shared" si="320"/>
        <v/>
      </c>
      <c r="ID154" s="110" t="str">
        <f t="shared" si="419"/>
        <v/>
      </c>
      <c r="IE154" s="51"/>
      <c r="IF154" s="108" t="str">
        <f t="shared" si="392"/>
        <v/>
      </c>
      <c r="IG154" s="109" t="str">
        <f t="shared" si="393"/>
        <v/>
      </c>
      <c r="IH154" s="109" t="str">
        <f t="shared" si="321"/>
        <v/>
      </c>
      <c r="II154" s="110" t="str">
        <f t="shared" si="394"/>
        <v/>
      </c>
      <c r="IJ154" s="51"/>
      <c r="IK154" s="108" t="str">
        <f t="shared" si="322"/>
        <v/>
      </c>
      <c r="IL154" s="109" t="str">
        <f t="shared" si="395"/>
        <v/>
      </c>
      <c r="IM154" s="109" t="str">
        <f t="shared" si="323"/>
        <v/>
      </c>
      <c r="IN154" s="110" t="str">
        <f t="shared" si="420"/>
        <v/>
      </c>
      <c r="IO154" s="51"/>
      <c r="IP154" s="108" t="str">
        <f t="shared" si="396"/>
        <v/>
      </c>
      <c r="IQ154" s="109" t="str">
        <f t="shared" si="397"/>
        <v/>
      </c>
      <c r="IR154" s="109" t="str">
        <f t="shared" si="324"/>
        <v/>
      </c>
      <c r="IS154" s="110" t="str">
        <f t="shared" si="398"/>
        <v/>
      </c>
      <c r="IT154" s="51"/>
      <c r="IU154" s="108" t="str">
        <f t="shared" si="325"/>
        <v/>
      </c>
      <c r="IV154" s="109" t="str">
        <f t="shared" si="399"/>
        <v/>
      </c>
      <c r="IW154" s="109" t="str">
        <f t="shared" si="326"/>
        <v/>
      </c>
      <c r="IX154" s="110" t="str">
        <f t="shared" si="421"/>
        <v/>
      </c>
      <c r="IY154" s="51"/>
      <c r="IZ154" s="108" t="str">
        <f t="shared" si="400"/>
        <v/>
      </c>
      <c r="JA154" s="109" t="str">
        <f t="shared" si="401"/>
        <v/>
      </c>
      <c r="JB154" s="109" t="str">
        <f t="shared" si="327"/>
        <v/>
      </c>
      <c r="JC154" s="110" t="str">
        <f t="shared" si="402"/>
        <v/>
      </c>
      <c r="JD154" s="51"/>
      <c r="JE154" s="108" t="str">
        <f t="shared" si="328"/>
        <v/>
      </c>
      <c r="JF154" s="109" t="str">
        <f t="shared" si="403"/>
        <v/>
      </c>
      <c r="JG154" s="109" t="str">
        <f t="shared" si="329"/>
        <v/>
      </c>
      <c r="JH154" s="110" t="str">
        <f t="shared" si="422"/>
        <v/>
      </c>
      <c r="JI154" s="51"/>
      <c r="JJ154" s="108" t="str">
        <f t="shared" si="404"/>
        <v/>
      </c>
      <c r="JK154" s="109" t="str">
        <f t="shared" si="405"/>
        <v/>
      </c>
      <c r="JL154" s="109" t="str">
        <f t="shared" si="330"/>
        <v/>
      </c>
      <c r="JM154" s="110" t="str">
        <f t="shared" si="406"/>
        <v/>
      </c>
      <c r="JN154" s="51"/>
      <c r="JO154" s="108" t="str">
        <f t="shared" si="331"/>
        <v/>
      </c>
      <c r="JP154" s="109" t="str">
        <f t="shared" si="407"/>
        <v/>
      </c>
      <c r="JQ154" s="109" t="str">
        <f t="shared" si="332"/>
        <v/>
      </c>
      <c r="JR154" s="110" t="str">
        <f t="shared" si="423"/>
        <v/>
      </c>
      <c r="JS154" s="51"/>
      <c r="JT154" s="108" t="str">
        <f t="shared" si="408"/>
        <v/>
      </c>
      <c r="JU154" s="109" t="str">
        <f t="shared" si="409"/>
        <v/>
      </c>
      <c r="JV154" s="109" t="str">
        <f t="shared" si="333"/>
        <v/>
      </c>
      <c r="JW154" s="110" t="str">
        <f t="shared" si="410"/>
        <v/>
      </c>
      <c r="JX154" s="51"/>
      <c r="JY154" s="108" t="str">
        <f t="shared" si="334"/>
        <v/>
      </c>
      <c r="JZ154" s="109" t="str">
        <f t="shared" si="411"/>
        <v/>
      </c>
      <c r="KA154" s="109" t="str">
        <f t="shared" si="335"/>
        <v/>
      </c>
      <c r="KB154" s="110" t="str">
        <f t="shared" si="424"/>
        <v/>
      </c>
      <c r="KC154" s="51"/>
      <c r="KD154" s="108" t="str">
        <f t="shared" si="412"/>
        <v/>
      </c>
      <c r="KE154" s="109" t="str">
        <f t="shared" si="413"/>
        <v/>
      </c>
      <c r="KF154" s="109" t="str">
        <f t="shared" si="336"/>
        <v/>
      </c>
      <c r="KG154" s="110" t="str">
        <f t="shared" si="337"/>
        <v/>
      </c>
    </row>
    <row r="155" spans="1:293" ht="12" customHeight="1">
      <c r="A155" s="105">
        <f t="array" ref="A155">MAX(IF($J$80:J154&gt;0,$C$80:C154,0))</f>
        <v>43535</v>
      </c>
      <c r="B155" s="81" t="str">
        <f t="shared" si="248"/>
        <v/>
      </c>
      <c r="C155" s="82">
        <f t="shared" si="414"/>
        <v>0</v>
      </c>
      <c r="D155" s="83" t="str">
        <f t="shared" si="249"/>
        <v/>
      </c>
      <c r="E155" s="83" t="str">
        <f t="shared" si="338"/>
        <v/>
      </c>
      <c r="F155" s="83" t="str">
        <f t="shared" si="250"/>
        <v/>
      </c>
      <c r="G155" s="83" t="str">
        <f t="shared" si="251"/>
        <v/>
      </c>
      <c r="H155" s="83" t="str">
        <f t="shared" si="252"/>
        <v/>
      </c>
      <c r="I155" s="105">
        <f t="array" ref="I155">MAX(IF($R$80:R154&gt;0,$L$80:L154,0))</f>
        <v>0</v>
      </c>
      <c r="J155" s="106"/>
      <c r="K155" s="2" t="str">
        <f t="shared" si="253"/>
        <v/>
      </c>
      <c r="L155" s="82">
        <f t="shared" si="415"/>
        <v>0</v>
      </c>
      <c r="M155" s="83" t="str">
        <f t="shared" si="254"/>
        <v/>
      </c>
      <c r="N155" s="83" t="str">
        <f t="shared" si="255"/>
        <v/>
      </c>
      <c r="O155" s="83" t="str">
        <f t="shared" si="256"/>
        <v/>
      </c>
      <c r="P155" s="83" t="str">
        <f t="shared" si="257"/>
        <v/>
      </c>
      <c r="Q155" s="83" t="str">
        <f t="shared" si="258"/>
        <v/>
      </c>
      <c r="R155" s="106"/>
      <c r="S155" s="1"/>
      <c r="U155" s="85" t="e">
        <f t="shared" si="244"/>
        <v>#NUM!</v>
      </c>
      <c r="V155" s="86" t="e">
        <f t="shared" si="339"/>
        <v>#NUM!</v>
      </c>
      <c r="W155" s="87" t="e">
        <f t="shared" si="259"/>
        <v>#NUM!</v>
      </c>
      <c r="X155" s="87" t="e">
        <f t="shared" si="260"/>
        <v>#NUM!</v>
      </c>
      <c r="Y155" s="87" t="e">
        <f t="shared" si="261"/>
        <v>#NUM!</v>
      </c>
      <c r="Z155" s="88" t="e">
        <f t="shared" si="245"/>
        <v>#NUM!</v>
      </c>
      <c r="AA155" t="s">
        <v>282</v>
      </c>
      <c r="AB155" s="89">
        <f t="shared" si="340"/>
        <v>0</v>
      </c>
      <c r="AC155" s="87">
        <f t="shared" si="262"/>
        <v>0</v>
      </c>
      <c r="AD155" s="87" t="str">
        <f t="shared" si="263"/>
        <v/>
      </c>
      <c r="AE155" s="87" t="str">
        <f t="shared" si="264"/>
        <v/>
      </c>
      <c r="AF155" s="86">
        <f t="shared" si="341"/>
        <v>0</v>
      </c>
      <c r="AG155" s="87">
        <f t="shared" si="246"/>
        <v>0</v>
      </c>
      <c r="AH155" s="87">
        <f t="shared" si="342"/>
        <v>0</v>
      </c>
      <c r="AI155" s="90"/>
      <c r="AJ155" s="87" t="e">
        <f t="shared" si="265"/>
        <v>#NUM!</v>
      </c>
      <c r="AK155" s="87" t="e">
        <f t="shared" si="343"/>
        <v>#NUM!</v>
      </c>
      <c r="AL155" s="87" t="e">
        <f t="shared" si="344"/>
        <v>#NUM!</v>
      </c>
      <c r="AM155" s="87" t="e">
        <f t="shared" si="345"/>
        <v>#NUM!</v>
      </c>
      <c r="AN155" s="86">
        <f t="shared" si="266"/>
        <v>0</v>
      </c>
      <c r="AO155" s="87">
        <f t="shared" si="267"/>
        <v>0</v>
      </c>
      <c r="AP155" s="88">
        <f t="shared" si="268"/>
        <v>0</v>
      </c>
      <c r="AR155" s="91">
        <f t="shared" si="269"/>
        <v>0</v>
      </c>
      <c r="AS155" s="92">
        <f t="shared" si="270"/>
        <v>0</v>
      </c>
      <c r="AT155" s="87" t="str">
        <f t="shared" si="271"/>
        <v/>
      </c>
      <c r="AU155" s="87" t="str">
        <f t="shared" si="272"/>
        <v/>
      </c>
      <c r="AV155" s="86">
        <f t="shared" si="346"/>
        <v>0</v>
      </c>
      <c r="AW155" s="87">
        <f t="shared" si="347"/>
        <v>0</v>
      </c>
      <c r="AX155" s="87">
        <f t="shared" si="348"/>
        <v>0</v>
      </c>
      <c r="AY155" s="93"/>
      <c r="AZ155" s="87">
        <f t="shared" si="425"/>
        <v>0</v>
      </c>
      <c r="BA155" s="87">
        <f t="shared" si="349"/>
        <v>0</v>
      </c>
      <c r="BB155" s="87">
        <f t="shared" si="350"/>
        <v>0</v>
      </c>
      <c r="BC155" s="87">
        <f t="shared" si="416"/>
        <v>0</v>
      </c>
      <c r="BD155" s="86" t="e">
        <f t="shared" si="273"/>
        <v>#NUM!</v>
      </c>
      <c r="BE155" s="87" t="e">
        <f t="shared" si="247"/>
        <v>#NUM!</v>
      </c>
      <c r="BF155" s="88">
        <f t="shared" si="351"/>
        <v>0</v>
      </c>
      <c r="BH155" s="87" t="e">
        <f t="shared" si="274"/>
        <v>#NUM!</v>
      </c>
      <c r="BK155" s="95">
        <v>41276</v>
      </c>
      <c r="BL155" s="96">
        <v>76</v>
      </c>
      <c r="CY155" s="108" t="str">
        <f t="shared" si="275"/>
        <v/>
      </c>
      <c r="CZ155" s="109" t="str">
        <f t="shared" si="276"/>
        <v/>
      </c>
      <c r="DA155" s="109" t="str">
        <f t="shared" si="277"/>
        <v/>
      </c>
      <c r="DB155" s="110" t="str">
        <f t="shared" si="225"/>
        <v/>
      </c>
      <c r="DD155" s="108" t="str">
        <f t="shared" si="278"/>
        <v/>
      </c>
      <c r="DE155" s="109" t="str">
        <f t="shared" si="352"/>
        <v/>
      </c>
      <c r="DF155" s="109" t="str">
        <f t="shared" si="279"/>
        <v/>
      </c>
      <c r="DG155" s="110" t="str">
        <f t="shared" si="226"/>
        <v/>
      </c>
      <c r="DI155" s="108" t="str">
        <f t="shared" si="353"/>
        <v/>
      </c>
      <c r="DJ155" s="109" t="str">
        <f t="shared" si="354"/>
        <v/>
      </c>
      <c r="DK155" s="109" t="str">
        <f t="shared" si="280"/>
        <v/>
      </c>
      <c r="DL155" s="110" t="str">
        <f t="shared" si="227"/>
        <v/>
      </c>
      <c r="DN155" s="108" t="str">
        <f t="shared" si="281"/>
        <v/>
      </c>
      <c r="DO155" s="109" t="str">
        <f t="shared" si="282"/>
        <v/>
      </c>
      <c r="DP155" s="109" t="str">
        <f t="shared" si="283"/>
        <v/>
      </c>
      <c r="DQ155" s="110" t="str">
        <f t="shared" si="228"/>
        <v/>
      </c>
      <c r="DS155" s="108" t="str">
        <f t="shared" si="355"/>
        <v/>
      </c>
      <c r="DT155" s="109" t="str">
        <f t="shared" si="356"/>
        <v/>
      </c>
      <c r="DU155" s="109" t="str">
        <f t="shared" si="284"/>
        <v/>
      </c>
      <c r="DV155" s="110" t="str">
        <f t="shared" si="229"/>
        <v/>
      </c>
      <c r="DX155" s="108" t="str">
        <f t="shared" si="285"/>
        <v/>
      </c>
      <c r="DY155" s="109" t="str">
        <f t="shared" si="357"/>
        <v/>
      </c>
      <c r="DZ155" s="109" t="str">
        <f t="shared" si="286"/>
        <v/>
      </c>
      <c r="EA155" s="110" t="str">
        <f t="shared" si="230"/>
        <v/>
      </c>
      <c r="EC155" s="108" t="str">
        <f t="shared" si="358"/>
        <v/>
      </c>
      <c r="ED155" s="109" t="str">
        <f t="shared" si="359"/>
        <v/>
      </c>
      <c r="EE155" s="109" t="str">
        <f t="shared" si="287"/>
        <v/>
      </c>
      <c r="EF155" s="110" t="str">
        <f t="shared" si="231"/>
        <v/>
      </c>
      <c r="EH155" s="108" t="str">
        <f t="shared" si="288"/>
        <v/>
      </c>
      <c r="EI155" s="109" t="str">
        <f t="shared" si="360"/>
        <v/>
      </c>
      <c r="EJ155" s="109" t="str">
        <f t="shared" si="289"/>
        <v/>
      </c>
      <c r="EK155" s="110" t="str">
        <f t="shared" si="232"/>
        <v/>
      </c>
      <c r="EM155" s="108" t="str">
        <f t="shared" si="361"/>
        <v/>
      </c>
      <c r="EN155" s="109" t="str">
        <f t="shared" si="362"/>
        <v/>
      </c>
      <c r="EO155" s="109" t="str">
        <f t="shared" si="290"/>
        <v/>
      </c>
      <c r="EP155" s="110" t="str">
        <f t="shared" si="233"/>
        <v/>
      </c>
      <c r="ER155" s="108" t="str">
        <f t="shared" si="291"/>
        <v/>
      </c>
      <c r="ES155" s="109" t="str">
        <f t="shared" si="363"/>
        <v/>
      </c>
      <c r="ET155" s="109" t="str">
        <f t="shared" si="292"/>
        <v/>
      </c>
      <c r="EU155" s="110" t="str">
        <f t="shared" si="234"/>
        <v/>
      </c>
      <c r="EW155" s="108" t="str">
        <f t="shared" si="364"/>
        <v/>
      </c>
      <c r="EX155" s="109" t="str">
        <f t="shared" si="365"/>
        <v/>
      </c>
      <c r="EY155" s="109" t="str">
        <f t="shared" si="293"/>
        <v/>
      </c>
      <c r="EZ155" s="110" t="str">
        <f t="shared" si="235"/>
        <v/>
      </c>
      <c r="FB155" s="108" t="str">
        <f t="shared" si="294"/>
        <v/>
      </c>
      <c r="FC155" s="109" t="str">
        <f t="shared" si="366"/>
        <v/>
      </c>
      <c r="FD155" s="109" t="str">
        <f t="shared" si="295"/>
        <v/>
      </c>
      <c r="FE155" s="110" t="str">
        <f t="shared" si="236"/>
        <v/>
      </c>
      <c r="FG155" s="108" t="str">
        <f t="shared" si="367"/>
        <v/>
      </c>
      <c r="FH155" s="109" t="str">
        <f t="shared" si="368"/>
        <v/>
      </c>
      <c r="FI155" s="109" t="str">
        <f t="shared" si="296"/>
        <v/>
      </c>
      <c r="FJ155" s="110" t="str">
        <f t="shared" si="237"/>
        <v/>
      </c>
      <c r="FL155" s="108" t="str">
        <f t="shared" si="297"/>
        <v/>
      </c>
      <c r="FM155" s="109" t="str">
        <f t="shared" si="369"/>
        <v/>
      </c>
      <c r="FN155" s="109" t="str">
        <f t="shared" si="298"/>
        <v/>
      </c>
      <c r="FO155" s="110" t="str">
        <f t="shared" si="238"/>
        <v/>
      </c>
      <c r="FQ155" s="108" t="str">
        <f t="shared" si="370"/>
        <v/>
      </c>
      <c r="FR155" s="109" t="str">
        <f t="shared" si="371"/>
        <v/>
      </c>
      <c r="FS155" s="109" t="str">
        <f t="shared" si="299"/>
        <v/>
      </c>
      <c r="FT155" s="110" t="str">
        <f t="shared" si="239"/>
        <v/>
      </c>
      <c r="FV155" s="108" t="str">
        <f t="shared" si="300"/>
        <v/>
      </c>
      <c r="FW155" s="109" t="str">
        <f t="shared" si="372"/>
        <v/>
      </c>
      <c r="FX155" s="109" t="str">
        <f t="shared" si="301"/>
        <v/>
      </c>
      <c r="FY155" s="110" t="str">
        <f t="shared" si="240"/>
        <v/>
      </c>
      <c r="GA155" s="108" t="str">
        <f t="shared" si="373"/>
        <v/>
      </c>
      <c r="GB155" s="109" t="str">
        <f t="shared" si="374"/>
        <v/>
      </c>
      <c r="GC155" s="109" t="str">
        <f t="shared" si="302"/>
        <v/>
      </c>
      <c r="GD155" s="110" t="str">
        <f t="shared" si="241"/>
        <v/>
      </c>
      <c r="GF155" s="108" t="str">
        <f t="shared" si="303"/>
        <v/>
      </c>
      <c r="GG155" s="109" t="str">
        <f t="shared" si="375"/>
        <v/>
      </c>
      <c r="GH155" s="109" t="str">
        <f t="shared" si="304"/>
        <v/>
      </c>
      <c r="GI155" s="110" t="str">
        <f t="shared" si="242"/>
        <v/>
      </c>
      <c r="GK155" s="108" t="str">
        <f t="shared" si="376"/>
        <v/>
      </c>
      <c r="GL155" s="109" t="str">
        <f t="shared" si="377"/>
        <v/>
      </c>
      <c r="GM155" s="109" t="str">
        <f t="shared" si="378"/>
        <v/>
      </c>
      <c r="GN155" s="110" t="str">
        <f t="shared" si="243"/>
        <v/>
      </c>
      <c r="GR155" s="108" t="str">
        <f t="shared" si="305"/>
        <v/>
      </c>
      <c r="GS155" s="109" t="str">
        <f t="shared" si="306"/>
        <v/>
      </c>
      <c r="GT155" s="109" t="str">
        <f t="shared" si="307"/>
        <v/>
      </c>
      <c r="GU155" s="110" t="str">
        <f t="shared" si="308"/>
        <v/>
      </c>
      <c r="GV155" s="51"/>
      <c r="GW155" s="108" t="str">
        <f t="shared" si="309"/>
        <v/>
      </c>
      <c r="GX155" s="109" t="str">
        <f t="shared" si="379"/>
        <v/>
      </c>
      <c r="GY155" s="109" t="str">
        <f t="shared" si="310"/>
        <v/>
      </c>
      <c r="GZ155" s="110" t="str">
        <f t="shared" si="311"/>
        <v/>
      </c>
      <c r="HA155" s="51"/>
      <c r="HB155" s="108" t="str">
        <f t="shared" si="380"/>
        <v/>
      </c>
      <c r="HC155" s="109" t="str">
        <f t="shared" si="381"/>
        <v/>
      </c>
      <c r="HD155" s="109" t="str">
        <f t="shared" si="312"/>
        <v/>
      </c>
      <c r="HE155" s="110" t="str">
        <f t="shared" si="382"/>
        <v/>
      </c>
      <c r="HF155" s="51"/>
      <c r="HG155" s="108" t="str">
        <f t="shared" si="313"/>
        <v/>
      </c>
      <c r="HH155" s="109" t="str">
        <f t="shared" si="383"/>
        <v/>
      </c>
      <c r="HI155" s="109" t="str">
        <f t="shared" si="314"/>
        <v/>
      </c>
      <c r="HJ155" s="110" t="str">
        <f t="shared" si="417"/>
        <v/>
      </c>
      <c r="HK155" s="51"/>
      <c r="HL155" s="108" t="str">
        <f t="shared" si="384"/>
        <v/>
      </c>
      <c r="HM155" s="109" t="str">
        <f t="shared" si="385"/>
        <v/>
      </c>
      <c r="HN155" s="109" t="str">
        <f t="shared" si="315"/>
        <v/>
      </c>
      <c r="HO155" s="110" t="str">
        <f t="shared" si="386"/>
        <v/>
      </c>
      <c r="HP155" s="51"/>
      <c r="HQ155" s="108" t="str">
        <f t="shared" si="316"/>
        <v/>
      </c>
      <c r="HR155" s="109" t="str">
        <f t="shared" si="387"/>
        <v/>
      </c>
      <c r="HS155" s="109" t="str">
        <f t="shared" si="317"/>
        <v/>
      </c>
      <c r="HT155" s="110" t="str">
        <f t="shared" si="418"/>
        <v/>
      </c>
      <c r="HU155" s="51"/>
      <c r="HV155" s="108" t="str">
        <f t="shared" si="388"/>
        <v/>
      </c>
      <c r="HW155" s="109" t="str">
        <f t="shared" si="389"/>
        <v/>
      </c>
      <c r="HX155" s="109" t="str">
        <f t="shared" si="318"/>
        <v/>
      </c>
      <c r="HY155" s="110" t="str">
        <f t="shared" si="390"/>
        <v/>
      </c>
      <c r="HZ155" s="51"/>
      <c r="IA155" s="108" t="str">
        <f t="shared" si="319"/>
        <v/>
      </c>
      <c r="IB155" s="109" t="str">
        <f t="shared" si="391"/>
        <v/>
      </c>
      <c r="IC155" s="109" t="str">
        <f t="shared" si="320"/>
        <v/>
      </c>
      <c r="ID155" s="110" t="str">
        <f t="shared" si="419"/>
        <v/>
      </c>
      <c r="IE155" s="51"/>
      <c r="IF155" s="108" t="str">
        <f t="shared" si="392"/>
        <v/>
      </c>
      <c r="IG155" s="109" t="str">
        <f t="shared" si="393"/>
        <v/>
      </c>
      <c r="IH155" s="109" t="str">
        <f t="shared" si="321"/>
        <v/>
      </c>
      <c r="II155" s="110" t="str">
        <f t="shared" si="394"/>
        <v/>
      </c>
      <c r="IJ155" s="51"/>
      <c r="IK155" s="108" t="str">
        <f t="shared" si="322"/>
        <v/>
      </c>
      <c r="IL155" s="109" t="str">
        <f t="shared" si="395"/>
        <v/>
      </c>
      <c r="IM155" s="109" t="str">
        <f t="shared" si="323"/>
        <v/>
      </c>
      <c r="IN155" s="110" t="str">
        <f t="shared" si="420"/>
        <v/>
      </c>
      <c r="IO155" s="51"/>
      <c r="IP155" s="108" t="str">
        <f t="shared" si="396"/>
        <v/>
      </c>
      <c r="IQ155" s="109" t="str">
        <f t="shared" si="397"/>
        <v/>
      </c>
      <c r="IR155" s="109" t="str">
        <f t="shared" si="324"/>
        <v/>
      </c>
      <c r="IS155" s="110" t="str">
        <f t="shared" si="398"/>
        <v/>
      </c>
      <c r="IT155" s="51"/>
      <c r="IU155" s="108" t="str">
        <f t="shared" si="325"/>
        <v/>
      </c>
      <c r="IV155" s="109" t="str">
        <f t="shared" si="399"/>
        <v/>
      </c>
      <c r="IW155" s="109" t="str">
        <f t="shared" si="326"/>
        <v/>
      </c>
      <c r="IX155" s="110" t="str">
        <f t="shared" si="421"/>
        <v/>
      </c>
      <c r="IY155" s="51"/>
      <c r="IZ155" s="108" t="str">
        <f t="shared" si="400"/>
        <v/>
      </c>
      <c r="JA155" s="109" t="str">
        <f t="shared" si="401"/>
        <v/>
      </c>
      <c r="JB155" s="109" t="str">
        <f t="shared" si="327"/>
        <v/>
      </c>
      <c r="JC155" s="110" t="str">
        <f t="shared" si="402"/>
        <v/>
      </c>
      <c r="JD155" s="51"/>
      <c r="JE155" s="108" t="str">
        <f t="shared" si="328"/>
        <v/>
      </c>
      <c r="JF155" s="109" t="str">
        <f t="shared" si="403"/>
        <v/>
      </c>
      <c r="JG155" s="109" t="str">
        <f t="shared" si="329"/>
        <v/>
      </c>
      <c r="JH155" s="110" t="str">
        <f t="shared" si="422"/>
        <v/>
      </c>
      <c r="JI155" s="51"/>
      <c r="JJ155" s="108" t="str">
        <f t="shared" si="404"/>
        <v/>
      </c>
      <c r="JK155" s="109" t="str">
        <f t="shared" si="405"/>
        <v/>
      </c>
      <c r="JL155" s="109" t="str">
        <f t="shared" si="330"/>
        <v/>
      </c>
      <c r="JM155" s="110" t="str">
        <f t="shared" si="406"/>
        <v/>
      </c>
      <c r="JN155" s="51"/>
      <c r="JO155" s="108" t="str">
        <f t="shared" si="331"/>
        <v/>
      </c>
      <c r="JP155" s="109" t="str">
        <f t="shared" si="407"/>
        <v/>
      </c>
      <c r="JQ155" s="109" t="str">
        <f t="shared" si="332"/>
        <v/>
      </c>
      <c r="JR155" s="110" t="str">
        <f t="shared" si="423"/>
        <v/>
      </c>
      <c r="JS155" s="51"/>
      <c r="JT155" s="108" t="str">
        <f t="shared" si="408"/>
        <v/>
      </c>
      <c r="JU155" s="109" t="str">
        <f t="shared" si="409"/>
        <v/>
      </c>
      <c r="JV155" s="109" t="str">
        <f t="shared" si="333"/>
        <v/>
      </c>
      <c r="JW155" s="110" t="str">
        <f t="shared" si="410"/>
        <v/>
      </c>
      <c r="JX155" s="51"/>
      <c r="JY155" s="108" t="str">
        <f t="shared" si="334"/>
        <v/>
      </c>
      <c r="JZ155" s="109" t="str">
        <f t="shared" si="411"/>
        <v/>
      </c>
      <c r="KA155" s="109" t="str">
        <f t="shared" si="335"/>
        <v/>
      </c>
      <c r="KB155" s="110" t="str">
        <f t="shared" si="424"/>
        <v/>
      </c>
      <c r="KC155" s="51"/>
      <c r="KD155" s="108" t="str">
        <f t="shared" si="412"/>
        <v/>
      </c>
      <c r="KE155" s="109" t="str">
        <f t="shared" si="413"/>
        <v/>
      </c>
      <c r="KF155" s="109" t="str">
        <f t="shared" si="336"/>
        <v/>
      </c>
      <c r="KG155" s="110" t="str">
        <f t="shared" si="337"/>
        <v/>
      </c>
    </row>
    <row r="156" spans="1:293" ht="12" customHeight="1">
      <c r="A156" s="105">
        <f t="array" ref="A156">MAX(IF($J$80:J155&gt;0,$C$80:C155,0))</f>
        <v>43535</v>
      </c>
      <c r="B156" s="81" t="str">
        <f t="shared" si="248"/>
        <v/>
      </c>
      <c r="C156" s="82">
        <f t="shared" si="414"/>
        <v>0</v>
      </c>
      <c r="D156" s="83" t="str">
        <f t="shared" si="249"/>
        <v/>
      </c>
      <c r="E156" s="83" t="str">
        <f t="shared" si="338"/>
        <v/>
      </c>
      <c r="F156" s="83" t="str">
        <f t="shared" si="250"/>
        <v/>
      </c>
      <c r="G156" s="83" t="str">
        <f t="shared" si="251"/>
        <v/>
      </c>
      <c r="H156" s="83" t="str">
        <f t="shared" si="252"/>
        <v/>
      </c>
      <c r="I156" s="105">
        <f t="array" ref="I156">MAX(IF($R$80:R155&gt;0,$L$80:L155,0))</f>
        <v>0</v>
      </c>
      <c r="J156" s="106"/>
      <c r="K156" s="2" t="str">
        <f t="shared" si="253"/>
        <v/>
      </c>
      <c r="L156" s="82">
        <f t="shared" si="415"/>
        <v>0</v>
      </c>
      <c r="M156" s="83" t="str">
        <f t="shared" si="254"/>
        <v/>
      </c>
      <c r="N156" s="83" t="str">
        <f t="shared" si="255"/>
        <v/>
      </c>
      <c r="O156" s="83" t="str">
        <f t="shared" si="256"/>
        <v/>
      </c>
      <c r="P156" s="83" t="str">
        <f t="shared" si="257"/>
        <v/>
      </c>
      <c r="Q156" s="83" t="str">
        <f t="shared" si="258"/>
        <v/>
      </c>
      <c r="R156" s="106"/>
      <c r="S156" s="1"/>
      <c r="U156" s="85" t="e">
        <f t="shared" si="244"/>
        <v>#NUM!</v>
      </c>
      <c r="V156" s="86" t="e">
        <f t="shared" si="339"/>
        <v>#NUM!</v>
      </c>
      <c r="W156" s="87" t="e">
        <f t="shared" si="259"/>
        <v>#NUM!</v>
      </c>
      <c r="X156" s="87" t="e">
        <f t="shared" si="260"/>
        <v>#NUM!</v>
      </c>
      <c r="Y156" s="87" t="e">
        <f t="shared" si="261"/>
        <v>#NUM!</v>
      </c>
      <c r="Z156" s="88" t="e">
        <f t="shared" si="245"/>
        <v>#NUM!</v>
      </c>
      <c r="AA156" t="s">
        <v>282</v>
      </c>
      <c r="AB156" s="89">
        <f t="shared" si="340"/>
        <v>0</v>
      </c>
      <c r="AC156" s="87">
        <f t="shared" si="262"/>
        <v>0</v>
      </c>
      <c r="AD156" s="87" t="str">
        <f t="shared" si="263"/>
        <v/>
      </c>
      <c r="AE156" s="87" t="str">
        <f t="shared" si="264"/>
        <v/>
      </c>
      <c r="AF156" s="86">
        <f t="shared" si="341"/>
        <v>0</v>
      </c>
      <c r="AG156" s="87">
        <f t="shared" si="246"/>
        <v>0</v>
      </c>
      <c r="AH156" s="87">
        <f t="shared" si="342"/>
        <v>0</v>
      </c>
      <c r="AI156" s="90"/>
      <c r="AJ156" s="87" t="e">
        <f t="shared" si="265"/>
        <v>#NUM!</v>
      </c>
      <c r="AK156" s="87" t="e">
        <f t="shared" si="343"/>
        <v>#NUM!</v>
      </c>
      <c r="AL156" s="87" t="e">
        <f t="shared" si="344"/>
        <v>#NUM!</v>
      </c>
      <c r="AM156" s="87" t="e">
        <f t="shared" si="345"/>
        <v>#NUM!</v>
      </c>
      <c r="AN156" s="86">
        <f t="shared" si="266"/>
        <v>0</v>
      </c>
      <c r="AO156" s="87">
        <f t="shared" si="267"/>
        <v>0</v>
      </c>
      <c r="AP156" s="88">
        <f t="shared" si="268"/>
        <v>0</v>
      </c>
      <c r="AR156" s="91">
        <f t="shared" si="269"/>
        <v>0</v>
      </c>
      <c r="AS156" s="92">
        <f t="shared" si="270"/>
        <v>0</v>
      </c>
      <c r="AT156" s="87" t="str">
        <f t="shared" si="271"/>
        <v/>
      </c>
      <c r="AU156" s="87" t="str">
        <f t="shared" si="272"/>
        <v/>
      </c>
      <c r="AV156" s="86">
        <f t="shared" si="346"/>
        <v>0</v>
      </c>
      <c r="AW156" s="87">
        <f t="shared" si="347"/>
        <v>0</v>
      </c>
      <c r="AX156" s="87">
        <f t="shared" si="348"/>
        <v>0</v>
      </c>
      <c r="AY156" s="93"/>
      <c r="AZ156" s="87">
        <f t="shared" si="425"/>
        <v>0</v>
      </c>
      <c r="BA156" s="87">
        <f t="shared" si="349"/>
        <v>0</v>
      </c>
      <c r="BB156" s="87">
        <f t="shared" si="350"/>
        <v>0</v>
      </c>
      <c r="BC156" s="87">
        <f t="shared" si="416"/>
        <v>0</v>
      </c>
      <c r="BD156" s="86" t="e">
        <f t="shared" si="273"/>
        <v>#NUM!</v>
      </c>
      <c r="BE156" s="87" t="e">
        <f t="shared" si="247"/>
        <v>#NUM!</v>
      </c>
      <c r="BF156" s="88">
        <f t="shared" si="351"/>
        <v>0</v>
      </c>
      <c r="BH156" s="87" t="e">
        <f t="shared" si="274"/>
        <v>#NUM!</v>
      </c>
      <c r="BK156" s="95">
        <v>41281</v>
      </c>
      <c r="BL156" s="96">
        <v>77</v>
      </c>
      <c r="CY156" s="108" t="str">
        <f t="shared" si="275"/>
        <v/>
      </c>
      <c r="CZ156" s="109" t="str">
        <f t="shared" si="276"/>
        <v/>
      </c>
      <c r="DA156" s="109" t="str">
        <f t="shared" si="277"/>
        <v/>
      </c>
      <c r="DB156" s="110" t="str">
        <f t="shared" si="225"/>
        <v/>
      </c>
      <c r="DD156" s="108" t="str">
        <f t="shared" si="278"/>
        <v/>
      </c>
      <c r="DE156" s="109" t="str">
        <f t="shared" si="352"/>
        <v/>
      </c>
      <c r="DF156" s="109" t="str">
        <f t="shared" si="279"/>
        <v/>
      </c>
      <c r="DG156" s="110" t="str">
        <f t="shared" si="226"/>
        <v/>
      </c>
      <c r="DI156" s="108" t="str">
        <f t="shared" si="353"/>
        <v/>
      </c>
      <c r="DJ156" s="109" t="str">
        <f t="shared" si="354"/>
        <v/>
      </c>
      <c r="DK156" s="109" t="str">
        <f t="shared" si="280"/>
        <v/>
      </c>
      <c r="DL156" s="110" t="str">
        <f t="shared" si="227"/>
        <v/>
      </c>
      <c r="DN156" s="108" t="str">
        <f t="shared" si="281"/>
        <v/>
      </c>
      <c r="DO156" s="109" t="str">
        <f t="shared" si="282"/>
        <v/>
      </c>
      <c r="DP156" s="109" t="str">
        <f t="shared" si="283"/>
        <v/>
      </c>
      <c r="DQ156" s="110" t="str">
        <f t="shared" si="228"/>
        <v/>
      </c>
      <c r="DS156" s="108" t="str">
        <f t="shared" si="355"/>
        <v/>
      </c>
      <c r="DT156" s="109" t="str">
        <f t="shared" si="356"/>
        <v/>
      </c>
      <c r="DU156" s="109" t="str">
        <f t="shared" si="284"/>
        <v/>
      </c>
      <c r="DV156" s="110" t="str">
        <f t="shared" si="229"/>
        <v/>
      </c>
      <c r="DX156" s="108" t="str">
        <f t="shared" si="285"/>
        <v/>
      </c>
      <c r="DY156" s="109" t="str">
        <f t="shared" si="357"/>
        <v/>
      </c>
      <c r="DZ156" s="109" t="str">
        <f t="shared" si="286"/>
        <v/>
      </c>
      <c r="EA156" s="110" t="str">
        <f t="shared" si="230"/>
        <v/>
      </c>
      <c r="EC156" s="108" t="str">
        <f t="shared" si="358"/>
        <v/>
      </c>
      <c r="ED156" s="109" t="str">
        <f t="shared" si="359"/>
        <v/>
      </c>
      <c r="EE156" s="109" t="str">
        <f t="shared" si="287"/>
        <v/>
      </c>
      <c r="EF156" s="110" t="str">
        <f t="shared" si="231"/>
        <v/>
      </c>
      <c r="EH156" s="108" t="str">
        <f t="shared" si="288"/>
        <v/>
      </c>
      <c r="EI156" s="109" t="str">
        <f t="shared" si="360"/>
        <v/>
      </c>
      <c r="EJ156" s="109" t="str">
        <f t="shared" si="289"/>
        <v/>
      </c>
      <c r="EK156" s="110" t="str">
        <f t="shared" si="232"/>
        <v/>
      </c>
      <c r="EM156" s="108" t="str">
        <f t="shared" si="361"/>
        <v/>
      </c>
      <c r="EN156" s="109" t="str">
        <f t="shared" si="362"/>
        <v/>
      </c>
      <c r="EO156" s="109" t="str">
        <f t="shared" si="290"/>
        <v/>
      </c>
      <c r="EP156" s="110" t="str">
        <f t="shared" si="233"/>
        <v/>
      </c>
      <c r="ER156" s="108" t="str">
        <f t="shared" si="291"/>
        <v/>
      </c>
      <c r="ES156" s="109" t="str">
        <f t="shared" si="363"/>
        <v/>
      </c>
      <c r="ET156" s="109" t="str">
        <f t="shared" si="292"/>
        <v/>
      </c>
      <c r="EU156" s="110" t="str">
        <f t="shared" si="234"/>
        <v/>
      </c>
      <c r="EW156" s="108" t="str">
        <f t="shared" si="364"/>
        <v/>
      </c>
      <c r="EX156" s="109" t="str">
        <f t="shared" si="365"/>
        <v/>
      </c>
      <c r="EY156" s="109" t="str">
        <f t="shared" si="293"/>
        <v/>
      </c>
      <c r="EZ156" s="110" t="str">
        <f t="shared" si="235"/>
        <v/>
      </c>
      <c r="FB156" s="108" t="str">
        <f t="shared" si="294"/>
        <v/>
      </c>
      <c r="FC156" s="109" t="str">
        <f t="shared" si="366"/>
        <v/>
      </c>
      <c r="FD156" s="109" t="str">
        <f t="shared" si="295"/>
        <v/>
      </c>
      <c r="FE156" s="110" t="str">
        <f t="shared" si="236"/>
        <v/>
      </c>
      <c r="FG156" s="108" t="str">
        <f t="shared" si="367"/>
        <v/>
      </c>
      <c r="FH156" s="109" t="str">
        <f t="shared" si="368"/>
        <v/>
      </c>
      <c r="FI156" s="109" t="str">
        <f t="shared" si="296"/>
        <v/>
      </c>
      <c r="FJ156" s="110" t="str">
        <f t="shared" si="237"/>
        <v/>
      </c>
      <c r="FL156" s="108" t="str">
        <f t="shared" si="297"/>
        <v/>
      </c>
      <c r="FM156" s="109" t="str">
        <f t="shared" si="369"/>
        <v/>
      </c>
      <c r="FN156" s="109" t="str">
        <f t="shared" si="298"/>
        <v/>
      </c>
      <c r="FO156" s="110" t="str">
        <f t="shared" si="238"/>
        <v/>
      </c>
      <c r="FQ156" s="108" t="str">
        <f t="shared" si="370"/>
        <v/>
      </c>
      <c r="FR156" s="109" t="str">
        <f t="shared" si="371"/>
        <v/>
      </c>
      <c r="FS156" s="109" t="str">
        <f t="shared" si="299"/>
        <v/>
      </c>
      <c r="FT156" s="110" t="str">
        <f t="shared" si="239"/>
        <v/>
      </c>
      <c r="FV156" s="108" t="str">
        <f t="shared" si="300"/>
        <v/>
      </c>
      <c r="FW156" s="109" t="str">
        <f t="shared" si="372"/>
        <v/>
      </c>
      <c r="FX156" s="109" t="str">
        <f t="shared" si="301"/>
        <v/>
      </c>
      <c r="FY156" s="110" t="str">
        <f t="shared" si="240"/>
        <v/>
      </c>
      <c r="GA156" s="108" t="str">
        <f t="shared" si="373"/>
        <v/>
      </c>
      <c r="GB156" s="109" t="str">
        <f t="shared" si="374"/>
        <v/>
      </c>
      <c r="GC156" s="109" t="str">
        <f t="shared" si="302"/>
        <v/>
      </c>
      <c r="GD156" s="110" t="str">
        <f t="shared" si="241"/>
        <v/>
      </c>
      <c r="GF156" s="108" t="str">
        <f t="shared" si="303"/>
        <v/>
      </c>
      <c r="GG156" s="109" t="str">
        <f t="shared" si="375"/>
        <v/>
      </c>
      <c r="GH156" s="109" t="str">
        <f t="shared" si="304"/>
        <v/>
      </c>
      <c r="GI156" s="110" t="str">
        <f t="shared" si="242"/>
        <v/>
      </c>
      <c r="GK156" s="108" t="str">
        <f t="shared" si="376"/>
        <v/>
      </c>
      <c r="GL156" s="109" t="str">
        <f t="shared" si="377"/>
        <v/>
      </c>
      <c r="GM156" s="109" t="str">
        <f t="shared" si="378"/>
        <v/>
      </c>
      <c r="GN156" s="110" t="str">
        <f t="shared" si="243"/>
        <v/>
      </c>
      <c r="GR156" s="108" t="str">
        <f t="shared" si="305"/>
        <v/>
      </c>
      <c r="GS156" s="109" t="str">
        <f t="shared" si="306"/>
        <v/>
      </c>
      <c r="GT156" s="109" t="str">
        <f t="shared" si="307"/>
        <v/>
      </c>
      <c r="GU156" s="110" t="str">
        <f t="shared" si="308"/>
        <v/>
      </c>
      <c r="GV156" s="51"/>
      <c r="GW156" s="108" t="str">
        <f t="shared" si="309"/>
        <v/>
      </c>
      <c r="GX156" s="109" t="str">
        <f t="shared" si="379"/>
        <v/>
      </c>
      <c r="GY156" s="109" t="str">
        <f t="shared" si="310"/>
        <v/>
      </c>
      <c r="GZ156" s="110" t="str">
        <f t="shared" si="311"/>
        <v/>
      </c>
      <c r="HA156" s="51"/>
      <c r="HB156" s="108" t="str">
        <f t="shared" si="380"/>
        <v/>
      </c>
      <c r="HC156" s="109" t="str">
        <f t="shared" si="381"/>
        <v/>
      </c>
      <c r="HD156" s="109" t="str">
        <f t="shared" si="312"/>
        <v/>
      </c>
      <c r="HE156" s="110" t="str">
        <f t="shared" si="382"/>
        <v/>
      </c>
      <c r="HF156" s="51"/>
      <c r="HG156" s="108" t="str">
        <f t="shared" si="313"/>
        <v/>
      </c>
      <c r="HH156" s="109" t="str">
        <f t="shared" si="383"/>
        <v/>
      </c>
      <c r="HI156" s="109" t="str">
        <f t="shared" si="314"/>
        <v/>
      </c>
      <c r="HJ156" s="110" t="str">
        <f t="shared" si="417"/>
        <v/>
      </c>
      <c r="HK156" s="51"/>
      <c r="HL156" s="108" t="str">
        <f t="shared" si="384"/>
        <v/>
      </c>
      <c r="HM156" s="109" t="str">
        <f t="shared" si="385"/>
        <v/>
      </c>
      <c r="HN156" s="109" t="str">
        <f t="shared" si="315"/>
        <v/>
      </c>
      <c r="HO156" s="110" t="str">
        <f t="shared" si="386"/>
        <v/>
      </c>
      <c r="HP156" s="51"/>
      <c r="HQ156" s="108" t="str">
        <f t="shared" si="316"/>
        <v/>
      </c>
      <c r="HR156" s="109" t="str">
        <f t="shared" si="387"/>
        <v/>
      </c>
      <c r="HS156" s="109" t="str">
        <f t="shared" si="317"/>
        <v/>
      </c>
      <c r="HT156" s="110" t="str">
        <f t="shared" si="418"/>
        <v/>
      </c>
      <c r="HU156" s="51"/>
      <c r="HV156" s="108" t="str">
        <f t="shared" si="388"/>
        <v/>
      </c>
      <c r="HW156" s="109" t="str">
        <f t="shared" si="389"/>
        <v/>
      </c>
      <c r="HX156" s="109" t="str">
        <f t="shared" si="318"/>
        <v/>
      </c>
      <c r="HY156" s="110" t="str">
        <f t="shared" si="390"/>
        <v/>
      </c>
      <c r="HZ156" s="51"/>
      <c r="IA156" s="108" t="str">
        <f t="shared" si="319"/>
        <v/>
      </c>
      <c r="IB156" s="109" t="str">
        <f t="shared" si="391"/>
        <v/>
      </c>
      <c r="IC156" s="109" t="str">
        <f t="shared" si="320"/>
        <v/>
      </c>
      <c r="ID156" s="110" t="str">
        <f t="shared" si="419"/>
        <v/>
      </c>
      <c r="IE156" s="51"/>
      <c r="IF156" s="108" t="str">
        <f t="shared" si="392"/>
        <v/>
      </c>
      <c r="IG156" s="109" t="str">
        <f t="shared" si="393"/>
        <v/>
      </c>
      <c r="IH156" s="109" t="str">
        <f t="shared" si="321"/>
        <v/>
      </c>
      <c r="II156" s="110" t="str">
        <f t="shared" si="394"/>
        <v/>
      </c>
      <c r="IJ156" s="51"/>
      <c r="IK156" s="108" t="str">
        <f t="shared" si="322"/>
        <v/>
      </c>
      <c r="IL156" s="109" t="str">
        <f t="shared" si="395"/>
        <v/>
      </c>
      <c r="IM156" s="109" t="str">
        <f t="shared" si="323"/>
        <v/>
      </c>
      <c r="IN156" s="110" t="str">
        <f t="shared" si="420"/>
        <v/>
      </c>
      <c r="IO156" s="51"/>
      <c r="IP156" s="108" t="str">
        <f t="shared" si="396"/>
        <v/>
      </c>
      <c r="IQ156" s="109" t="str">
        <f t="shared" si="397"/>
        <v/>
      </c>
      <c r="IR156" s="109" t="str">
        <f t="shared" si="324"/>
        <v/>
      </c>
      <c r="IS156" s="110" t="str">
        <f t="shared" si="398"/>
        <v/>
      </c>
      <c r="IT156" s="51"/>
      <c r="IU156" s="108" t="str">
        <f t="shared" si="325"/>
        <v/>
      </c>
      <c r="IV156" s="109" t="str">
        <f t="shared" si="399"/>
        <v/>
      </c>
      <c r="IW156" s="109" t="str">
        <f t="shared" si="326"/>
        <v/>
      </c>
      <c r="IX156" s="110" t="str">
        <f t="shared" si="421"/>
        <v/>
      </c>
      <c r="IY156" s="51"/>
      <c r="IZ156" s="108" t="str">
        <f t="shared" si="400"/>
        <v/>
      </c>
      <c r="JA156" s="109" t="str">
        <f t="shared" si="401"/>
        <v/>
      </c>
      <c r="JB156" s="109" t="str">
        <f t="shared" si="327"/>
        <v/>
      </c>
      <c r="JC156" s="110" t="str">
        <f t="shared" si="402"/>
        <v/>
      </c>
      <c r="JD156" s="51"/>
      <c r="JE156" s="108" t="str">
        <f t="shared" si="328"/>
        <v/>
      </c>
      <c r="JF156" s="109" t="str">
        <f t="shared" si="403"/>
        <v/>
      </c>
      <c r="JG156" s="109" t="str">
        <f t="shared" si="329"/>
        <v/>
      </c>
      <c r="JH156" s="110" t="str">
        <f t="shared" si="422"/>
        <v/>
      </c>
      <c r="JI156" s="51"/>
      <c r="JJ156" s="108" t="str">
        <f t="shared" si="404"/>
        <v/>
      </c>
      <c r="JK156" s="109" t="str">
        <f t="shared" si="405"/>
        <v/>
      </c>
      <c r="JL156" s="109" t="str">
        <f t="shared" si="330"/>
        <v/>
      </c>
      <c r="JM156" s="110" t="str">
        <f t="shared" si="406"/>
        <v/>
      </c>
      <c r="JN156" s="51"/>
      <c r="JO156" s="108" t="str">
        <f t="shared" si="331"/>
        <v/>
      </c>
      <c r="JP156" s="109" t="str">
        <f t="shared" si="407"/>
        <v/>
      </c>
      <c r="JQ156" s="109" t="str">
        <f t="shared" si="332"/>
        <v/>
      </c>
      <c r="JR156" s="110" t="str">
        <f t="shared" si="423"/>
        <v/>
      </c>
      <c r="JS156" s="51"/>
      <c r="JT156" s="108" t="str">
        <f t="shared" si="408"/>
        <v/>
      </c>
      <c r="JU156" s="109" t="str">
        <f t="shared" si="409"/>
        <v/>
      </c>
      <c r="JV156" s="109" t="str">
        <f t="shared" si="333"/>
        <v/>
      </c>
      <c r="JW156" s="110" t="str">
        <f t="shared" si="410"/>
        <v/>
      </c>
      <c r="JX156" s="51"/>
      <c r="JY156" s="108" t="str">
        <f t="shared" si="334"/>
        <v/>
      </c>
      <c r="JZ156" s="109" t="str">
        <f t="shared" si="411"/>
        <v/>
      </c>
      <c r="KA156" s="109" t="str">
        <f t="shared" si="335"/>
        <v/>
      </c>
      <c r="KB156" s="110" t="str">
        <f t="shared" si="424"/>
        <v/>
      </c>
      <c r="KC156" s="51"/>
      <c r="KD156" s="108" t="str">
        <f t="shared" si="412"/>
        <v/>
      </c>
      <c r="KE156" s="109" t="str">
        <f t="shared" si="413"/>
        <v/>
      </c>
      <c r="KF156" s="109" t="str">
        <f t="shared" si="336"/>
        <v/>
      </c>
      <c r="KG156" s="110" t="str">
        <f t="shared" si="337"/>
        <v/>
      </c>
    </row>
    <row r="157" spans="1:293" ht="12" customHeight="1">
      <c r="A157" s="105">
        <f t="array" ref="A157">MAX(IF($J$80:J156&gt;0,$C$80:C156,0))</f>
        <v>43535</v>
      </c>
      <c r="B157" s="81" t="str">
        <f t="shared" si="248"/>
        <v/>
      </c>
      <c r="C157" s="82">
        <f t="shared" si="414"/>
        <v>0</v>
      </c>
      <c r="D157" s="83" t="str">
        <f t="shared" si="249"/>
        <v/>
      </c>
      <c r="E157" s="83" t="str">
        <f t="shared" si="338"/>
        <v/>
      </c>
      <c r="F157" s="83" t="str">
        <f t="shared" si="250"/>
        <v/>
      </c>
      <c r="G157" s="83" t="str">
        <f t="shared" si="251"/>
        <v/>
      </c>
      <c r="H157" s="83" t="str">
        <f t="shared" si="252"/>
        <v/>
      </c>
      <c r="I157" s="105">
        <f t="array" ref="I157">MAX(IF($R$80:R156&gt;0,$L$80:L156,0))</f>
        <v>0</v>
      </c>
      <c r="J157" s="106"/>
      <c r="K157" s="2" t="str">
        <f t="shared" si="253"/>
        <v/>
      </c>
      <c r="L157" s="82">
        <f t="shared" si="415"/>
        <v>0</v>
      </c>
      <c r="M157" s="83" t="str">
        <f t="shared" si="254"/>
        <v/>
      </c>
      <c r="N157" s="83" t="str">
        <f t="shared" si="255"/>
        <v/>
      </c>
      <c r="O157" s="83" t="str">
        <f t="shared" si="256"/>
        <v/>
      </c>
      <c r="P157" s="83" t="str">
        <f t="shared" si="257"/>
        <v/>
      </c>
      <c r="Q157" s="83" t="str">
        <f t="shared" si="258"/>
        <v/>
      </c>
      <c r="R157" s="106"/>
      <c r="S157" s="1"/>
      <c r="U157" s="85" t="e">
        <f t="shared" si="244"/>
        <v>#NUM!</v>
      </c>
      <c r="V157" s="86" t="e">
        <f t="shared" si="339"/>
        <v>#NUM!</v>
      </c>
      <c r="W157" s="87" t="e">
        <f t="shared" si="259"/>
        <v>#NUM!</v>
      </c>
      <c r="X157" s="87" t="e">
        <f t="shared" si="260"/>
        <v>#NUM!</v>
      </c>
      <c r="Y157" s="87" t="e">
        <f t="shared" si="261"/>
        <v>#NUM!</v>
      </c>
      <c r="Z157" s="88" t="e">
        <f t="shared" si="245"/>
        <v>#NUM!</v>
      </c>
      <c r="AA157" t="s">
        <v>282</v>
      </c>
      <c r="AB157" s="89">
        <f t="shared" si="340"/>
        <v>0</v>
      </c>
      <c r="AC157" s="87">
        <f t="shared" si="262"/>
        <v>0</v>
      </c>
      <c r="AD157" s="87" t="str">
        <f t="shared" si="263"/>
        <v/>
      </c>
      <c r="AE157" s="87" t="str">
        <f t="shared" si="264"/>
        <v/>
      </c>
      <c r="AF157" s="86">
        <f t="shared" si="341"/>
        <v>0</v>
      </c>
      <c r="AG157" s="87">
        <f t="shared" si="246"/>
        <v>0</v>
      </c>
      <c r="AH157" s="87">
        <f t="shared" si="342"/>
        <v>0</v>
      </c>
      <c r="AI157" s="90"/>
      <c r="AJ157" s="87" t="e">
        <f t="shared" si="265"/>
        <v>#NUM!</v>
      </c>
      <c r="AK157" s="87" t="e">
        <f t="shared" si="343"/>
        <v>#NUM!</v>
      </c>
      <c r="AL157" s="87" t="e">
        <f t="shared" si="344"/>
        <v>#NUM!</v>
      </c>
      <c r="AM157" s="87" t="e">
        <f t="shared" si="345"/>
        <v>#NUM!</v>
      </c>
      <c r="AN157" s="86">
        <f t="shared" si="266"/>
        <v>0</v>
      </c>
      <c r="AO157" s="87">
        <f t="shared" si="267"/>
        <v>0</v>
      </c>
      <c r="AP157" s="88">
        <f t="shared" si="268"/>
        <v>0</v>
      </c>
      <c r="AR157" s="91">
        <f t="shared" si="269"/>
        <v>0</v>
      </c>
      <c r="AS157" s="92">
        <f t="shared" si="270"/>
        <v>0</v>
      </c>
      <c r="AT157" s="87" t="str">
        <f t="shared" si="271"/>
        <v/>
      </c>
      <c r="AU157" s="87" t="str">
        <f t="shared" si="272"/>
        <v/>
      </c>
      <c r="AV157" s="86">
        <f t="shared" si="346"/>
        <v>0</v>
      </c>
      <c r="AW157" s="87">
        <f t="shared" si="347"/>
        <v>0</v>
      </c>
      <c r="AX157" s="87">
        <f t="shared" si="348"/>
        <v>0</v>
      </c>
      <c r="AY157" s="93"/>
      <c r="AZ157" s="87">
        <f t="shared" si="425"/>
        <v>0</v>
      </c>
      <c r="BA157" s="87">
        <f t="shared" si="349"/>
        <v>0</v>
      </c>
      <c r="BB157" s="87">
        <f t="shared" si="350"/>
        <v>0</v>
      </c>
      <c r="BC157" s="87">
        <f t="shared" si="416"/>
        <v>0</v>
      </c>
      <c r="BD157" s="86" t="e">
        <f t="shared" si="273"/>
        <v>#NUM!</v>
      </c>
      <c r="BE157" s="87" t="e">
        <f t="shared" si="247"/>
        <v>#NUM!</v>
      </c>
      <c r="BF157" s="88">
        <f t="shared" si="351"/>
        <v>0</v>
      </c>
      <c r="BH157" s="87" t="e">
        <f t="shared" si="274"/>
        <v>#NUM!</v>
      </c>
      <c r="BK157" s="95">
        <v>41293</v>
      </c>
      <c r="BL157" s="96">
        <v>78</v>
      </c>
      <c r="CY157" s="108" t="str">
        <f t="shared" si="275"/>
        <v/>
      </c>
      <c r="CZ157" s="109" t="str">
        <f t="shared" si="276"/>
        <v/>
      </c>
      <c r="DA157" s="109" t="str">
        <f t="shared" si="277"/>
        <v/>
      </c>
      <c r="DB157" s="110" t="str">
        <f t="shared" si="225"/>
        <v/>
      </c>
      <c r="DD157" s="108" t="str">
        <f t="shared" si="278"/>
        <v/>
      </c>
      <c r="DE157" s="109" t="str">
        <f t="shared" si="352"/>
        <v/>
      </c>
      <c r="DF157" s="109" t="str">
        <f t="shared" si="279"/>
        <v/>
      </c>
      <c r="DG157" s="110" t="str">
        <f t="shared" si="226"/>
        <v/>
      </c>
      <c r="DI157" s="108" t="str">
        <f t="shared" si="353"/>
        <v/>
      </c>
      <c r="DJ157" s="109" t="str">
        <f t="shared" si="354"/>
        <v/>
      </c>
      <c r="DK157" s="109" t="str">
        <f t="shared" si="280"/>
        <v/>
      </c>
      <c r="DL157" s="110" t="str">
        <f t="shared" si="227"/>
        <v/>
      </c>
      <c r="DN157" s="108" t="str">
        <f t="shared" si="281"/>
        <v/>
      </c>
      <c r="DO157" s="109" t="str">
        <f t="shared" si="282"/>
        <v/>
      </c>
      <c r="DP157" s="109" t="str">
        <f t="shared" si="283"/>
        <v/>
      </c>
      <c r="DQ157" s="110" t="str">
        <f t="shared" si="228"/>
        <v/>
      </c>
      <c r="DS157" s="108" t="str">
        <f t="shared" si="355"/>
        <v/>
      </c>
      <c r="DT157" s="109" t="str">
        <f t="shared" si="356"/>
        <v/>
      </c>
      <c r="DU157" s="109" t="str">
        <f t="shared" si="284"/>
        <v/>
      </c>
      <c r="DV157" s="110" t="str">
        <f t="shared" si="229"/>
        <v/>
      </c>
      <c r="DX157" s="108" t="str">
        <f t="shared" si="285"/>
        <v/>
      </c>
      <c r="DY157" s="109" t="str">
        <f t="shared" si="357"/>
        <v/>
      </c>
      <c r="DZ157" s="109" t="str">
        <f t="shared" si="286"/>
        <v/>
      </c>
      <c r="EA157" s="110" t="str">
        <f t="shared" si="230"/>
        <v/>
      </c>
      <c r="EC157" s="108" t="str">
        <f t="shared" si="358"/>
        <v/>
      </c>
      <c r="ED157" s="109" t="str">
        <f t="shared" si="359"/>
        <v/>
      </c>
      <c r="EE157" s="109" t="str">
        <f t="shared" si="287"/>
        <v/>
      </c>
      <c r="EF157" s="110" t="str">
        <f t="shared" si="231"/>
        <v/>
      </c>
      <c r="EH157" s="108" t="str">
        <f t="shared" si="288"/>
        <v/>
      </c>
      <c r="EI157" s="109" t="str">
        <f t="shared" si="360"/>
        <v/>
      </c>
      <c r="EJ157" s="109" t="str">
        <f t="shared" si="289"/>
        <v/>
      </c>
      <c r="EK157" s="110" t="str">
        <f t="shared" si="232"/>
        <v/>
      </c>
      <c r="EM157" s="108" t="str">
        <f t="shared" si="361"/>
        <v/>
      </c>
      <c r="EN157" s="109" t="str">
        <f t="shared" si="362"/>
        <v/>
      </c>
      <c r="EO157" s="109" t="str">
        <f t="shared" si="290"/>
        <v/>
      </c>
      <c r="EP157" s="110" t="str">
        <f t="shared" si="233"/>
        <v/>
      </c>
      <c r="ER157" s="108" t="str">
        <f t="shared" si="291"/>
        <v/>
      </c>
      <c r="ES157" s="109" t="str">
        <f t="shared" si="363"/>
        <v/>
      </c>
      <c r="ET157" s="109" t="str">
        <f t="shared" si="292"/>
        <v/>
      </c>
      <c r="EU157" s="110" t="str">
        <f t="shared" si="234"/>
        <v/>
      </c>
      <c r="EW157" s="108" t="str">
        <f t="shared" si="364"/>
        <v/>
      </c>
      <c r="EX157" s="109" t="str">
        <f t="shared" si="365"/>
        <v/>
      </c>
      <c r="EY157" s="109" t="str">
        <f t="shared" si="293"/>
        <v/>
      </c>
      <c r="EZ157" s="110" t="str">
        <f t="shared" si="235"/>
        <v/>
      </c>
      <c r="FB157" s="108" t="str">
        <f t="shared" si="294"/>
        <v/>
      </c>
      <c r="FC157" s="109" t="str">
        <f t="shared" si="366"/>
        <v/>
      </c>
      <c r="FD157" s="109" t="str">
        <f t="shared" si="295"/>
        <v/>
      </c>
      <c r="FE157" s="110" t="str">
        <f t="shared" si="236"/>
        <v/>
      </c>
      <c r="FG157" s="108" t="str">
        <f t="shared" si="367"/>
        <v/>
      </c>
      <c r="FH157" s="109" t="str">
        <f t="shared" si="368"/>
        <v/>
      </c>
      <c r="FI157" s="109" t="str">
        <f t="shared" si="296"/>
        <v/>
      </c>
      <c r="FJ157" s="110" t="str">
        <f t="shared" si="237"/>
        <v/>
      </c>
      <c r="FL157" s="108" t="str">
        <f t="shared" si="297"/>
        <v/>
      </c>
      <c r="FM157" s="109" t="str">
        <f t="shared" si="369"/>
        <v/>
      </c>
      <c r="FN157" s="109" t="str">
        <f t="shared" si="298"/>
        <v/>
      </c>
      <c r="FO157" s="110" t="str">
        <f t="shared" si="238"/>
        <v/>
      </c>
      <c r="FQ157" s="108" t="str">
        <f t="shared" si="370"/>
        <v/>
      </c>
      <c r="FR157" s="109" t="str">
        <f t="shared" si="371"/>
        <v/>
      </c>
      <c r="FS157" s="109" t="str">
        <f t="shared" si="299"/>
        <v/>
      </c>
      <c r="FT157" s="110" t="str">
        <f t="shared" si="239"/>
        <v/>
      </c>
      <c r="FV157" s="108" t="str">
        <f t="shared" si="300"/>
        <v/>
      </c>
      <c r="FW157" s="109" t="str">
        <f t="shared" si="372"/>
        <v/>
      </c>
      <c r="FX157" s="109" t="str">
        <f t="shared" si="301"/>
        <v/>
      </c>
      <c r="FY157" s="110" t="str">
        <f t="shared" si="240"/>
        <v/>
      </c>
      <c r="GA157" s="108" t="str">
        <f t="shared" si="373"/>
        <v/>
      </c>
      <c r="GB157" s="109" t="str">
        <f t="shared" si="374"/>
        <v/>
      </c>
      <c r="GC157" s="109" t="str">
        <f t="shared" si="302"/>
        <v/>
      </c>
      <c r="GD157" s="110" t="str">
        <f t="shared" si="241"/>
        <v/>
      </c>
      <c r="GF157" s="108" t="str">
        <f t="shared" si="303"/>
        <v/>
      </c>
      <c r="GG157" s="109" t="str">
        <f t="shared" si="375"/>
        <v/>
      </c>
      <c r="GH157" s="109" t="str">
        <f t="shared" si="304"/>
        <v/>
      </c>
      <c r="GI157" s="110" t="str">
        <f t="shared" si="242"/>
        <v/>
      </c>
      <c r="GK157" s="108" t="str">
        <f t="shared" si="376"/>
        <v/>
      </c>
      <c r="GL157" s="109" t="str">
        <f t="shared" si="377"/>
        <v/>
      </c>
      <c r="GM157" s="109" t="str">
        <f t="shared" si="378"/>
        <v/>
      </c>
      <c r="GN157" s="110" t="str">
        <f t="shared" si="243"/>
        <v/>
      </c>
      <c r="GR157" s="108" t="str">
        <f t="shared" si="305"/>
        <v/>
      </c>
      <c r="GS157" s="109" t="str">
        <f t="shared" si="306"/>
        <v/>
      </c>
      <c r="GT157" s="109" t="str">
        <f t="shared" si="307"/>
        <v/>
      </c>
      <c r="GU157" s="110" t="str">
        <f t="shared" si="308"/>
        <v/>
      </c>
      <c r="GV157" s="51"/>
      <c r="GW157" s="108" t="str">
        <f t="shared" si="309"/>
        <v/>
      </c>
      <c r="GX157" s="109" t="str">
        <f t="shared" si="379"/>
        <v/>
      </c>
      <c r="GY157" s="109" t="str">
        <f t="shared" si="310"/>
        <v/>
      </c>
      <c r="GZ157" s="110" t="str">
        <f t="shared" si="311"/>
        <v/>
      </c>
      <c r="HA157" s="51"/>
      <c r="HB157" s="108" t="str">
        <f t="shared" si="380"/>
        <v/>
      </c>
      <c r="HC157" s="109" t="str">
        <f t="shared" si="381"/>
        <v/>
      </c>
      <c r="HD157" s="109" t="str">
        <f t="shared" si="312"/>
        <v/>
      </c>
      <c r="HE157" s="110" t="str">
        <f t="shared" si="382"/>
        <v/>
      </c>
      <c r="HF157" s="51"/>
      <c r="HG157" s="108" t="str">
        <f t="shared" si="313"/>
        <v/>
      </c>
      <c r="HH157" s="109" t="str">
        <f t="shared" si="383"/>
        <v/>
      </c>
      <c r="HI157" s="109" t="str">
        <f t="shared" si="314"/>
        <v/>
      </c>
      <c r="HJ157" s="110" t="str">
        <f t="shared" si="417"/>
        <v/>
      </c>
      <c r="HK157" s="51"/>
      <c r="HL157" s="108" t="str">
        <f t="shared" si="384"/>
        <v/>
      </c>
      <c r="HM157" s="109" t="str">
        <f t="shared" si="385"/>
        <v/>
      </c>
      <c r="HN157" s="109" t="str">
        <f t="shared" si="315"/>
        <v/>
      </c>
      <c r="HO157" s="110" t="str">
        <f t="shared" si="386"/>
        <v/>
      </c>
      <c r="HP157" s="51"/>
      <c r="HQ157" s="108" t="str">
        <f t="shared" si="316"/>
        <v/>
      </c>
      <c r="HR157" s="109" t="str">
        <f t="shared" si="387"/>
        <v/>
      </c>
      <c r="HS157" s="109" t="str">
        <f t="shared" si="317"/>
        <v/>
      </c>
      <c r="HT157" s="110" t="str">
        <f t="shared" si="418"/>
        <v/>
      </c>
      <c r="HU157" s="51"/>
      <c r="HV157" s="108" t="str">
        <f t="shared" si="388"/>
        <v/>
      </c>
      <c r="HW157" s="109" t="str">
        <f t="shared" si="389"/>
        <v/>
      </c>
      <c r="HX157" s="109" t="str">
        <f t="shared" si="318"/>
        <v/>
      </c>
      <c r="HY157" s="110" t="str">
        <f t="shared" si="390"/>
        <v/>
      </c>
      <c r="HZ157" s="51"/>
      <c r="IA157" s="108" t="str">
        <f t="shared" si="319"/>
        <v/>
      </c>
      <c r="IB157" s="109" t="str">
        <f t="shared" si="391"/>
        <v/>
      </c>
      <c r="IC157" s="109" t="str">
        <f t="shared" si="320"/>
        <v/>
      </c>
      <c r="ID157" s="110" t="str">
        <f t="shared" si="419"/>
        <v/>
      </c>
      <c r="IE157" s="51"/>
      <c r="IF157" s="108" t="str">
        <f t="shared" si="392"/>
        <v/>
      </c>
      <c r="IG157" s="109" t="str">
        <f t="shared" si="393"/>
        <v/>
      </c>
      <c r="IH157" s="109" t="str">
        <f t="shared" si="321"/>
        <v/>
      </c>
      <c r="II157" s="110" t="str">
        <f t="shared" si="394"/>
        <v/>
      </c>
      <c r="IJ157" s="51"/>
      <c r="IK157" s="108" t="str">
        <f t="shared" si="322"/>
        <v/>
      </c>
      <c r="IL157" s="109" t="str">
        <f t="shared" si="395"/>
        <v/>
      </c>
      <c r="IM157" s="109" t="str">
        <f t="shared" si="323"/>
        <v/>
      </c>
      <c r="IN157" s="110" t="str">
        <f t="shared" si="420"/>
        <v/>
      </c>
      <c r="IO157" s="51"/>
      <c r="IP157" s="108" t="str">
        <f t="shared" si="396"/>
        <v/>
      </c>
      <c r="IQ157" s="109" t="str">
        <f t="shared" si="397"/>
        <v/>
      </c>
      <c r="IR157" s="109" t="str">
        <f t="shared" si="324"/>
        <v/>
      </c>
      <c r="IS157" s="110" t="str">
        <f t="shared" si="398"/>
        <v/>
      </c>
      <c r="IT157" s="51"/>
      <c r="IU157" s="108" t="str">
        <f t="shared" si="325"/>
        <v/>
      </c>
      <c r="IV157" s="109" t="str">
        <f t="shared" si="399"/>
        <v/>
      </c>
      <c r="IW157" s="109" t="str">
        <f t="shared" si="326"/>
        <v/>
      </c>
      <c r="IX157" s="110" t="str">
        <f t="shared" si="421"/>
        <v/>
      </c>
      <c r="IY157" s="51"/>
      <c r="IZ157" s="108" t="str">
        <f t="shared" si="400"/>
        <v/>
      </c>
      <c r="JA157" s="109" t="str">
        <f t="shared" si="401"/>
        <v/>
      </c>
      <c r="JB157" s="109" t="str">
        <f t="shared" si="327"/>
        <v/>
      </c>
      <c r="JC157" s="110" t="str">
        <f t="shared" si="402"/>
        <v/>
      </c>
      <c r="JD157" s="51"/>
      <c r="JE157" s="108" t="str">
        <f t="shared" si="328"/>
        <v/>
      </c>
      <c r="JF157" s="109" t="str">
        <f t="shared" si="403"/>
        <v/>
      </c>
      <c r="JG157" s="109" t="str">
        <f t="shared" si="329"/>
        <v/>
      </c>
      <c r="JH157" s="110" t="str">
        <f t="shared" si="422"/>
        <v/>
      </c>
      <c r="JI157" s="51"/>
      <c r="JJ157" s="108" t="str">
        <f t="shared" si="404"/>
        <v/>
      </c>
      <c r="JK157" s="109" t="str">
        <f t="shared" si="405"/>
        <v/>
      </c>
      <c r="JL157" s="109" t="str">
        <f t="shared" si="330"/>
        <v/>
      </c>
      <c r="JM157" s="110" t="str">
        <f t="shared" si="406"/>
        <v/>
      </c>
      <c r="JN157" s="51"/>
      <c r="JO157" s="108" t="str">
        <f t="shared" si="331"/>
        <v/>
      </c>
      <c r="JP157" s="109" t="str">
        <f t="shared" si="407"/>
        <v/>
      </c>
      <c r="JQ157" s="109" t="str">
        <f t="shared" si="332"/>
        <v/>
      </c>
      <c r="JR157" s="110" t="str">
        <f t="shared" si="423"/>
        <v/>
      </c>
      <c r="JS157" s="51"/>
      <c r="JT157" s="108" t="str">
        <f t="shared" si="408"/>
        <v/>
      </c>
      <c r="JU157" s="109" t="str">
        <f t="shared" si="409"/>
        <v/>
      </c>
      <c r="JV157" s="109" t="str">
        <f t="shared" si="333"/>
        <v/>
      </c>
      <c r="JW157" s="110" t="str">
        <f t="shared" si="410"/>
        <v/>
      </c>
      <c r="JX157" s="51"/>
      <c r="JY157" s="108" t="str">
        <f t="shared" si="334"/>
        <v/>
      </c>
      <c r="JZ157" s="109" t="str">
        <f t="shared" si="411"/>
        <v/>
      </c>
      <c r="KA157" s="109" t="str">
        <f t="shared" si="335"/>
        <v/>
      </c>
      <c r="KB157" s="110" t="str">
        <f t="shared" si="424"/>
        <v/>
      </c>
      <c r="KC157" s="51"/>
      <c r="KD157" s="108" t="str">
        <f t="shared" si="412"/>
        <v/>
      </c>
      <c r="KE157" s="109" t="str">
        <f t="shared" si="413"/>
        <v/>
      </c>
      <c r="KF157" s="109" t="str">
        <f t="shared" si="336"/>
        <v/>
      </c>
      <c r="KG157" s="110" t="str">
        <f t="shared" si="337"/>
        <v/>
      </c>
    </row>
    <row r="158" spans="1:293" ht="12" customHeight="1">
      <c r="A158" s="105">
        <f t="array" ref="A158">MAX(IF($J$80:J157&gt;0,$C$80:C157,0))</f>
        <v>43535</v>
      </c>
      <c r="B158" s="81" t="str">
        <f t="shared" si="248"/>
        <v/>
      </c>
      <c r="C158" s="82">
        <f t="shared" si="414"/>
        <v>0</v>
      </c>
      <c r="D158" s="83" t="str">
        <f t="shared" si="249"/>
        <v/>
      </c>
      <c r="E158" s="83" t="str">
        <f t="shared" si="338"/>
        <v/>
      </c>
      <c r="F158" s="83" t="str">
        <f t="shared" si="250"/>
        <v/>
      </c>
      <c r="G158" s="83" t="str">
        <f t="shared" si="251"/>
        <v/>
      </c>
      <c r="H158" s="83" t="str">
        <f t="shared" si="252"/>
        <v/>
      </c>
      <c r="I158" s="105">
        <f t="array" ref="I158">MAX(IF($R$80:R157&gt;0,$L$80:L157,0))</f>
        <v>0</v>
      </c>
      <c r="J158" s="106"/>
      <c r="K158" s="2" t="str">
        <f t="shared" si="253"/>
        <v/>
      </c>
      <c r="L158" s="82">
        <f t="shared" si="415"/>
        <v>0</v>
      </c>
      <c r="M158" s="83" t="str">
        <f t="shared" si="254"/>
        <v/>
      </c>
      <c r="N158" s="83" t="str">
        <f t="shared" si="255"/>
        <v/>
      </c>
      <c r="O158" s="83" t="str">
        <f t="shared" si="256"/>
        <v/>
      </c>
      <c r="P158" s="83" t="str">
        <f t="shared" si="257"/>
        <v/>
      </c>
      <c r="Q158" s="83" t="str">
        <f t="shared" si="258"/>
        <v/>
      </c>
      <c r="R158" s="106"/>
      <c r="S158" s="1"/>
      <c r="U158" s="85" t="e">
        <f t="shared" si="244"/>
        <v>#NUM!</v>
      </c>
      <c r="V158" s="86" t="e">
        <f t="shared" si="339"/>
        <v>#NUM!</v>
      </c>
      <c r="W158" s="87" t="e">
        <f t="shared" si="259"/>
        <v>#NUM!</v>
      </c>
      <c r="X158" s="87" t="e">
        <f t="shared" si="260"/>
        <v>#NUM!</v>
      </c>
      <c r="Y158" s="87" t="e">
        <f t="shared" si="261"/>
        <v>#NUM!</v>
      </c>
      <c r="Z158" s="88" t="e">
        <f t="shared" si="245"/>
        <v>#NUM!</v>
      </c>
      <c r="AA158" t="s">
        <v>282</v>
      </c>
      <c r="AB158" s="89">
        <f t="shared" si="340"/>
        <v>0</v>
      </c>
      <c r="AC158" s="87">
        <f t="shared" si="262"/>
        <v>0</v>
      </c>
      <c r="AD158" s="87" t="str">
        <f t="shared" si="263"/>
        <v/>
      </c>
      <c r="AE158" s="87" t="str">
        <f t="shared" si="264"/>
        <v/>
      </c>
      <c r="AF158" s="86">
        <f t="shared" si="341"/>
        <v>0</v>
      </c>
      <c r="AG158" s="87">
        <f t="shared" si="246"/>
        <v>0</v>
      </c>
      <c r="AH158" s="87">
        <f t="shared" si="342"/>
        <v>0</v>
      </c>
      <c r="AI158" s="90"/>
      <c r="AJ158" s="87" t="e">
        <f t="shared" si="265"/>
        <v>#NUM!</v>
      </c>
      <c r="AK158" s="87" t="e">
        <f t="shared" si="343"/>
        <v>#NUM!</v>
      </c>
      <c r="AL158" s="87" t="e">
        <f t="shared" si="344"/>
        <v>#NUM!</v>
      </c>
      <c r="AM158" s="87" t="e">
        <f t="shared" si="345"/>
        <v>#NUM!</v>
      </c>
      <c r="AN158" s="86">
        <f t="shared" si="266"/>
        <v>0</v>
      </c>
      <c r="AO158" s="87">
        <f t="shared" si="267"/>
        <v>0</v>
      </c>
      <c r="AP158" s="88">
        <f t="shared" si="268"/>
        <v>0</v>
      </c>
      <c r="AR158" s="91">
        <f t="shared" si="269"/>
        <v>0</v>
      </c>
      <c r="AS158" s="92">
        <f t="shared" si="270"/>
        <v>0</v>
      </c>
      <c r="AT158" s="87" t="str">
        <f t="shared" si="271"/>
        <v/>
      </c>
      <c r="AU158" s="87" t="str">
        <f t="shared" si="272"/>
        <v/>
      </c>
      <c r="AV158" s="86">
        <f t="shared" si="346"/>
        <v>0</v>
      </c>
      <c r="AW158" s="87">
        <f t="shared" si="347"/>
        <v>0</v>
      </c>
      <c r="AX158" s="87">
        <f t="shared" si="348"/>
        <v>0</v>
      </c>
      <c r="AY158" s="93"/>
      <c r="AZ158" s="87">
        <f t="shared" si="425"/>
        <v>0</v>
      </c>
      <c r="BA158" s="87">
        <f t="shared" si="349"/>
        <v>0</v>
      </c>
      <c r="BB158" s="87">
        <f t="shared" si="350"/>
        <v>0</v>
      </c>
      <c r="BC158" s="87">
        <f t="shared" si="416"/>
        <v>0</v>
      </c>
      <c r="BD158" s="86" t="e">
        <f t="shared" si="273"/>
        <v>#NUM!</v>
      </c>
      <c r="BE158" s="87" t="e">
        <f t="shared" si="247"/>
        <v>#NUM!</v>
      </c>
      <c r="BF158" s="88">
        <f t="shared" si="351"/>
        <v>0</v>
      </c>
      <c r="BH158" s="87" t="e">
        <f t="shared" si="274"/>
        <v>#NUM!</v>
      </c>
      <c r="BK158" s="95">
        <v>41336</v>
      </c>
      <c r="BL158" s="96">
        <v>79</v>
      </c>
      <c r="CY158" s="108" t="str">
        <f t="shared" si="275"/>
        <v/>
      </c>
      <c r="CZ158" s="109" t="str">
        <f t="shared" si="276"/>
        <v/>
      </c>
      <c r="DA158" s="109" t="str">
        <f t="shared" si="277"/>
        <v/>
      </c>
      <c r="DB158" s="110" t="str">
        <f t="shared" si="225"/>
        <v/>
      </c>
      <c r="DD158" s="108" t="str">
        <f t="shared" si="278"/>
        <v/>
      </c>
      <c r="DE158" s="109" t="str">
        <f t="shared" si="352"/>
        <v/>
      </c>
      <c r="DF158" s="109" t="str">
        <f t="shared" si="279"/>
        <v/>
      </c>
      <c r="DG158" s="110" t="str">
        <f t="shared" si="226"/>
        <v/>
      </c>
      <c r="DI158" s="108" t="str">
        <f t="shared" si="353"/>
        <v/>
      </c>
      <c r="DJ158" s="109" t="str">
        <f t="shared" si="354"/>
        <v/>
      </c>
      <c r="DK158" s="109" t="str">
        <f t="shared" si="280"/>
        <v/>
      </c>
      <c r="DL158" s="110" t="str">
        <f t="shared" si="227"/>
        <v/>
      </c>
      <c r="DN158" s="108" t="str">
        <f t="shared" si="281"/>
        <v/>
      </c>
      <c r="DO158" s="109" t="str">
        <f t="shared" si="282"/>
        <v/>
      </c>
      <c r="DP158" s="109" t="str">
        <f t="shared" si="283"/>
        <v/>
      </c>
      <c r="DQ158" s="110" t="str">
        <f t="shared" si="228"/>
        <v/>
      </c>
      <c r="DS158" s="108" t="str">
        <f t="shared" si="355"/>
        <v/>
      </c>
      <c r="DT158" s="109" t="str">
        <f t="shared" si="356"/>
        <v/>
      </c>
      <c r="DU158" s="109" t="str">
        <f t="shared" si="284"/>
        <v/>
      </c>
      <c r="DV158" s="110" t="str">
        <f t="shared" si="229"/>
        <v/>
      </c>
      <c r="DX158" s="108" t="str">
        <f t="shared" si="285"/>
        <v/>
      </c>
      <c r="DY158" s="109" t="str">
        <f t="shared" si="357"/>
        <v/>
      </c>
      <c r="DZ158" s="109" t="str">
        <f t="shared" si="286"/>
        <v/>
      </c>
      <c r="EA158" s="110" t="str">
        <f t="shared" si="230"/>
        <v/>
      </c>
      <c r="EC158" s="108" t="str">
        <f t="shared" si="358"/>
        <v/>
      </c>
      <c r="ED158" s="109" t="str">
        <f t="shared" si="359"/>
        <v/>
      </c>
      <c r="EE158" s="109" t="str">
        <f t="shared" si="287"/>
        <v/>
      </c>
      <c r="EF158" s="110" t="str">
        <f t="shared" si="231"/>
        <v/>
      </c>
      <c r="EH158" s="108" t="str">
        <f t="shared" si="288"/>
        <v/>
      </c>
      <c r="EI158" s="109" t="str">
        <f t="shared" si="360"/>
        <v/>
      </c>
      <c r="EJ158" s="109" t="str">
        <f t="shared" si="289"/>
        <v/>
      </c>
      <c r="EK158" s="110" t="str">
        <f t="shared" si="232"/>
        <v/>
      </c>
      <c r="EM158" s="108" t="str">
        <f t="shared" si="361"/>
        <v/>
      </c>
      <c r="EN158" s="109" t="str">
        <f t="shared" si="362"/>
        <v/>
      </c>
      <c r="EO158" s="109" t="str">
        <f t="shared" si="290"/>
        <v/>
      </c>
      <c r="EP158" s="110" t="str">
        <f t="shared" si="233"/>
        <v/>
      </c>
      <c r="ER158" s="108" t="str">
        <f t="shared" si="291"/>
        <v/>
      </c>
      <c r="ES158" s="109" t="str">
        <f t="shared" si="363"/>
        <v/>
      </c>
      <c r="ET158" s="109" t="str">
        <f t="shared" si="292"/>
        <v/>
      </c>
      <c r="EU158" s="110" t="str">
        <f t="shared" si="234"/>
        <v/>
      </c>
      <c r="EW158" s="108" t="str">
        <f t="shared" si="364"/>
        <v/>
      </c>
      <c r="EX158" s="109" t="str">
        <f t="shared" si="365"/>
        <v/>
      </c>
      <c r="EY158" s="109" t="str">
        <f t="shared" si="293"/>
        <v/>
      </c>
      <c r="EZ158" s="110" t="str">
        <f t="shared" si="235"/>
        <v/>
      </c>
      <c r="FB158" s="108" t="str">
        <f t="shared" si="294"/>
        <v/>
      </c>
      <c r="FC158" s="109" t="str">
        <f t="shared" si="366"/>
        <v/>
      </c>
      <c r="FD158" s="109" t="str">
        <f t="shared" si="295"/>
        <v/>
      </c>
      <c r="FE158" s="110" t="str">
        <f t="shared" si="236"/>
        <v/>
      </c>
      <c r="FG158" s="108" t="str">
        <f t="shared" si="367"/>
        <v/>
      </c>
      <c r="FH158" s="109" t="str">
        <f t="shared" si="368"/>
        <v/>
      </c>
      <c r="FI158" s="109" t="str">
        <f t="shared" si="296"/>
        <v/>
      </c>
      <c r="FJ158" s="110" t="str">
        <f t="shared" si="237"/>
        <v/>
      </c>
      <c r="FL158" s="108" t="str">
        <f t="shared" si="297"/>
        <v/>
      </c>
      <c r="FM158" s="109" t="str">
        <f t="shared" si="369"/>
        <v/>
      </c>
      <c r="FN158" s="109" t="str">
        <f t="shared" si="298"/>
        <v/>
      </c>
      <c r="FO158" s="110" t="str">
        <f t="shared" si="238"/>
        <v/>
      </c>
      <c r="FQ158" s="108" t="str">
        <f t="shared" si="370"/>
        <v/>
      </c>
      <c r="FR158" s="109" t="str">
        <f t="shared" si="371"/>
        <v/>
      </c>
      <c r="FS158" s="109" t="str">
        <f t="shared" si="299"/>
        <v/>
      </c>
      <c r="FT158" s="110" t="str">
        <f t="shared" si="239"/>
        <v/>
      </c>
      <c r="FV158" s="108" t="str">
        <f t="shared" si="300"/>
        <v/>
      </c>
      <c r="FW158" s="109" t="str">
        <f t="shared" si="372"/>
        <v/>
      </c>
      <c r="FX158" s="109" t="str">
        <f t="shared" si="301"/>
        <v/>
      </c>
      <c r="FY158" s="110" t="str">
        <f t="shared" si="240"/>
        <v/>
      </c>
      <c r="GA158" s="108" t="str">
        <f t="shared" si="373"/>
        <v/>
      </c>
      <c r="GB158" s="109" t="str">
        <f t="shared" si="374"/>
        <v/>
      </c>
      <c r="GC158" s="109" t="str">
        <f t="shared" si="302"/>
        <v/>
      </c>
      <c r="GD158" s="110" t="str">
        <f t="shared" si="241"/>
        <v/>
      </c>
      <c r="GF158" s="108" t="str">
        <f t="shared" si="303"/>
        <v/>
      </c>
      <c r="GG158" s="109" t="str">
        <f t="shared" si="375"/>
        <v/>
      </c>
      <c r="GH158" s="109" t="str">
        <f t="shared" si="304"/>
        <v/>
      </c>
      <c r="GI158" s="110" t="str">
        <f t="shared" si="242"/>
        <v/>
      </c>
      <c r="GK158" s="108" t="str">
        <f t="shared" si="376"/>
        <v/>
      </c>
      <c r="GL158" s="109" t="str">
        <f t="shared" si="377"/>
        <v/>
      </c>
      <c r="GM158" s="109" t="str">
        <f t="shared" si="378"/>
        <v/>
      </c>
      <c r="GN158" s="110" t="str">
        <f t="shared" si="243"/>
        <v/>
      </c>
      <c r="GR158" s="108" t="str">
        <f t="shared" si="305"/>
        <v/>
      </c>
      <c r="GS158" s="109" t="str">
        <f t="shared" si="306"/>
        <v/>
      </c>
      <c r="GT158" s="109" t="str">
        <f t="shared" si="307"/>
        <v/>
      </c>
      <c r="GU158" s="110" t="str">
        <f t="shared" si="308"/>
        <v/>
      </c>
      <c r="GV158" s="51"/>
      <c r="GW158" s="108" t="str">
        <f t="shared" si="309"/>
        <v/>
      </c>
      <c r="GX158" s="109" t="str">
        <f t="shared" si="379"/>
        <v/>
      </c>
      <c r="GY158" s="109" t="str">
        <f t="shared" si="310"/>
        <v/>
      </c>
      <c r="GZ158" s="110" t="str">
        <f t="shared" si="311"/>
        <v/>
      </c>
      <c r="HA158" s="51"/>
      <c r="HB158" s="108" t="str">
        <f t="shared" si="380"/>
        <v/>
      </c>
      <c r="HC158" s="109" t="str">
        <f t="shared" si="381"/>
        <v/>
      </c>
      <c r="HD158" s="109" t="str">
        <f t="shared" si="312"/>
        <v/>
      </c>
      <c r="HE158" s="110" t="str">
        <f t="shared" si="382"/>
        <v/>
      </c>
      <c r="HF158" s="51"/>
      <c r="HG158" s="108" t="str">
        <f t="shared" si="313"/>
        <v/>
      </c>
      <c r="HH158" s="109" t="str">
        <f t="shared" si="383"/>
        <v/>
      </c>
      <c r="HI158" s="109" t="str">
        <f t="shared" si="314"/>
        <v/>
      </c>
      <c r="HJ158" s="110" t="str">
        <f t="shared" si="417"/>
        <v/>
      </c>
      <c r="HK158" s="51"/>
      <c r="HL158" s="108" t="str">
        <f t="shared" si="384"/>
        <v/>
      </c>
      <c r="HM158" s="109" t="str">
        <f t="shared" si="385"/>
        <v/>
      </c>
      <c r="HN158" s="109" t="str">
        <f t="shared" si="315"/>
        <v/>
      </c>
      <c r="HO158" s="110" t="str">
        <f t="shared" si="386"/>
        <v/>
      </c>
      <c r="HP158" s="51"/>
      <c r="HQ158" s="108" t="str">
        <f t="shared" si="316"/>
        <v/>
      </c>
      <c r="HR158" s="109" t="str">
        <f t="shared" si="387"/>
        <v/>
      </c>
      <c r="HS158" s="109" t="str">
        <f t="shared" si="317"/>
        <v/>
      </c>
      <c r="HT158" s="110" t="str">
        <f t="shared" si="418"/>
        <v/>
      </c>
      <c r="HU158" s="51"/>
      <c r="HV158" s="108" t="str">
        <f t="shared" si="388"/>
        <v/>
      </c>
      <c r="HW158" s="109" t="str">
        <f t="shared" si="389"/>
        <v/>
      </c>
      <c r="HX158" s="109" t="str">
        <f t="shared" si="318"/>
        <v/>
      </c>
      <c r="HY158" s="110" t="str">
        <f t="shared" si="390"/>
        <v/>
      </c>
      <c r="HZ158" s="51"/>
      <c r="IA158" s="108" t="str">
        <f t="shared" si="319"/>
        <v/>
      </c>
      <c r="IB158" s="109" t="str">
        <f t="shared" si="391"/>
        <v/>
      </c>
      <c r="IC158" s="109" t="str">
        <f t="shared" si="320"/>
        <v/>
      </c>
      <c r="ID158" s="110" t="str">
        <f t="shared" si="419"/>
        <v/>
      </c>
      <c r="IE158" s="51"/>
      <c r="IF158" s="108" t="str">
        <f t="shared" si="392"/>
        <v/>
      </c>
      <c r="IG158" s="109" t="str">
        <f t="shared" si="393"/>
        <v/>
      </c>
      <c r="IH158" s="109" t="str">
        <f t="shared" si="321"/>
        <v/>
      </c>
      <c r="II158" s="110" t="str">
        <f t="shared" si="394"/>
        <v/>
      </c>
      <c r="IJ158" s="51"/>
      <c r="IK158" s="108" t="str">
        <f t="shared" si="322"/>
        <v/>
      </c>
      <c r="IL158" s="109" t="str">
        <f t="shared" si="395"/>
        <v/>
      </c>
      <c r="IM158" s="109" t="str">
        <f t="shared" si="323"/>
        <v/>
      </c>
      <c r="IN158" s="110" t="str">
        <f t="shared" si="420"/>
        <v/>
      </c>
      <c r="IO158" s="51"/>
      <c r="IP158" s="108" t="str">
        <f t="shared" si="396"/>
        <v/>
      </c>
      <c r="IQ158" s="109" t="str">
        <f t="shared" si="397"/>
        <v/>
      </c>
      <c r="IR158" s="109" t="str">
        <f t="shared" si="324"/>
        <v/>
      </c>
      <c r="IS158" s="110" t="str">
        <f t="shared" si="398"/>
        <v/>
      </c>
      <c r="IT158" s="51"/>
      <c r="IU158" s="108" t="str">
        <f t="shared" si="325"/>
        <v/>
      </c>
      <c r="IV158" s="109" t="str">
        <f t="shared" si="399"/>
        <v/>
      </c>
      <c r="IW158" s="109" t="str">
        <f t="shared" si="326"/>
        <v/>
      </c>
      <c r="IX158" s="110" t="str">
        <f t="shared" si="421"/>
        <v/>
      </c>
      <c r="IY158" s="51"/>
      <c r="IZ158" s="108" t="str">
        <f t="shared" si="400"/>
        <v/>
      </c>
      <c r="JA158" s="109" t="str">
        <f t="shared" si="401"/>
        <v/>
      </c>
      <c r="JB158" s="109" t="str">
        <f t="shared" si="327"/>
        <v/>
      </c>
      <c r="JC158" s="110" t="str">
        <f t="shared" si="402"/>
        <v/>
      </c>
      <c r="JD158" s="51"/>
      <c r="JE158" s="108" t="str">
        <f t="shared" si="328"/>
        <v/>
      </c>
      <c r="JF158" s="109" t="str">
        <f t="shared" si="403"/>
        <v/>
      </c>
      <c r="JG158" s="109" t="str">
        <f t="shared" si="329"/>
        <v/>
      </c>
      <c r="JH158" s="110" t="str">
        <f t="shared" si="422"/>
        <v/>
      </c>
      <c r="JI158" s="51"/>
      <c r="JJ158" s="108" t="str">
        <f t="shared" si="404"/>
        <v/>
      </c>
      <c r="JK158" s="109" t="str">
        <f t="shared" si="405"/>
        <v/>
      </c>
      <c r="JL158" s="109" t="str">
        <f t="shared" si="330"/>
        <v/>
      </c>
      <c r="JM158" s="110" t="str">
        <f t="shared" si="406"/>
        <v/>
      </c>
      <c r="JN158" s="51"/>
      <c r="JO158" s="108" t="str">
        <f t="shared" si="331"/>
        <v/>
      </c>
      <c r="JP158" s="109" t="str">
        <f t="shared" si="407"/>
        <v/>
      </c>
      <c r="JQ158" s="109" t="str">
        <f t="shared" si="332"/>
        <v/>
      </c>
      <c r="JR158" s="110" t="str">
        <f t="shared" si="423"/>
        <v/>
      </c>
      <c r="JS158" s="51"/>
      <c r="JT158" s="108" t="str">
        <f t="shared" si="408"/>
        <v/>
      </c>
      <c r="JU158" s="109" t="str">
        <f t="shared" si="409"/>
        <v/>
      </c>
      <c r="JV158" s="109" t="str">
        <f t="shared" si="333"/>
        <v/>
      </c>
      <c r="JW158" s="110" t="str">
        <f t="shared" si="410"/>
        <v/>
      </c>
      <c r="JX158" s="51"/>
      <c r="JY158" s="108" t="str">
        <f t="shared" si="334"/>
        <v/>
      </c>
      <c r="JZ158" s="109" t="str">
        <f t="shared" si="411"/>
        <v/>
      </c>
      <c r="KA158" s="109" t="str">
        <f t="shared" si="335"/>
        <v/>
      </c>
      <c r="KB158" s="110" t="str">
        <f t="shared" si="424"/>
        <v/>
      </c>
      <c r="KC158" s="51"/>
      <c r="KD158" s="108" t="str">
        <f t="shared" si="412"/>
        <v/>
      </c>
      <c r="KE158" s="109" t="str">
        <f t="shared" si="413"/>
        <v/>
      </c>
      <c r="KF158" s="109" t="str">
        <f t="shared" si="336"/>
        <v/>
      </c>
      <c r="KG158" s="110" t="str">
        <f t="shared" si="337"/>
        <v/>
      </c>
    </row>
    <row r="159" spans="1:293" ht="12" customHeight="1">
      <c r="A159" s="105">
        <f t="array" ref="A159">MAX(IF($J$80:J158&gt;0,$C$80:C158,0))</f>
        <v>43535</v>
      </c>
      <c r="B159" s="81" t="str">
        <f t="shared" si="248"/>
        <v/>
      </c>
      <c r="C159" s="82">
        <f t="shared" si="414"/>
        <v>0</v>
      </c>
      <c r="D159" s="83" t="str">
        <f t="shared" si="249"/>
        <v/>
      </c>
      <c r="E159" s="83" t="str">
        <f t="shared" si="338"/>
        <v/>
      </c>
      <c r="F159" s="83" t="str">
        <f t="shared" si="250"/>
        <v/>
      </c>
      <c r="G159" s="83" t="str">
        <f t="shared" si="251"/>
        <v/>
      </c>
      <c r="H159" s="83" t="str">
        <f t="shared" si="252"/>
        <v/>
      </c>
      <c r="I159" s="105">
        <f t="array" ref="I159">MAX(IF($R$80:R158&gt;0,$L$80:L158,0))</f>
        <v>0</v>
      </c>
      <c r="J159" s="106"/>
      <c r="K159" s="2" t="str">
        <f t="shared" si="253"/>
        <v/>
      </c>
      <c r="L159" s="82">
        <f t="shared" si="415"/>
        <v>0</v>
      </c>
      <c r="M159" s="83" t="str">
        <f t="shared" si="254"/>
        <v/>
      </c>
      <c r="N159" s="83" t="str">
        <f t="shared" si="255"/>
        <v/>
      </c>
      <c r="O159" s="83" t="str">
        <f t="shared" si="256"/>
        <v/>
      </c>
      <c r="P159" s="83" t="str">
        <f t="shared" si="257"/>
        <v/>
      </c>
      <c r="Q159" s="83" t="str">
        <f t="shared" si="258"/>
        <v/>
      </c>
      <c r="R159" s="106"/>
      <c r="S159" s="1"/>
      <c r="U159" s="85" t="e">
        <f t="shared" si="244"/>
        <v>#NUM!</v>
      </c>
      <c r="V159" s="86" t="e">
        <f t="shared" si="339"/>
        <v>#NUM!</v>
      </c>
      <c r="W159" s="87" t="e">
        <f t="shared" si="259"/>
        <v>#NUM!</v>
      </c>
      <c r="X159" s="87" t="e">
        <f t="shared" si="260"/>
        <v>#NUM!</v>
      </c>
      <c r="Y159" s="87" t="e">
        <f t="shared" si="261"/>
        <v>#NUM!</v>
      </c>
      <c r="Z159" s="88" t="e">
        <f t="shared" si="245"/>
        <v>#NUM!</v>
      </c>
      <c r="AA159" t="s">
        <v>282</v>
      </c>
      <c r="AB159" s="89">
        <f t="shared" si="340"/>
        <v>0</v>
      </c>
      <c r="AC159" s="87">
        <f t="shared" si="262"/>
        <v>0</v>
      </c>
      <c r="AD159" s="87" t="str">
        <f t="shared" si="263"/>
        <v/>
      </c>
      <c r="AE159" s="87" t="str">
        <f t="shared" si="264"/>
        <v/>
      </c>
      <c r="AF159" s="86">
        <f t="shared" si="341"/>
        <v>0</v>
      </c>
      <c r="AG159" s="87">
        <f t="shared" si="246"/>
        <v>0</v>
      </c>
      <c r="AH159" s="87">
        <f t="shared" si="342"/>
        <v>0</v>
      </c>
      <c r="AI159" s="90"/>
      <c r="AJ159" s="87" t="e">
        <f t="shared" si="265"/>
        <v>#NUM!</v>
      </c>
      <c r="AK159" s="87" t="e">
        <f t="shared" si="343"/>
        <v>#NUM!</v>
      </c>
      <c r="AL159" s="87" t="e">
        <f t="shared" si="344"/>
        <v>#NUM!</v>
      </c>
      <c r="AM159" s="87" t="e">
        <f t="shared" si="345"/>
        <v>#NUM!</v>
      </c>
      <c r="AN159" s="86">
        <f t="shared" si="266"/>
        <v>0</v>
      </c>
      <c r="AO159" s="87">
        <f t="shared" si="267"/>
        <v>0</v>
      </c>
      <c r="AP159" s="88">
        <f t="shared" si="268"/>
        <v>0</v>
      </c>
      <c r="AR159" s="91">
        <f t="shared" si="269"/>
        <v>0</v>
      </c>
      <c r="AS159" s="92">
        <f t="shared" si="270"/>
        <v>0</v>
      </c>
      <c r="AT159" s="87" t="str">
        <f t="shared" si="271"/>
        <v/>
      </c>
      <c r="AU159" s="87" t="str">
        <f t="shared" si="272"/>
        <v/>
      </c>
      <c r="AV159" s="86">
        <f t="shared" si="346"/>
        <v>0</v>
      </c>
      <c r="AW159" s="87">
        <f t="shared" si="347"/>
        <v>0</v>
      </c>
      <c r="AX159" s="87">
        <f t="shared" si="348"/>
        <v>0</v>
      </c>
      <c r="AY159" s="93"/>
      <c r="AZ159" s="87">
        <f t="shared" si="425"/>
        <v>0</v>
      </c>
      <c r="BA159" s="87">
        <f t="shared" si="349"/>
        <v>0</v>
      </c>
      <c r="BB159" s="87">
        <f t="shared" si="350"/>
        <v>0</v>
      </c>
      <c r="BC159" s="87">
        <f t="shared" si="416"/>
        <v>0</v>
      </c>
      <c r="BD159" s="86" t="e">
        <f t="shared" si="273"/>
        <v>#NUM!</v>
      </c>
      <c r="BE159" s="87" t="e">
        <f t="shared" si="247"/>
        <v>#NUM!</v>
      </c>
      <c r="BF159" s="88">
        <f t="shared" si="351"/>
        <v>0</v>
      </c>
      <c r="BH159" s="87" t="e">
        <f t="shared" si="274"/>
        <v>#NUM!</v>
      </c>
      <c r="BK159" s="95">
        <v>41341</v>
      </c>
      <c r="BL159" s="96">
        <v>80</v>
      </c>
      <c r="CY159" s="108" t="str">
        <f t="shared" si="275"/>
        <v/>
      </c>
      <c r="CZ159" s="109" t="str">
        <f t="shared" si="276"/>
        <v/>
      </c>
      <c r="DA159" s="109" t="str">
        <f t="shared" si="277"/>
        <v/>
      </c>
      <c r="DB159" s="110" t="str">
        <f t="shared" si="225"/>
        <v/>
      </c>
      <c r="DD159" s="108" t="str">
        <f t="shared" si="278"/>
        <v/>
      </c>
      <c r="DE159" s="109" t="str">
        <f t="shared" si="352"/>
        <v/>
      </c>
      <c r="DF159" s="109" t="str">
        <f t="shared" si="279"/>
        <v/>
      </c>
      <c r="DG159" s="110" t="str">
        <f t="shared" si="226"/>
        <v/>
      </c>
      <c r="DI159" s="108" t="str">
        <f t="shared" si="353"/>
        <v/>
      </c>
      <c r="DJ159" s="109" t="str">
        <f t="shared" si="354"/>
        <v/>
      </c>
      <c r="DK159" s="109" t="str">
        <f t="shared" si="280"/>
        <v/>
      </c>
      <c r="DL159" s="110" t="str">
        <f t="shared" si="227"/>
        <v/>
      </c>
      <c r="DN159" s="108" t="str">
        <f t="shared" si="281"/>
        <v/>
      </c>
      <c r="DO159" s="109" t="str">
        <f t="shared" si="282"/>
        <v/>
      </c>
      <c r="DP159" s="109" t="str">
        <f t="shared" si="283"/>
        <v/>
      </c>
      <c r="DQ159" s="110" t="str">
        <f t="shared" si="228"/>
        <v/>
      </c>
      <c r="DS159" s="108" t="str">
        <f t="shared" si="355"/>
        <v/>
      </c>
      <c r="DT159" s="109" t="str">
        <f t="shared" si="356"/>
        <v/>
      </c>
      <c r="DU159" s="109" t="str">
        <f t="shared" si="284"/>
        <v/>
      </c>
      <c r="DV159" s="110" t="str">
        <f t="shared" si="229"/>
        <v/>
      </c>
      <c r="DX159" s="108" t="str">
        <f t="shared" si="285"/>
        <v/>
      </c>
      <c r="DY159" s="109" t="str">
        <f t="shared" si="357"/>
        <v/>
      </c>
      <c r="DZ159" s="109" t="str">
        <f t="shared" si="286"/>
        <v/>
      </c>
      <c r="EA159" s="110" t="str">
        <f t="shared" si="230"/>
        <v/>
      </c>
      <c r="EC159" s="108" t="str">
        <f t="shared" si="358"/>
        <v/>
      </c>
      <c r="ED159" s="109" t="str">
        <f t="shared" si="359"/>
        <v/>
      </c>
      <c r="EE159" s="109" t="str">
        <f t="shared" si="287"/>
        <v/>
      </c>
      <c r="EF159" s="110" t="str">
        <f t="shared" si="231"/>
        <v/>
      </c>
      <c r="EH159" s="108" t="str">
        <f t="shared" si="288"/>
        <v/>
      </c>
      <c r="EI159" s="109" t="str">
        <f t="shared" si="360"/>
        <v/>
      </c>
      <c r="EJ159" s="109" t="str">
        <f t="shared" si="289"/>
        <v/>
      </c>
      <c r="EK159" s="110" t="str">
        <f t="shared" si="232"/>
        <v/>
      </c>
      <c r="EM159" s="108" t="str">
        <f t="shared" si="361"/>
        <v/>
      </c>
      <c r="EN159" s="109" t="str">
        <f t="shared" si="362"/>
        <v/>
      </c>
      <c r="EO159" s="109" t="str">
        <f t="shared" si="290"/>
        <v/>
      </c>
      <c r="EP159" s="110" t="str">
        <f t="shared" si="233"/>
        <v/>
      </c>
      <c r="ER159" s="108" t="str">
        <f t="shared" si="291"/>
        <v/>
      </c>
      <c r="ES159" s="109" t="str">
        <f t="shared" si="363"/>
        <v/>
      </c>
      <c r="ET159" s="109" t="str">
        <f t="shared" si="292"/>
        <v/>
      </c>
      <c r="EU159" s="110" t="str">
        <f t="shared" si="234"/>
        <v/>
      </c>
      <c r="EW159" s="108" t="str">
        <f t="shared" si="364"/>
        <v/>
      </c>
      <c r="EX159" s="109" t="str">
        <f t="shared" si="365"/>
        <v/>
      </c>
      <c r="EY159" s="109" t="str">
        <f t="shared" si="293"/>
        <v/>
      </c>
      <c r="EZ159" s="110" t="str">
        <f t="shared" si="235"/>
        <v/>
      </c>
      <c r="FB159" s="108" t="str">
        <f t="shared" si="294"/>
        <v/>
      </c>
      <c r="FC159" s="109" t="str">
        <f t="shared" si="366"/>
        <v/>
      </c>
      <c r="FD159" s="109" t="str">
        <f t="shared" si="295"/>
        <v/>
      </c>
      <c r="FE159" s="110" t="str">
        <f t="shared" si="236"/>
        <v/>
      </c>
      <c r="FG159" s="108" t="str">
        <f t="shared" si="367"/>
        <v/>
      </c>
      <c r="FH159" s="109" t="str">
        <f t="shared" si="368"/>
        <v/>
      </c>
      <c r="FI159" s="109" t="str">
        <f t="shared" si="296"/>
        <v/>
      </c>
      <c r="FJ159" s="110" t="str">
        <f t="shared" si="237"/>
        <v/>
      </c>
      <c r="FL159" s="108" t="str">
        <f t="shared" si="297"/>
        <v/>
      </c>
      <c r="FM159" s="109" t="str">
        <f t="shared" si="369"/>
        <v/>
      </c>
      <c r="FN159" s="109" t="str">
        <f t="shared" si="298"/>
        <v/>
      </c>
      <c r="FO159" s="110" t="str">
        <f t="shared" si="238"/>
        <v/>
      </c>
      <c r="FQ159" s="108" t="str">
        <f t="shared" si="370"/>
        <v/>
      </c>
      <c r="FR159" s="109" t="str">
        <f t="shared" si="371"/>
        <v/>
      </c>
      <c r="FS159" s="109" t="str">
        <f t="shared" si="299"/>
        <v/>
      </c>
      <c r="FT159" s="110" t="str">
        <f t="shared" si="239"/>
        <v/>
      </c>
      <c r="FV159" s="108" t="str">
        <f t="shared" si="300"/>
        <v/>
      </c>
      <c r="FW159" s="109" t="str">
        <f t="shared" si="372"/>
        <v/>
      </c>
      <c r="FX159" s="109" t="str">
        <f t="shared" si="301"/>
        <v/>
      </c>
      <c r="FY159" s="110" t="str">
        <f t="shared" si="240"/>
        <v/>
      </c>
      <c r="GA159" s="108" t="str">
        <f t="shared" si="373"/>
        <v/>
      </c>
      <c r="GB159" s="109" t="str">
        <f t="shared" si="374"/>
        <v/>
      </c>
      <c r="GC159" s="109" t="str">
        <f t="shared" si="302"/>
        <v/>
      </c>
      <c r="GD159" s="110" t="str">
        <f t="shared" si="241"/>
        <v/>
      </c>
      <c r="GF159" s="108" t="str">
        <f t="shared" si="303"/>
        <v/>
      </c>
      <c r="GG159" s="109" t="str">
        <f t="shared" si="375"/>
        <v/>
      </c>
      <c r="GH159" s="109" t="str">
        <f t="shared" si="304"/>
        <v/>
      </c>
      <c r="GI159" s="110" t="str">
        <f t="shared" si="242"/>
        <v/>
      </c>
      <c r="GK159" s="108" t="str">
        <f t="shared" si="376"/>
        <v/>
      </c>
      <c r="GL159" s="109" t="str">
        <f t="shared" si="377"/>
        <v/>
      </c>
      <c r="GM159" s="109" t="str">
        <f t="shared" si="378"/>
        <v/>
      </c>
      <c r="GN159" s="110" t="str">
        <f t="shared" si="243"/>
        <v/>
      </c>
      <c r="GR159" s="108" t="str">
        <f t="shared" si="305"/>
        <v/>
      </c>
      <c r="GS159" s="109" t="str">
        <f t="shared" si="306"/>
        <v/>
      </c>
      <c r="GT159" s="109" t="str">
        <f t="shared" si="307"/>
        <v/>
      </c>
      <c r="GU159" s="110" t="str">
        <f t="shared" si="308"/>
        <v/>
      </c>
      <c r="GV159" s="51"/>
      <c r="GW159" s="108" t="str">
        <f t="shared" si="309"/>
        <v/>
      </c>
      <c r="GX159" s="109" t="str">
        <f t="shared" si="379"/>
        <v/>
      </c>
      <c r="GY159" s="109" t="str">
        <f t="shared" si="310"/>
        <v/>
      </c>
      <c r="GZ159" s="110" t="str">
        <f t="shared" si="311"/>
        <v/>
      </c>
      <c r="HA159" s="51"/>
      <c r="HB159" s="108" t="str">
        <f t="shared" si="380"/>
        <v/>
      </c>
      <c r="HC159" s="109" t="str">
        <f t="shared" si="381"/>
        <v/>
      </c>
      <c r="HD159" s="109" t="str">
        <f t="shared" si="312"/>
        <v/>
      </c>
      <c r="HE159" s="110" t="str">
        <f t="shared" si="382"/>
        <v/>
      </c>
      <c r="HF159" s="51"/>
      <c r="HG159" s="108" t="str">
        <f t="shared" si="313"/>
        <v/>
      </c>
      <c r="HH159" s="109" t="str">
        <f t="shared" si="383"/>
        <v/>
      </c>
      <c r="HI159" s="109" t="str">
        <f t="shared" si="314"/>
        <v/>
      </c>
      <c r="HJ159" s="110" t="str">
        <f t="shared" si="417"/>
        <v/>
      </c>
      <c r="HK159" s="51"/>
      <c r="HL159" s="108" t="str">
        <f t="shared" si="384"/>
        <v/>
      </c>
      <c r="HM159" s="109" t="str">
        <f t="shared" si="385"/>
        <v/>
      </c>
      <c r="HN159" s="109" t="str">
        <f t="shared" si="315"/>
        <v/>
      </c>
      <c r="HO159" s="110" t="str">
        <f t="shared" si="386"/>
        <v/>
      </c>
      <c r="HP159" s="51"/>
      <c r="HQ159" s="108" t="str">
        <f t="shared" si="316"/>
        <v/>
      </c>
      <c r="HR159" s="109" t="str">
        <f t="shared" si="387"/>
        <v/>
      </c>
      <c r="HS159" s="109" t="str">
        <f t="shared" si="317"/>
        <v/>
      </c>
      <c r="HT159" s="110" t="str">
        <f t="shared" si="418"/>
        <v/>
      </c>
      <c r="HU159" s="51"/>
      <c r="HV159" s="108" t="str">
        <f t="shared" si="388"/>
        <v/>
      </c>
      <c r="HW159" s="109" t="str">
        <f t="shared" si="389"/>
        <v/>
      </c>
      <c r="HX159" s="109" t="str">
        <f t="shared" si="318"/>
        <v/>
      </c>
      <c r="HY159" s="110" t="str">
        <f t="shared" si="390"/>
        <v/>
      </c>
      <c r="HZ159" s="51"/>
      <c r="IA159" s="108" t="str">
        <f t="shared" si="319"/>
        <v/>
      </c>
      <c r="IB159" s="109" t="str">
        <f t="shared" si="391"/>
        <v/>
      </c>
      <c r="IC159" s="109" t="str">
        <f t="shared" si="320"/>
        <v/>
      </c>
      <c r="ID159" s="110" t="str">
        <f t="shared" si="419"/>
        <v/>
      </c>
      <c r="IE159" s="51"/>
      <c r="IF159" s="108" t="str">
        <f t="shared" si="392"/>
        <v/>
      </c>
      <c r="IG159" s="109" t="str">
        <f t="shared" si="393"/>
        <v/>
      </c>
      <c r="IH159" s="109" t="str">
        <f t="shared" si="321"/>
        <v/>
      </c>
      <c r="II159" s="110" t="str">
        <f t="shared" si="394"/>
        <v/>
      </c>
      <c r="IJ159" s="51"/>
      <c r="IK159" s="108" t="str">
        <f t="shared" si="322"/>
        <v/>
      </c>
      <c r="IL159" s="109" t="str">
        <f t="shared" si="395"/>
        <v/>
      </c>
      <c r="IM159" s="109" t="str">
        <f t="shared" si="323"/>
        <v/>
      </c>
      <c r="IN159" s="110" t="str">
        <f t="shared" si="420"/>
        <v/>
      </c>
      <c r="IO159" s="51"/>
      <c r="IP159" s="108" t="str">
        <f t="shared" si="396"/>
        <v/>
      </c>
      <c r="IQ159" s="109" t="str">
        <f t="shared" si="397"/>
        <v/>
      </c>
      <c r="IR159" s="109" t="str">
        <f t="shared" si="324"/>
        <v/>
      </c>
      <c r="IS159" s="110" t="str">
        <f t="shared" si="398"/>
        <v/>
      </c>
      <c r="IT159" s="51"/>
      <c r="IU159" s="108" t="str">
        <f t="shared" si="325"/>
        <v/>
      </c>
      <c r="IV159" s="109" t="str">
        <f t="shared" si="399"/>
        <v/>
      </c>
      <c r="IW159" s="109" t="str">
        <f t="shared" si="326"/>
        <v/>
      </c>
      <c r="IX159" s="110" t="str">
        <f t="shared" si="421"/>
        <v/>
      </c>
      <c r="IY159" s="51"/>
      <c r="IZ159" s="108" t="str">
        <f t="shared" si="400"/>
        <v/>
      </c>
      <c r="JA159" s="109" t="str">
        <f t="shared" si="401"/>
        <v/>
      </c>
      <c r="JB159" s="109" t="str">
        <f t="shared" si="327"/>
        <v/>
      </c>
      <c r="JC159" s="110" t="str">
        <f t="shared" si="402"/>
        <v/>
      </c>
      <c r="JD159" s="51"/>
      <c r="JE159" s="108" t="str">
        <f t="shared" si="328"/>
        <v/>
      </c>
      <c r="JF159" s="109" t="str">
        <f t="shared" si="403"/>
        <v/>
      </c>
      <c r="JG159" s="109" t="str">
        <f t="shared" si="329"/>
        <v/>
      </c>
      <c r="JH159" s="110" t="str">
        <f t="shared" si="422"/>
        <v/>
      </c>
      <c r="JI159" s="51"/>
      <c r="JJ159" s="108" t="str">
        <f t="shared" si="404"/>
        <v/>
      </c>
      <c r="JK159" s="109" t="str">
        <f t="shared" si="405"/>
        <v/>
      </c>
      <c r="JL159" s="109" t="str">
        <f t="shared" si="330"/>
        <v/>
      </c>
      <c r="JM159" s="110" t="str">
        <f t="shared" si="406"/>
        <v/>
      </c>
      <c r="JN159" s="51"/>
      <c r="JO159" s="108" t="str">
        <f t="shared" si="331"/>
        <v/>
      </c>
      <c r="JP159" s="109" t="str">
        <f t="shared" si="407"/>
        <v/>
      </c>
      <c r="JQ159" s="109" t="str">
        <f t="shared" si="332"/>
        <v/>
      </c>
      <c r="JR159" s="110" t="str">
        <f t="shared" si="423"/>
        <v/>
      </c>
      <c r="JS159" s="51"/>
      <c r="JT159" s="108" t="str">
        <f t="shared" si="408"/>
        <v/>
      </c>
      <c r="JU159" s="109" t="str">
        <f t="shared" si="409"/>
        <v/>
      </c>
      <c r="JV159" s="109" t="str">
        <f t="shared" si="333"/>
        <v/>
      </c>
      <c r="JW159" s="110" t="str">
        <f t="shared" si="410"/>
        <v/>
      </c>
      <c r="JX159" s="51"/>
      <c r="JY159" s="108" t="str">
        <f t="shared" si="334"/>
        <v/>
      </c>
      <c r="JZ159" s="109" t="str">
        <f t="shared" si="411"/>
        <v/>
      </c>
      <c r="KA159" s="109" t="str">
        <f t="shared" si="335"/>
        <v/>
      </c>
      <c r="KB159" s="110" t="str">
        <f t="shared" si="424"/>
        <v/>
      </c>
      <c r="KC159" s="51"/>
      <c r="KD159" s="108" t="str">
        <f t="shared" si="412"/>
        <v/>
      </c>
      <c r="KE159" s="109" t="str">
        <f t="shared" si="413"/>
        <v/>
      </c>
      <c r="KF159" s="109" t="str">
        <f t="shared" si="336"/>
        <v/>
      </c>
      <c r="KG159" s="110" t="str">
        <f t="shared" si="337"/>
        <v/>
      </c>
    </row>
    <row r="160" spans="1:293" ht="12" customHeight="1">
      <c r="A160" s="105">
        <f t="array" ref="A160">MAX(IF($J$80:J159&gt;0,$C$80:C159,0))</f>
        <v>43535</v>
      </c>
      <c r="B160" s="81" t="str">
        <f t="shared" si="248"/>
        <v/>
      </c>
      <c r="C160" s="82">
        <f t="shared" si="414"/>
        <v>0</v>
      </c>
      <c r="D160" s="83" t="str">
        <f t="shared" si="249"/>
        <v/>
      </c>
      <c r="E160" s="83" t="str">
        <f t="shared" si="338"/>
        <v/>
      </c>
      <c r="F160" s="83" t="str">
        <f t="shared" si="250"/>
        <v/>
      </c>
      <c r="G160" s="83" t="str">
        <f t="shared" si="251"/>
        <v/>
      </c>
      <c r="H160" s="83" t="str">
        <f t="shared" si="252"/>
        <v/>
      </c>
      <c r="I160" s="105">
        <f t="array" ref="I160">MAX(IF($R$80:R159&gt;0,$L$80:L159,0))</f>
        <v>0</v>
      </c>
      <c r="J160" s="106"/>
      <c r="K160" s="2" t="str">
        <f t="shared" si="253"/>
        <v/>
      </c>
      <c r="L160" s="82">
        <f t="shared" si="415"/>
        <v>0</v>
      </c>
      <c r="M160" s="83" t="str">
        <f t="shared" si="254"/>
        <v/>
      </c>
      <c r="N160" s="83" t="str">
        <f t="shared" si="255"/>
        <v/>
      </c>
      <c r="O160" s="83" t="str">
        <f t="shared" si="256"/>
        <v/>
      </c>
      <c r="P160" s="83" t="str">
        <f t="shared" si="257"/>
        <v/>
      </c>
      <c r="Q160" s="83" t="str">
        <f t="shared" si="258"/>
        <v/>
      </c>
      <c r="R160" s="106"/>
      <c r="S160" s="1"/>
      <c r="U160" s="85" t="e">
        <f t="shared" si="244"/>
        <v>#NUM!</v>
      </c>
      <c r="V160" s="86" t="e">
        <f t="shared" si="339"/>
        <v>#NUM!</v>
      </c>
      <c r="W160" s="87" t="e">
        <f t="shared" si="259"/>
        <v>#NUM!</v>
      </c>
      <c r="X160" s="87" t="e">
        <f t="shared" si="260"/>
        <v>#NUM!</v>
      </c>
      <c r="Y160" s="87" t="e">
        <f t="shared" si="261"/>
        <v>#NUM!</v>
      </c>
      <c r="Z160" s="88" t="e">
        <f t="shared" si="245"/>
        <v>#NUM!</v>
      </c>
      <c r="AA160" t="s">
        <v>282</v>
      </c>
      <c r="AB160" s="89">
        <f t="shared" si="340"/>
        <v>0</v>
      </c>
      <c r="AC160" s="87">
        <f t="shared" si="262"/>
        <v>0</v>
      </c>
      <c r="AD160" s="87" t="str">
        <f t="shared" si="263"/>
        <v/>
      </c>
      <c r="AE160" s="87" t="str">
        <f t="shared" si="264"/>
        <v/>
      </c>
      <c r="AF160" s="86">
        <f t="shared" si="341"/>
        <v>0</v>
      </c>
      <c r="AG160" s="87">
        <f t="shared" si="246"/>
        <v>0</v>
      </c>
      <c r="AH160" s="87">
        <f t="shared" si="342"/>
        <v>0</v>
      </c>
      <c r="AI160" s="90"/>
      <c r="AJ160" s="87" t="e">
        <f t="shared" si="265"/>
        <v>#NUM!</v>
      </c>
      <c r="AK160" s="87" t="e">
        <f t="shared" si="343"/>
        <v>#NUM!</v>
      </c>
      <c r="AL160" s="87" t="e">
        <f t="shared" si="344"/>
        <v>#NUM!</v>
      </c>
      <c r="AM160" s="87" t="e">
        <f t="shared" si="345"/>
        <v>#NUM!</v>
      </c>
      <c r="AN160" s="86">
        <f t="shared" si="266"/>
        <v>0</v>
      </c>
      <c r="AO160" s="87">
        <f t="shared" si="267"/>
        <v>0</v>
      </c>
      <c r="AP160" s="88">
        <f t="shared" si="268"/>
        <v>0</v>
      </c>
      <c r="AR160" s="91">
        <f t="shared" si="269"/>
        <v>0</v>
      </c>
      <c r="AS160" s="92">
        <f t="shared" si="270"/>
        <v>0</v>
      </c>
      <c r="AT160" s="87" t="str">
        <f t="shared" si="271"/>
        <v/>
      </c>
      <c r="AU160" s="87" t="str">
        <f t="shared" si="272"/>
        <v/>
      </c>
      <c r="AV160" s="86">
        <f t="shared" si="346"/>
        <v>0</v>
      </c>
      <c r="AW160" s="87">
        <f t="shared" si="347"/>
        <v>0</v>
      </c>
      <c r="AX160" s="87">
        <f t="shared" si="348"/>
        <v>0</v>
      </c>
      <c r="AY160" s="93"/>
      <c r="AZ160" s="87">
        <f t="shared" si="425"/>
        <v>0</v>
      </c>
      <c r="BA160" s="87">
        <f t="shared" si="349"/>
        <v>0</v>
      </c>
      <c r="BB160" s="87">
        <f t="shared" si="350"/>
        <v>0</v>
      </c>
      <c r="BC160" s="87">
        <f t="shared" si="416"/>
        <v>0</v>
      </c>
      <c r="BD160" s="86" t="e">
        <f t="shared" si="273"/>
        <v>#NUM!</v>
      </c>
      <c r="BE160" s="87" t="e">
        <f t="shared" si="247"/>
        <v>#NUM!</v>
      </c>
      <c r="BF160" s="88">
        <f t="shared" si="351"/>
        <v>0</v>
      </c>
      <c r="BH160" s="87" t="e">
        <f t="shared" si="274"/>
        <v>#NUM!</v>
      </c>
      <c r="BK160" s="95">
        <v>41373</v>
      </c>
      <c r="BL160" s="96">
        <v>81</v>
      </c>
      <c r="CY160" s="108" t="str">
        <f t="shared" si="275"/>
        <v/>
      </c>
      <c r="CZ160" s="109" t="str">
        <f t="shared" si="276"/>
        <v/>
      </c>
      <c r="DA160" s="109" t="str">
        <f t="shared" si="277"/>
        <v/>
      </c>
      <c r="DB160" s="110" t="str">
        <f t="shared" si="225"/>
        <v/>
      </c>
      <c r="DD160" s="108" t="str">
        <f t="shared" si="278"/>
        <v/>
      </c>
      <c r="DE160" s="109" t="str">
        <f t="shared" si="352"/>
        <v/>
      </c>
      <c r="DF160" s="109" t="str">
        <f t="shared" si="279"/>
        <v/>
      </c>
      <c r="DG160" s="110" t="str">
        <f t="shared" si="226"/>
        <v/>
      </c>
      <c r="DI160" s="108" t="str">
        <f t="shared" si="353"/>
        <v/>
      </c>
      <c r="DJ160" s="109" t="str">
        <f t="shared" si="354"/>
        <v/>
      </c>
      <c r="DK160" s="109" t="str">
        <f t="shared" si="280"/>
        <v/>
      </c>
      <c r="DL160" s="110" t="str">
        <f t="shared" si="227"/>
        <v/>
      </c>
      <c r="DN160" s="108" t="str">
        <f t="shared" si="281"/>
        <v/>
      </c>
      <c r="DO160" s="109" t="str">
        <f t="shared" si="282"/>
        <v/>
      </c>
      <c r="DP160" s="109" t="str">
        <f t="shared" si="283"/>
        <v/>
      </c>
      <c r="DQ160" s="110" t="str">
        <f t="shared" si="228"/>
        <v/>
      </c>
      <c r="DS160" s="108" t="str">
        <f t="shared" si="355"/>
        <v/>
      </c>
      <c r="DT160" s="109" t="str">
        <f t="shared" si="356"/>
        <v/>
      </c>
      <c r="DU160" s="109" t="str">
        <f t="shared" si="284"/>
        <v/>
      </c>
      <c r="DV160" s="110" t="str">
        <f t="shared" si="229"/>
        <v/>
      </c>
      <c r="DX160" s="108" t="str">
        <f t="shared" si="285"/>
        <v/>
      </c>
      <c r="DY160" s="109" t="str">
        <f t="shared" si="357"/>
        <v/>
      </c>
      <c r="DZ160" s="109" t="str">
        <f t="shared" si="286"/>
        <v/>
      </c>
      <c r="EA160" s="110" t="str">
        <f t="shared" si="230"/>
        <v/>
      </c>
      <c r="EC160" s="108" t="str">
        <f t="shared" si="358"/>
        <v/>
      </c>
      <c r="ED160" s="109" t="str">
        <f t="shared" si="359"/>
        <v/>
      </c>
      <c r="EE160" s="109" t="str">
        <f t="shared" si="287"/>
        <v/>
      </c>
      <c r="EF160" s="110" t="str">
        <f t="shared" si="231"/>
        <v/>
      </c>
      <c r="EH160" s="108" t="str">
        <f t="shared" si="288"/>
        <v/>
      </c>
      <c r="EI160" s="109" t="str">
        <f t="shared" si="360"/>
        <v/>
      </c>
      <c r="EJ160" s="109" t="str">
        <f t="shared" si="289"/>
        <v/>
      </c>
      <c r="EK160" s="110" t="str">
        <f t="shared" si="232"/>
        <v/>
      </c>
      <c r="EM160" s="108" t="str">
        <f t="shared" si="361"/>
        <v/>
      </c>
      <c r="EN160" s="109" t="str">
        <f t="shared" si="362"/>
        <v/>
      </c>
      <c r="EO160" s="109" t="str">
        <f t="shared" si="290"/>
        <v/>
      </c>
      <c r="EP160" s="110" t="str">
        <f t="shared" si="233"/>
        <v/>
      </c>
      <c r="ER160" s="108" t="str">
        <f t="shared" si="291"/>
        <v/>
      </c>
      <c r="ES160" s="109" t="str">
        <f t="shared" si="363"/>
        <v/>
      </c>
      <c r="ET160" s="109" t="str">
        <f t="shared" si="292"/>
        <v/>
      </c>
      <c r="EU160" s="110" t="str">
        <f t="shared" si="234"/>
        <v/>
      </c>
      <c r="EW160" s="108" t="str">
        <f t="shared" si="364"/>
        <v/>
      </c>
      <c r="EX160" s="109" t="str">
        <f t="shared" si="365"/>
        <v/>
      </c>
      <c r="EY160" s="109" t="str">
        <f t="shared" si="293"/>
        <v/>
      </c>
      <c r="EZ160" s="110" t="str">
        <f t="shared" si="235"/>
        <v/>
      </c>
      <c r="FB160" s="108" t="str">
        <f t="shared" si="294"/>
        <v/>
      </c>
      <c r="FC160" s="109" t="str">
        <f t="shared" si="366"/>
        <v/>
      </c>
      <c r="FD160" s="109" t="str">
        <f t="shared" si="295"/>
        <v/>
      </c>
      <c r="FE160" s="110" t="str">
        <f t="shared" si="236"/>
        <v/>
      </c>
      <c r="FG160" s="108" t="str">
        <f t="shared" si="367"/>
        <v/>
      </c>
      <c r="FH160" s="109" t="str">
        <f t="shared" si="368"/>
        <v/>
      </c>
      <c r="FI160" s="109" t="str">
        <f t="shared" si="296"/>
        <v/>
      </c>
      <c r="FJ160" s="110" t="str">
        <f t="shared" si="237"/>
        <v/>
      </c>
      <c r="FL160" s="108" t="str">
        <f t="shared" si="297"/>
        <v/>
      </c>
      <c r="FM160" s="109" t="str">
        <f t="shared" si="369"/>
        <v/>
      </c>
      <c r="FN160" s="109" t="str">
        <f t="shared" si="298"/>
        <v/>
      </c>
      <c r="FO160" s="110" t="str">
        <f t="shared" si="238"/>
        <v/>
      </c>
      <c r="FQ160" s="108" t="str">
        <f t="shared" si="370"/>
        <v/>
      </c>
      <c r="FR160" s="109" t="str">
        <f t="shared" si="371"/>
        <v/>
      </c>
      <c r="FS160" s="109" t="str">
        <f t="shared" si="299"/>
        <v/>
      </c>
      <c r="FT160" s="110" t="str">
        <f t="shared" si="239"/>
        <v/>
      </c>
      <c r="FV160" s="108" t="str">
        <f t="shared" si="300"/>
        <v/>
      </c>
      <c r="FW160" s="109" t="str">
        <f t="shared" si="372"/>
        <v/>
      </c>
      <c r="FX160" s="109" t="str">
        <f t="shared" si="301"/>
        <v/>
      </c>
      <c r="FY160" s="110" t="str">
        <f t="shared" si="240"/>
        <v/>
      </c>
      <c r="GA160" s="108" t="str">
        <f t="shared" si="373"/>
        <v/>
      </c>
      <c r="GB160" s="109" t="str">
        <f t="shared" si="374"/>
        <v/>
      </c>
      <c r="GC160" s="109" t="str">
        <f t="shared" si="302"/>
        <v/>
      </c>
      <c r="GD160" s="110" t="str">
        <f t="shared" si="241"/>
        <v/>
      </c>
      <c r="GF160" s="108" t="str">
        <f t="shared" si="303"/>
        <v/>
      </c>
      <c r="GG160" s="109" t="str">
        <f t="shared" si="375"/>
        <v/>
      </c>
      <c r="GH160" s="109" t="str">
        <f t="shared" si="304"/>
        <v/>
      </c>
      <c r="GI160" s="110" t="str">
        <f t="shared" si="242"/>
        <v/>
      </c>
      <c r="GK160" s="108" t="str">
        <f t="shared" si="376"/>
        <v/>
      </c>
      <c r="GL160" s="109" t="str">
        <f t="shared" si="377"/>
        <v/>
      </c>
      <c r="GM160" s="109" t="str">
        <f t="shared" si="378"/>
        <v/>
      </c>
      <c r="GN160" s="110" t="str">
        <f t="shared" si="243"/>
        <v/>
      </c>
      <c r="GR160" s="108" t="str">
        <f t="shared" si="305"/>
        <v/>
      </c>
      <c r="GS160" s="109" t="str">
        <f t="shared" si="306"/>
        <v/>
      </c>
      <c r="GT160" s="109" t="str">
        <f t="shared" si="307"/>
        <v/>
      </c>
      <c r="GU160" s="110" t="str">
        <f t="shared" si="308"/>
        <v/>
      </c>
      <c r="GV160" s="51"/>
      <c r="GW160" s="108" t="str">
        <f t="shared" si="309"/>
        <v/>
      </c>
      <c r="GX160" s="109" t="str">
        <f t="shared" si="379"/>
        <v/>
      </c>
      <c r="GY160" s="109" t="str">
        <f t="shared" si="310"/>
        <v/>
      </c>
      <c r="GZ160" s="110" t="str">
        <f t="shared" si="311"/>
        <v/>
      </c>
      <c r="HA160" s="51"/>
      <c r="HB160" s="108" t="str">
        <f t="shared" si="380"/>
        <v/>
      </c>
      <c r="HC160" s="109" t="str">
        <f t="shared" si="381"/>
        <v/>
      </c>
      <c r="HD160" s="109" t="str">
        <f t="shared" si="312"/>
        <v/>
      </c>
      <c r="HE160" s="110" t="str">
        <f t="shared" si="382"/>
        <v/>
      </c>
      <c r="HF160" s="51"/>
      <c r="HG160" s="108" t="str">
        <f t="shared" si="313"/>
        <v/>
      </c>
      <c r="HH160" s="109" t="str">
        <f t="shared" si="383"/>
        <v/>
      </c>
      <c r="HI160" s="109" t="str">
        <f t="shared" si="314"/>
        <v/>
      </c>
      <c r="HJ160" s="110" t="str">
        <f t="shared" si="417"/>
        <v/>
      </c>
      <c r="HK160" s="51"/>
      <c r="HL160" s="108" t="str">
        <f t="shared" si="384"/>
        <v/>
      </c>
      <c r="HM160" s="109" t="str">
        <f t="shared" si="385"/>
        <v/>
      </c>
      <c r="HN160" s="109" t="str">
        <f t="shared" si="315"/>
        <v/>
      </c>
      <c r="HO160" s="110" t="str">
        <f t="shared" si="386"/>
        <v/>
      </c>
      <c r="HP160" s="51"/>
      <c r="HQ160" s="108" t="str">
        <f t="shared" si="316"/>
        <v/>
      </c>
      <c r="HR160" s="109" t="str">
        <f t="shared" si="387"/>
        <v/>
      </c>
      <c r="HS160" s="109" t="str">
        <f t="shared" si="317"/>
        <v/>
      </c>
      <c r="HT160" s="110" t="str">
        <f t="shared" si="418"/>
        <v/>
      </c>
      <c r="HU160" s="51"/>
      <c r="HV160" s="108" t="str">
        <f t="shared" si="388"/>
        <v/>
      </c>
      <c r="HW160" s="109" t="str">
        <f t="shared" si="389"/>
        <v/>
      </c>
      <c r="HX160" s="109" t="str">
        <f t="shared" si="318"/>
        <v/>
      </c>
      <c r="HY160" s="110" t="str">
        <f t="shared" si="390"/>
        <v/>
      </c>
      <c r="HZ160" s="51"/>
      <c r="IA160" s="108" t="str">
        <f t="shared" si="319"/>
        <v/>
      </c>
      <c r="IB160" s="109" t="str">
        <f t="shared" si="391"/>
        <v/>
      </c>
      <c r="IC160" s="109" t="str">
        <f t="shared" si="320"/>
        <v/>
      </c>
      <c r="ID160" s="110" t="str">
        <f t="shared" si="419"/>
        <v/>
      </c>
      <c r="IE160" s="51"/>
      <c r="IF160" s="108" t="str">
        <f t="shared" si="392"/>
        <v/>
      </c>
      <c r="IG160" s="109" t="str">
        <f t="shared" si="393"/>
        <v/>
      </c>
      <c r="IH160" s="109" t="str">
        <f t="shared" si="321"/>
        <v/>
      </c>
      <c r="II160" s="110" t="str">
        <f t="shared" si="394"/>
        <v/>
      </c>
      <c r="IJ160" s="51"/>
      <c r="IK160" s="108" t="str">
        <f t="shared" si="322"/>
        <v/>
      </c>
      <c r="IL160" s="109" t="str">
        <f t="shared" si="395"/>
        <v/>
      </c>
      <c r="IM160" s="109" t="str">
        <f t="shared" si="323"/>
        <v/>
      </c>
      <c r="IN160" s="110" t="str">
        <f t="shared" si="420"/>
        <v/>
      </c>
      <c r="IO160" s="51"/>
      <c r="IP160" s="108" t="str">
        <f t="shared" si="396"/>
        <v/>
      </c>
      <c r="IQ160" s="109" t="str">
        <f t="shared" si="397"/>
        <v/>
      </c>
      <c r="IR160" s="109" t="str">
        <f t="shared" si="324"/>
        <v/>
      </c>
      <c r="IS160" s="110" t="str">
        <f t="shared" si="398"/>
        <v/>
      </c>
      <c r="IT160" s="51"/>
      <c r="IU160" s="108" t="str">
        <f t="shared" si="325"/>
        <v/>
      </c>
      <c r="IV160" s="109" t="str">
        <f t="shared" si="399"/>
        <v/>
      </c>
      <c r="IW160" s="109" t="str">
        <f t="shared" si="326"/>
        <v/>
      </c>
      <c r="IX160" s="110" t="str">
        <f t="shared" si="421"/>
        <v/>
      </c>
      <c r="IY160" s="51"/>
      <c r="IZ160" s="108" t="str">
        <f t="shared" si="400"/>
        <v/>
      </c>
      <c r="JA160" s="109" t="str">
        <f t="shared" si="401"/>
        <v/>
      </c>
      <c r="JB160" s="109" t="str">
        <f t="shared" si="327"/>
        <v/>
      </c>
      <c r="JC160" s="110" t="str">
        <f t="shared" si="402"/>
        <v/>
      </c>
      <c r="JD160" s="51"/>
      <c r="JE160" s="108" t="str">
        <f t="shared" si="328"/>
        <v/>
      </c>
      <c r="JF160" s="109" t="str">
        <f t="shared" si="403"/>
        <v/>
      </c>
      <c r="JG160" s="109" t="str">
        <f t="shared" si="329"/>
        <v/>
      </c>
      <c r="JH160" s="110" t="str">
        <f t="shared" si="422"/>
        <v/>
      </c>
      <c r="JI160" s="51"/>
      <c r="JJ160" s="108" t="str">
        <f t="shared" si="404"/>
        <v/>
      </c>
      <c r="JK160" s="109" t="str">
        <f t="shared" si="405"/>
        <v/>
      </c>
      <c r="JL160" s="109" t="str">
        <f t="shared" si="330"/>
        <v/>
      </c>
      <c r="JM160" s="110" t="str">
        <f t="shared" si="406"/>
        <v/>
      </c>
      <c r="JN160" s="51"/>
      <c r="JO160" s="108" t="str">
        <f t="shared" si="331"/>
        <v/>
      </c>
      <c r="JP160" s="109" t="str">
        <f t="shared" si="407"/>
        <v/>
      </c>
      <c r="JQ160" s="109" t="str">
        <f t="shared" si="332"/>
        <v/>
      </c>
      <c r="JR160" s="110" t="str">
        <f t="shared" si="423"/>
        <v/>
      </c>
      <c r="JS160" s="51"/>
      <c r="JT160" s="108" t="str">
        <f t="shared" si="408"/>
        <v/>
      </c>
      <c r="JU160" s="109" t="str">
        <f t="shared" si="409"/>
        <v/>
      </c>
      <c r="JV160" s="109" t="str">
        <f t="shared" si="333"/>
        <v/>
      </c>
      <c r="JW160" s="110" t="str">
        <f t="shared" si="410"/>
        <v/>
      </c>
      <c r="JX160" s="51"/>
      <c r="JY160" s="108" t="str">
        <f t="shared" si="334"/>
        <v/>
      </c>
      <c r="JZ160" s="109" t="str">
        <f t="shared" si="411"/>
        <v/>
      </c>
      <c r="KA160" s="109" t="str">
        <f t="shared" si="335"/>
        <v/>
      </c>
      <c r="KB160" s="110" t="str">
        <f t="shared" si="424"/>
        <v/>
      </c>
      <c r="KC160" s="51"/>
      <c r="KD160" s="108" t="str">
        <f t="shared" si="412"/>
        <v/>
      </c>
      <c r="KE160" s="109" t="str">
        <f t="shared" si="413"/>
        <v/>
      </c>
      <c r="KF160" s="109" t="str">
        <f t="shared" si="336"/>
        <v/>
      </c>
      <c r="KG160" s="110" t="str">
        <f t="shared" si="337"/>
        <v/>
      </c>
    </row>
    <row r="161" spans="1:293" ht="12" customHeight="1">
      <c r="A161" s="105">
        <f t="array" ref="A161">MAX(IF($J$80:J160&gt;0,$C$80:C160,0))</f>
        <v>43535</v>
      </c>
      <c r="B161" s="81" t="str">
        <f t="shared" si="248"/>
        <v/>
      </c>
      <c r="C161" s="82">
        <f t="shared" si="414"/>
        <v>0</v>
      </c>
      <c r="D161" s="83" t="str">
        <f t="shared" si="249"/>
        <v/>
      </c>
      <c r="E161" s="83" t="str">
        <f t="shared" si="338"/>
        <v/>
      </c>
      <c r="F161" s="83" t="str">
        <f t="shared" si="250"/>
        <v/>
      </c>
      <c r="G161" s="83" t="str">
        <f t="shared" si="251"/>
        <v/>
      </c>
      <c r="H161" s="83" t="str">
        <f t="shared" si="252"/>
        <v/>
      </c>
      <c r="I161" s="105">
        <f t="array" ref="I161">MAX(IF($R$80:R160&gt;0,$L$80:L160,0))</f>
        <v>0</v>
      </c>
      <c r="J161" s="106"/>
      <c r="K161" s="2" t="str">
        <f t="shared" si="253"/>
        <v/>
      </c>
      <c r="L161" s="82">
        <f t="shared" si="415"/>
        <v>0</v>
      </c>
      <c r="M161" s="83" t="str">
        <f t="shared" si="254"/>
        <v/>
      </c>
      <c r="N161" s="83" t="str">
        <f t="shared" si="255"/>
        <v/>
      </c>
      <c r="O161" s="83" t="str">
        <f t="shared" si="256"/>
        <v/>
      </c>
      <c r="P161" s="83" t="str">
        <f t="shared" si="257"/>
        <v/>
      </c>
      <c r="Q161" s="83" t="str">
        <f t="shared" si="258"/>
        <v/>
      </c>
      <c r="R161" s="106"/>
      <c r="S161" s="1"/>
      <c r="U161" s="85" t="e">
        <f t="shared" si="244"/>
        <v>#NUM!</v>
      </c>
      <c r="V161" s="86" t="e">
        <f t="shared" si="339"/>
        <v>#NUM!</v>
      </c>
      <c r="W161" s="87" t="e">
        <f t="shared" si="259"/>
        <v>#NUM!</v>
      </c>
      <c r="X161" s="87" t="e">
        <f t="shared" si="260"/>
        <v>#NUM!</v>
      </c>
      <c r="Y161" s="87" t="e">
        <f t="shared" si="261"/>
        <v>#NUM!</v>
      </c>
      <c r="Z161" s="88" t="e">
        <f t="shared" si="245"/>
        <v>#NUM!</v>
      </c>
      <c r="AA161" t="s">
        <v>282</v>
      </c>
      <c r="AB161" s="89">
        <f t="shared" si="340"/>
        <v>0</v>
      </c>
      <c r="AC161" s="87">
        <f t="shared" si="262"/>
        <v>0</v>
      </c>
      <c r="AD161" s="87" t="str">
        <f t="shared" si="263"/>
        <v/>
      </c>
      <c r="AE161" s="87" t="str">
        <f t="shared" si="264"/>
        <v/>
      </c>
      <c r="AF161" s="86">
        <f t="shared" si="341"/>
        <v>0</v>
      </c>
      <c r="AG161" s="87">
        <f t="shared" si="246"/>
        <v>0</v>
      </c>
      <c r="AH161" s="87">
        <f t="shared" si="342"/>
        <v>0</v>
      </c>
      <c r="AI161" s="90"/>
      <c r="AJ161" s="87" t="e">
        <f t="shared" si="265"/>
        <v>#NUM!</v>
      </c>
      <c r="AK161" s="87" t="e">
        <f t="shared" si="343"/>
        <v>#NUM!</v>
      </c>
      <c r="AL161" s="87" t="e">
        <f t="shared" si="344"/>
        <v>#NUM!</v>
      </c>
      <c r="AM161" s="87" t="e">
        <f t="shared" si="345"/>
        <v>#NUM!</v>
      </c>
      <c r="AN161" s="86">
        <f t="shared" si="266"/>
        <v>0</v>
      </c>
      <c r="AO161" s="87">
        <f t="shared" si="267"/>
        <v>0</v>
      </c>
      <c r="AP161" s="88">
        <f t="shared" si="268"/>
        <v>0</v>
      </c>
      <c r="AR161" s="91">
        <f t="shared" si="269"/>
        <v>0</v>
      </c>
      <c r="AS161" s="92">
        <f t="shared" si="270"/>
        <v>0</v>
      </c>
      <c r="AT161" s="87" t="str">
        <f t="shared" si="271"/>
        <v/>
      </c>
      <c r="AU161" s="87" t="str">
        <f t="shared" si="272"/>
        <v/>
      </c>
      <c r="AV161" s="86">
        <f t="shared" si="346"/>
        <v>0</v>
      </c>
      <c r="AW161" s="87">
        <f t="shared" si="347"/>
        <v>0</v>
      </c>
      <c r="AX161" s="87">
        <f t="shared" si="348"/>
        <v>0</v>
      </c>
      <c r="AY161" s="93"/>
      <c r="AZ161" s="87">
        <f t="shared" si="425"/>
        <v>0</v>
      </c>
      <c r="BA161" s="87">
        <f t="shared" si="349"/>
        <v>0</v>
      </c>
      <c r="BB161" s="87">
        <f t="shared" si="350"/>
        <v>0</v>
      </c>
      <c r="BC161" s="87">
        <f t="shared" si="416"/>
        <v>0</v>
      </c>
      <c r="BD161" s="86" t="e">
        <f t="shared" si="273"/>
        <v>#NUM!</v>
      </c>
      <c r="BE161" s="87" t="e">
        <f t="shared" si="247"/>
        <v>#NUM!</v>
      </c>
      <c r="BF161" s="88">
        <f t="shared" si="351"/>
        <v>0</v>
      </c>
      <c r="BH161" s="87" t="e">
        <f t="shared" si="274"/>
        <v>#NUM!</v>
      </c>
      <c r="BK161" s="95">
        <v>41397</v>
      </c>
      <c r="BL161" s="96">
        <v>82</v>
      </c>
      <c r="CY161" s="108" t="str">
        <f t="shared" si="275"/>
        <v/>
      </c>
      <c r="CZ161" s="109" t="str">
        <f t="shared" si="276"/>
        <v/>
      </c>
      <c r="DA161" s="109" t="str">
        <f t="shared" si="277"/>
        <v/>
      </c>
      <c r="DB161" s="110" t="str">
        <f t="shared" si="225"/>
        <v/>
      </c>
      <c r="DD161" s="108" t="str">
        <f t="shared" si="278"/>
        <v/>
      </c>
      <c r="DE161" s="109" t="str">
        <f t="shared" si="352"/>
        <v/>
      </c>
      <c r="DF161" s="109" t="str">
        <f t="shared" si="279"/>
        <v/>
      </c>
      <c r="DG161" s="110" t="str">
        <f t="shared" si="226"/>
        <v/>
      </c>
      <c r="DI161" s="108" t="str">
        <f t="shared" si="353"/>
        <v/>
      </c>
      <c r="DJ161" s="109" t="str">
        <f t="shared" si="354"/>
        <v/>
      </c>
      <c r="DK161" s="109" t="str">
        <f t="shared" si="280"/>
        <v/>
      </c>
      <c r="DL161" s="110" t="str">
        <f t="shared" si="227"/>
        <v/>
      </c>
      <c r="DN161" s="108" t="str">
        <f t="shared" si="281"/>
        <v/>
      </c>
      <c r="DO161" s="109" t="str">
        <f t="shared" si="282"/>
        <v/>
      </c>
      <c r="DP161" s="109" t="str">
        <f t="shared" si="283"/>
        <v/>
      </c>
      <c r="DQ161" s="110" t="str">
        <f t="shared" si="228"/>
        <v/>
      </c>
      <c r="DS161" s="108" t="str">
        <f t="shared" si="355"/>
        <v/>
      </c>
      <c r="DT161" s="109" t="str">
        <f t="shared" si="356"/>
        <v/>
      </c>
      <c r="DU161" s="109" t="str">
        <f t="shared" si="284"/>
        <v/>
      </c>
      <c r="DV161" s="110" t="str">
        <f t="shared" si="229"/>
        <v/>
      </c>
      <c r="DX161" s="108" t="str">
        <f t="shared" si="285"/>
        <v/>
      </c>
      <c r="DY161" s="109" t="str">
        <f t="shared" si="357"/>
        <v/>
      </c>
      <c r="DZ161" s="109" t="str">
        <f t="shared" si="286"/>
        <v/>
      </c>
      <c r="EA161" s="110" t="str">
        <f t="shared" si="230"/>
        <v/>
      </c>
      <c r="EC161" s="108" t="str">
        <f t="shared" si="358"/>
        <v/>
      </c>
      <c r="ED161" s="109" t="str">
        <f t="shared" si="359"/>
        <v/>
      </c>
      <c r="EE161" s="109" t="str">
        <f t="shared" si="287"/>
        <v/>
      </c>
      <c r="EF161" s="110" t="str">
        <f t="shared" si="231"/>
        <v/>
      </c>
      <c r="EH161" s="108" t="str">
        <f t="shared" si="288"/>
        <v/>
      </c>
      <c r="EI161" s="109" t="str">
        <f t="shared" si="360"/>
        <v/>
      </c>
      <c r="EJ161" s="109" t="str">
        <f t="shared" si="289"/>
        <v/>
      </c>
      <c r="EK161" s="110" t="str">
        <f t="shared" si="232"/>
        <v/>
      </c>
      <c r="EM161" s="108" t="str">
        <f t="shared" si="361"/>
        <v/>
      </c>
      <c r="EN161" s="109" t="str">
        <f t="shared" si="362"/>
        <v/>
      </c>
      <c r="EO161" s="109" t="str">
        <f t="shared" si="290"/>
        <v/>
      </c>
      <c r="EP161" s="110" t="str">
        <f t="shared" si="233"/>
        <v/>
      </c>
      <c r="ER161" s="108" t="str">
        <f t="shared" si="291"/>
        <v/>
      </c>
      <c r="ES161" s="109" t="str">
        <f t="shared" si="363"/>
        <v/>
      </c>
      <c r="ET161" s="109" t="str">
        <f t="shared" si="292"/>
        <v/>
      </c>
      <c r="EU161" s="110" t="str">
        <f t="shared" si="234"/>
        <v/>
      </c>
      <c r="EW161" s="108" t="str">
        <f t="shared" si="364"/>
        <v/>
      </c>
      <c r="EX161" s="109" t="str">
        <f t="shared" si="365"/>
        <v/>
      </c>
      <c r="EY161" s="109" t="str">
        <f t="shared" si="293"/>
        <v/>
      </c>
      <c r="EZ161" s="110" t="str">
        <f t="shared" si="235"/>
        <v/>
      </c>
      <c r="FB161" s="108" t="str">
        <f t="shared" si="294"/>
        <v/>
      </c>
      <c r="FC161" s="109" t="str">
        <f t="shared" si="366"/>
        <v/>
      </c>
      <c r="FD161" s="109" t="str">
        <f t="shared" si="295"/>
        <v/>
      </c>
      <c r="FE161" s="110" t="str">
        <f t="shared" si="236"/>
        <v/>
      </c>
      <c r="FG161" s="108" t="str">
        <f t="shared" si="367"/>
        <v/>
      </c>
      <c r="FH161" s="109" t="str">
        <f t="shared" si="368"/>
        <v/>
      </c>
      <c r="FI161" s="109" t="str">
        <f t="shared" si="296"/>
        <v/>
      </c>
      <c r="FJ161" s="110" t="str">
        <f t="shared" si="237"/>
        <v/>
      </c>
      <c r="FL161" s="108" t="str">
        <f t="shared" si="297"/>
        <v/>
      </c>
      <c r="FM161" s="109" t="str">
        <f t="shared" si="369"/>
        <v/>
      </c>
      <c r="FN161" s="109" t="str">
        <f t="shared" si="298"/>
        <v/>
      </c>
      <c r="FO161" s="110" t="str">
        <f t="shared" si="238"/>
        <v/>
      </c>
      <c r="FQ161" s="108" t="str">
        <f t="shared" si="370"/>
        <v/>
      </c>
      <c r="FR161" s="109" t="str">
        <f t="shared" si="371"/>
        <v/>
      </c>
      <c r="FS161" s="109" t="str">
        <f t="shared" si="299"/>
        <v/>
      </c>
      <c r="FT161" s="110" t="str">
        <f t="shared" si="239"/>
        <v/>
      </c>
      <c r="FV161" s="108" t="str">
        <f t="shared" si="300"/>
        <v/>
      </c>
      <c r="FW161" s="109" t="str">
        <f t="shared" si="372"/>
        <v/>
      </c>
      <c r="FX161" s="109" t="str">
        <f t="shared" si="301"/>
        <v/>
      </c>
      <c r="FY161" s="110" t="str">
        <f t="shared" si="240"/>
        <v/>
      </c>
      <c r="GA161" s="108" t="str">
        <f t="shared" si="373"/>
        <v/>
      </c>
      <c r="GB161" s="109" t="str">
        <f t="shared" si="374"/>
        <v/>
      </c>
      <c r="GC161" s="109" t="str">
        <f t="shared" si="302"/>
        <v/>
      </c>
      <c r="GD161" s="110" t="str">
        <f t="shared" si="241"/>
        <v/>
      </c>
      <c r="GF161" s="108" t="str">
        <f t="shared" si="303"/>
        <v/>
      </c>
      <c r="GG161" s="109" t="str">
        <f t="shared" si="375"/>
        <v/>
      </c>
      <c r="GH161" s="109" t="str">
        <f t="shared" si="304"/>
        <v/>
      </c>
      <c r="GI161" s="110" t="str">
        <f t="shared" si="242"/>
        <v/>
      </c>
      <c r="GK161" s="108" t="str">
        <f t="shared" si="376"/>
        <v/>
      </c>
      <c r="GL161" s="109" t="str">
        <f t="shared" si="377"/>
        <v/>
      </c>
      <c r="GM161" s="109" t="str">
        <f t="shared" si="378"/>
        <v/>
      </c>
      <c r="GN161" s="110" t="str">
        <f t="shared" si="243"/>
        <v/>
      </c>
      <c r="GR161" s="108" t="str">
        <f t="shared" si="305"/>
        <v/>
      </c>
      <c r="GS161" s="109" t="str">
        <f t="shared" si="306"/>
        <v/>
      </c>
      <c r="GT161" s="109" t="str">
        <f t="shared" si="307"/>
        <v/>
      </c>
      <c r="GU161" s="110" t="str">
        <f t="shared" si="308"/>
        <v/>
      </c>
      <c r="GV161" s="51"/>
      <c r="GW161" s="108" t="str">
        <f t="shared" si="309"/>
        <v/>
      </c>
      <c r="GX161" s="109" t="str">
        <f t="shared" si="379"/>
        <v/>
      </c>
      <c r="GY161" s="109" t="str">
        <f t="shared" si="310"/>
        <v/>
      </c>
      <c r="GZ161" s="110" t="str">
        <f t="shared" si="311"/>
        <v/>
      </c>
      <c r="HA161" s="51"/>
      <c r="HB161" s="108" t="str">
        <f t="shared" si="380"/>
        <v/>
      </c>
      <c r="HC161" s="109" t="str">
        <f t="shared" si="381"/>
        <v/>
      </c>
      <c r="HD161" s="109" t="str">
        <f t="shared" si="312"/>
        <v/>
      </c>
      <c r="HE161" s="110" t="str">
        <f t="shared" si="382"/>
        <v/>
      </c>
      <c r="HF161" s="51"/>
      <c r="HG161" s="108" t="str">
        <f t="shared" si="313"/>
        <v/>
      </c>
      <c r="HH161" s="109" t="str">
        <f t="shared" si="383"/>
        <v/>
      </c>
      <c r="HI161" s="109" t="str">
        <f t="shared" si="314"/>
        <v/>
      </c>
      <c r="HJ161" s="110" t="str">
        <f t="shared" si="417"/>
        <v/>
      </c>
      <c r="HK161" s="51"/>
      <c r="HL161" s="108" t="str">
        <f t="shared" si="384"/>
        <v/>
      </c>
      <c r="HM161" s="109" t="str">
        <f t="shared" si="385"/>
        <v/>
      </c>
      <c r="HN161" s="109" t="str">
        <f t="shared" si="315"/>
        <v/>
      </c>
      <c r="HO161" s="110" t="str">
        <f t="shared" si="386"/>
        <v/>
      </c>
      <c r="HP161" s="51"/>
      <c r="HQ161" s="108" t="str">
        <f t="shared" si="316"/>
        <v/>
      </c>
      <c r="HR161" s="109" t="str">
        <f t="shared" si="387"/>
        <v/>
      </c>
      <c r="HS161" s="109" t="str">
        <f t="shared" si="317"/>
        <v/>
      </c>
      <c r="HT161" s="110" t="str">
        <f t="shared" si="418"/>
        <v/>
      </c>
      <c r="HU161" s="51"/>
      <c r="HV161" s="108" t="str">
        <f t="shared" si="388"/>
        <v/>
      </c>
      <c r="HW161" s="109" t="str">
        <f t="shared" si="389"/>
        <v/>
      </c>
      <c r="HX161" s="109" t="str">
        <f t="shared" si="318"/>
        <v/>
      </c>
      <c r="HY161" s="110" t="str">
        <f t="shared" si="390"/>
        <v/>
      </c>
      <c r="HZ161" s="51"/>
      <c r="IA161" s="108" t="str">
        <f t="shared" si="319"/>
        <v/>
      </c>
      <c r="IB161" s="109" t="str">
        <f t="shared" si="391"/>
        <v/>
      </c>
      <c r="IC161" s="109" t="str">
        <f t="shared" si="320"/>
        <v/>
      </c>
      <c r="ID161" s="110" t="str">
        <f t="shared" si="419"/>
        <v/>
      </c>
      <c r="IE161" s="51"/>
      <c r="IF161" s="108" t="str">
        <f t="shared" si="392"/>
        <v/>
      </c>
      <c r="IG161" s="109" t="str">
        <f t="shared" si="393"/>
        <v/>
      </c>
      <c r="IH161" s="109" t="str">
        <f t="shared" si="321"/>
        <v/>
      </c>
      <c r="II161" s="110" t="str">
        <f t="shared" si="394"/>
        <v/>
      </c>
      <c r="IJ161" s="51"/>
      <c r="IK161" s="108" t="str">
        <f t="shared" si="322"/>
        <v/>
      </c>
      <c r="IL161" s="109" t="str">
        <f t="shared" si="395"/>
        <v/>
      </c>
      <c r="IM161" s="109" t="str">
        <f t="shared" si="323"/>
        <v/>
      </c>
      <c r="IN161" s="110" t="str">
        <f t="shared" si="420"/>
        <v/>
      </c>
      <c r="IO161" s="51"/>
      <c r="IP161" s="108" t="str">
        <f t="shared" si="396"/>
        <v/>
      </c>
      <c r="IQ161" s="109" t="str">
        <f t="shared" si="397"/>
        <v/>
      </c>
      <c r="IR161" s="109" t="str">
        <f t="shared" si="324"/>
        <v/>
      </c>
      <c r="IS161" s="110" t="str">
        <f t="shared" si="398"/>
        <v/>
      </c>
      <c r="IT161" s="51"/>
      <c r="IU161" s="108" t="str">
        <f t="shared" si="325"/>
        <v/>
      </c>
      <c r="IV161" s="109" t="str">
        <f t="shared" si="399"/>
        <v/>
      </c>
      <c r="IW161" s="109" t="str">
        <f t="shared" si="326"/>
        <v/>
      </c>
      <c r="IX161" s="110" t="str">
        <f t="shared" si="421"/>
        <v/>
      </c>
      <c r="IY161" s="51"/>
      <c r="IZ161" s="108" t="str">
        <f t="shared" si="400"/>
        <v/>
      </c>
      <c r="JA161" s="109" t="str">
        <f t="shared" si="401"/>
        <v/>
      </c>
      <c r="JB161" s="109" t="str">
        <f t="shared" si="327"/>
        <v/>
      </c>
      <c r="JC161" s="110" t="str">
        <f t="shared" si="402"/>
        <v/>
      </c>
      <c r="JD161" s="51"/>
      <c r="JE161" s="108" t="str">
        <f t="shared" si="328"/>
        <v/>
      </c>
      <c r="JF161" s="109" t="str">
        <f t="shared" si="403"/>
        <v/>
      </c>
      <c r="JG161" s="109" t="str">
        <f t="shared" si="329"/>
        <v/>
      </c>
      <c r="JH161" s="110" t="str">
        <f t="shared" si="422"/>
        <v/>
      </c>
      <c r="JI161" s="51"/>
      <c r="JJ161" s="108" t="str">
        <f t="shared" si="404"/>
        <v/>
      </c>
      <c r="JK161" s="109" t="str">
        <f t="shared" si="405"/>
        <v/>
      </c>
      <c r="JL161" s="109" t="str">
        <f t="shared" si="330"/>
        <v/>
      </c>
      <c r="JM161" s="110" t="str">
        <f t="shared" si="406"/>
        <v/>
      </c>
      <c r="JN161" s="51"/>
      <c r="JO161" s="108" t="str">
        <f t="shared" si="331"/>
        <v/>
      </c>
      <c r="JP161" s="109" t="str">
        <f t="shared" si="407"/>
        <v/>
      </c>
      <c r="JQ161" s="109" t="str">
        <f t="shared" si="332"/>
        <v/>
      </c>
      <c r="JR161" s="110" t="str">
        <f t="shared" si="423"/>
        <v/>
      </c>
      <c r="JS161" s="51"/>
      <c r="JT161" s="108" t="str">
        <f t="shared" si="408"/>
        <v/>
      </c>
      <c r="JU161" s="109" t="str">
        <f t="shared" si="409"/>
        <v/>
      </c>
      <c r="JV161" s="109" t="str">
        <f t="shared" si="333"/>
        <v/>
      </c>
      <c r="JW161" s="110" t="str">
        <f t="shared" si="410"/>
        <v/>
      </c>
      <c r="JX161" s="51"/>
      <c r="JY161" s="108" t="str">
        <f t="shared" si="334"/>
        <v/>
      </c>
      <c r="JZ161" s="109" t="str">
        <f t="shared" si="411"/>
        <v/>
      </c>
      <c r="KA161" s="109" t="str">
        <f t="shared" si="335"/>
        <v/>
      </c>
      <c r="KB161" s="110" t="str">
        <f t="shared" si="424"/>
        <v/>
      </c>
      <c r="KC161" s="51"/>
      <c r="KD161" s="108" t="str">
        <f t="shared" si="412"/>
        <v/>
      </c>
      <c r="KE161" s="109" t="str">
        <f t="shared" si="413"/>
        <v/>
      </c>
      <c r="KF161" s="109" t="str">
        <f t="shared" si="336"/>
        <v/>
      </c>
      <c r="KG161" s="110" t="str">
        <f t="shared" si="337"/>
        <v/>
      </c>
    </row>
    <row r="162" spans="1:293" ht="12" customHeight="1">
      <c r="A162" s="105">
        <f t="array" ref="A162">MAX(IF($J$80:J161&gt;0,$C$80:C161,0))</f>
        <v>43535</v>
      </c>
      <c r="B162" s="81" t="str">
        <f t="shared" si="248"/>
        <v/>
      </c>
      <c r="C162" s="82">
        <f t="shared" si="414"/>
        <v>0</v>
      </c>
      <c r="D162" s="83" t="str">
        <f t="shared" si="249"/>
        <v/>
      </c>
      <c r="E162" s="83" t="str">
        <f t="shared" si="338"/>
        <v/>
      </c>
      <c r="F162" s="83" t="str">
        <f t="shared" si="250"/>
        <v/>
      </c>
      <c r="G162" s="83" t="str">
        <f t="shared" si="251"/>
        <v/>
      </c>
      <c r="H162" s="83" t="str">
        <f t="shared" si="252"/>
        <v/>
      </c>
      <c r="I162" s="105">
        <f t="array" ref="I162">MAX(IF($R$80:R161&gt;0,$L$80:L161,0))</f>
        <v>0</v>
      </c>
      <c r="J162" s="106"/>
      <c r="K162" s="2" t="str">
        <f t="shared" si="253"/>
        <v/>
      </c>
      <c r="L162" s="82">
        <f t="shared" si="415"/>
        <v>0</v>
      </c>
      <c r="M162" s="83" t="str">
        <f t="shared" si="254"/>
        <v/>
      </c>
      <c r="N162" s="83" t="str">
        <f t="shared" si="255"/>
        <v/>
      </c>
      <c r="O162" s="83" t="str">
        <f t="shared" si="256"/>
        <v/>
      </c>
      <c r="P162" s="83" t="str">
        <f t="shared" si="257"/>
        <v/>
      </c>
      <c r="Q162" s="83" t="str">
        <f t="shared" si="258"/>
        <v/>
      </c>
      <c r="R162" s="106"/>
      <c r="S162" s="1"/>
      <c r="U162" s="85" t="e">
        <f t="shared" si="244"/>
        <v>#NUM!</v>
      </c>
      <c r="V162" s="86" t="e">
        <f t="shared" si="339"/>
        <v>#NUM!</v>
      </c>
      <c r="W162" s="87" t="e">
        <f t="shared" si="259"/>
        <v>#NUM!</v>
      </c>
      <c r="X162" s="87" t="e">
        <f t="shared" si="260"/>
        <v>#NUM!</v>
      </c>
      <c r="Y162" s="87" t="e">
        <f t="shared" si="261"/>
        <v>#NUM!</v>
      </c>
      <c r="Z162" s="88" t="e">
        <f t="shared" si="245"/>
        <v>#NUM!</v>
      </c>
      <c r="AA162" t="s">
        <v>282</v>
      </c>
      <c r="AB162" s="89">
        <f t="shared" si="340"/>
        <v>0</v>
      </c>
      <c r="AC162" s="87">
        <f t="shared" si="262"/>
        <v>0</v>
      </c>
      <c r="AD162" s="87" t="str">
        <f t="shared" si="263"/>
        <v/>
      </c>
      <c r="AE162" s="87" t="str">
        <f t="shared" si="264"/>
        <v/>
      </c>
      <c r="AF162" s="86">
        <f t="shared" si="341"/>
        <v>0</v>
      </c>
      <c r="AG162" s="87">
        <f t="shared" si="246"/>
        <v>0</v>
      </c>
      <c r="AH162" s="87">
        <f t="shared" si="342"/>
        <v>0</v>
      </c>
      <c r="AI162" s="90"/>
      <c r="AJ162" s="87" t="e">
        <f t="shared" si="265"/>
        <v>#NUM!</v>
      </c>
      <c r="AK162" s="87" t="e">
        <f t="shared" si="343"/>
        <v>#NUM!</v>
      </c>
      <c r="AL162" s="87" t="e">
        <f t="shared" si="344"/>
        <v>#NUM!</v>
      </c>
      <c r="AM162" s="87" t="e">
        <f t="shared" si="345"/>
        <v>#NUM!</v>
      </c>
      <c r="AN162" s="86">
        <f t="shared" si="266"/>
        <v>0</v>
      </c>
      <c r="AO162" s="87">
        <f t="shared" si="267"/>
        <v>0</v>
      </c>
      <c r="AP162" s="88">
        <f t="shared" si="268"/>
        <v>0</v>
      </c>
      <c r="AR162" s="91">
        <f t="shared" si="269"/>
        <v>0</v>
      </c>
      <c r="AS162" s="92">
        <f t="shared" si="270"/>
        <v>0</v>
      </c>
      <c r="AT162" s="87" t="str">
        <f t="shared" si="271"/>
        <v/>
      </c>
      <c r="AU162" s="87" t="str">
        <f t="shared" si="272"/>
        <v/>
      </c>
      <c r="AV162" s="86">
        <f t="shared" si="346"/>
        <v>0</v>
      </c>
      <c r="AW162" s="87">
        <f t="shared" si="347"/>
        <v>0</v>
      </c>
      <c r="AX162" s="87">
        <f t="shared" si="348"/>
        <v>0</v>
      </c>
      <c r="AY162" s="93"/>
      <c r="AZ162" s="87">
        <f t="shared" si="425"/>
        <v>0</v>
      </c>
      <c r="BA162" s="87">
        <f t="shared" si="349"/>
        <v>0</v>
      </c>
      <c r="BB162" s="87">
        <f t="shared" si="350"/>
        <v>0</v>
      </c>
      <c r="BC162" s="87">
        <f t="shared" si="416"/>
        <v>0</v>
      </c>
      <c r="BD162" s="86" t="e">
        <f t="shared" si="273"/>
        <v>#NUM!</v>
      </c>
      <c r="BE162" s="87" t="e">
        <f t="shared" si="247"/>
        <v>#NUM!</v>
      </c>
      <c r="BF162" s="88">
        <f t="shared" si="351"/>
        <v>0</v>
      </c>
      <c r="BH162" s="87" t="e">
        <f t="shared" si="274"/>
        <v>#NUM!</v>
      </c>
      <c r="BK162" s="95">
        <v>41400</v>
      </c>
      <c r="BL162" s="96">
        <v>83</v>
      </c>
      <c r="CY162" s="108" t="str">
        <f t="shared" si="275"/>
        <v/>
      </c>
      <c r="CZ162" s="109" t="str">
        <f t="shared" si="276"/>
        <v/>
      </c>
      <c r="DA162" s="109" t="str">
        <f t="shared" si="277"/>
        <v/>
      </c>
      <c r="DB162" s="110" t="str">
        <f t="shared" si="225"/>
        <v/>
      </c>
      <c r="DD162" s="108" t="str">
        <f t="shared" si="278"/>
        <v/>
      </c>
      <c r="DE162" s="109" t="str">
        <f t="shared" si="352"/>
        <v/>
      </c>
      <c r="DF162" s="109" t="str">
        <f t="shared" si="279"/>
        <v/>
      </c>
      <c r="DG162" s="110" t="str">
        <f t="shared" si="226"/>
        <v/>
      </c>
      <c r="DI162" s="108" t="str">
        <f t="shared" si="353"/>
        <v/>
      </c>
      <c r="DJ162" s="109" t="str">
        <f t="shared" si="354"/>
        <v/>
      </c>
      <c r="DK162" s="109" t="str">
        <f t="shared" si="280"/>
        <v/>
      </c>
      <c r="DL162" s="110" t="str">
        <f t="shared" si="227"/>
        <v/>
      </c>
      <c r="DN162" s="108" t="str">
        <f t="shared" si="281"/>
        <v/>
      </c>
      <c r="DO162" s="109" t="str">
        <f t="shared" si="282"/>
        <v/>
      </c>
      <c r="DP162" s="109" t="str">
        <f t="shared" si="283"/>
        <v/>
      </c>
      <c r="DQ162" s="110" t="str">
        <f t="shared" si="228"/>
        <v/>
      </c>
      <c r="DS162" s="108" t="str">
        <f t="shared" si="355"/>
        <v/>
      </c>
      <c r="DT162" s="109" t="str">
        <f t="shared" si="356"/>
        <v/>
      </c>
      <c r="DU162" s="109" t="str">
        <f t="shared" si="284"/>
        <v/>
      </c>
      <c r="DV162" s="110" t="str">
        <f t="shared" si="229"/>
        <v/>
      </c>
      <c r="DX162" s="108" t="str">
        <f t="shared" si="285"/>
        <v/>
      </c>
      <c r="DY162" s="109" t="str">
        <f t="shared" si="357"/>
        <v/>
      </c>
      <c r="DZ162" s="109" t="str">
        <f t="shared" si="286"/>
        <v/>
      </c>
      <c r="EA162" s="110" t="str">
        <f t="shared" si="230"/>
        <v/>
      </c>
      <c r="EC162" s="108" t="str">
        <f t="shared" si="358"/>
        <v/>
      </c>
      <c r="ED162" s="109" t="str">
        <f t="shared" si="359"/>
        <v/>
      </c>
      <c r="EE162" s="109" t="str">
        <f t="shared" si="287"/>
        <v/>
      </c>
      <c r="EF162" s="110" t="str">
        <f t="shared" si="231"/>
        <v/>
      </c>
      <c r="EH162" s="108" t="str">
        <f t="shared" si="288"/>
        <v/>
      </c>
      <c r="EI162" s="109" t="str">
        <f t="shared" si="360"/>
        <v/>
      </c>
      <c r="EJ162" s="109" t="str">
        <f t="shared" si="289"/>
        <v/>
      </c>
      <c r="EK162" s="110" t="str">
        <f t="shared" si="232"/>
        <v/>
      </c>
      <c r="EM162" s="108" t="str">
        <f t="shared" si="361"/>
        <v/>
      </c>
      <c r="EN162" s="109" t="str">
        <f t="shared" si="362"/>
        <v/>
      </c>
      <c r="EO162" s="109" t="str">
        <f t="shared" si="290"/>
        <v/>
      </c>
      <c r="EP162" s="110" t="str">
        <f t="shared" si="233"/>
        <v/>
      </c>
      <c r="ER162" s="108" t="str">
        <f t="shared" si="291"/>
        <v/>
      </c>
      <c r="ES162" s="109" t="str">
        <f t="shared" si="363"/>
        <v/>
      </c>
      <c r="ET162" s="109" t="str">
        <f t="shared" si="292"/>
        <v/>
      </c>
      <c r="EU162" s="110" t="str">
        <f t="shared" si="234"/>
        <v/>
      </c>
      <c r="EW162" s="108" t="str">
        <f t="shared" si="364"/>
        <v/>
      </c>
      <c r="EX162" s="109" t="str">
        <f t="shared" si="365"/>
        <v/>
      </c>
      <c r="EY162" s="109" t="str">
        <f t="shared" si="293"/>
        <v/>
      </c>
      <c r="EZ162" s="110" t="str">
        <f t="shared" si="235"/>
        <v/>
      </c>
      <c r="FB162" s="108" t="str">
        <f t="shared" si="294"/>
        <v/>
      </c>
      <c r="FC162" s="109" t="str">
        <f t="shared" si="366"/>
        <v/>
      </c>
      <c r="FD162" s="109" t="str">
        <f t="shared" si="295"/>
        <v/>
      </c>
      <c r="FE162" s="110" t="str">
        <f t="shared" si="236"/>
        <v/>
      </c>
      <c r="FG162" s="108" t="str">
        <f t="shared" si="367"/>
        <v/>
      </c>
      <c r="FH162" s="109" t="str">
        <f t="shared" si="368"/>
        <v/>
      </c>
      <c r="FI162" s="109" t="str">
        <f t="shared" si="296"/>
        <v/>
      </c>
      <c r="FJ162" s="110" t="str">
        <f t="shared" si="237"/>
        <v/>
      </c>
      <c r="FL162" s="108" t="str">
        <f t="shared" si="297"/>
        <v/>
      </c>
      <c r="FM162" s="109" t="str">
        <f t="shared" si="369"/>
        <v/>
      </c>
      <c r="FN162" s="109" t="str">
        <f t="shared" si="298"/>
        <v/>
      </c>
      <c r="FO162" s="110" t="str">
        <f t="shared" si="238"/>
        <v/>
      </c>
      <c r="FQ162" s="108" t="str">
        <f t="shared" si="370"/>
        <v/>
      </c>
      <c r="FR162" s="109" t="str">
        <f t="shared" si="371"/>
        <v/>
      </c>
      <c r="FS162" s="109" t="str">
        <f t="shared" si="299"/>
        <v/>
      </c>
      <c r="FT162" s="110" t="str">
        <f t="shared" si="239"/>
        <v/>
      </c>
      <c r="FV162" s="108" t="str">
        <f t="shared" si="300"/>
        <v/>
      </c>
      <c r="FW162" s="109" t="str">
        <f t="shared" si="372"/>
        <v/>
      </c>
      <c r="FX162" s="109" t="str">
        <f t="shared" si="301"/>
        <v/>
      </c>
      <c r="FY162" s="110" t="str">
        <f t="shared" si="240"/>
        <v/>
      </c>
      <c r="GA162" s="108" t="str">
        <f t="shared" si="373"/>
        <v/>
      </c>
      <c r="GB162" s="109" t="str">
        <f t="shared" si="374"/>
        <v/>
      </c>
      <c r="GC162" s="109" t="str">
        <f t="shared" si="302"/>
        <v/>
      </c>
      <c r="GD162" s="110" t="str">
        <f t="shared" si="241"/>
        <v/>
      </c>
      <c r="GF162" s="108" t="str">
        <f t="shared" si="303"/>
        <v/>
      </c>
      <c r="GG162" s="109" t="str">
        <f t="shared" si="375"/>
        <v/>
      </c>
      <c r="GH162" s="109" t="str">
        <f t="shared" si="304"/>
        <v/>
      </c>
      <c r="GI162" s="110" t="str">
        <f t="shared" si="242"/>
        <v/>
      </c>
      <c r="GK162" s="108" t="str">
        <f t="shared" si="376"/>
        <v/>
      </c>
      <c r="GL162" s="109" t="str">
        <f t="shared" si="377"/>
        <v/>
      </c>
      <c r="GM162" s="109" t="str">
        <f t="shared" si="378"/>
        <v/>
      </c>
      <c r="GN162" s="110" t="str">
        <f t="shared" si="243"/>
        <v/>
      </c>
      <c r="GR162" s="108" t="str">
        <f t="shared" si="305"/>
        <v/>
      </c>
      <c r="GS162" s="109" t="str">
        <f t="shared" si="306"/>
        <v/>
      </c>
      <c r="GT162" s="109" t="str">
        <f t="shared" si="307"/>
        <v/>
      </c>
      <c r="GU162" s="110" t="str">
        <f t="shared" si="308"/>
        <v/>
      </c>
      <c r="GV162" s="51"/>
      <c r="GW162" s="108" t="str">
        <f t="shared" si="309"/>
        <v/>
      </c>
      <c r="GX162" s="109" t="str">
        <f t="shared" si="379"/>
        <v/>
      </c>
      <c r="GY162" s="109" t="str">
        <f t="shared" si="310"/>
        <v/>
      </c>
      <c r="GZ162" s="110" t="str">
        <f t="shared" si="311"/>
        <v/>
      </c>
      <c r="HA162" s="51"/>
      <c r="HB162" s="108" t="str">
        <f t="shared" si="380"/>
        <v/>
      </c>
      <c r="HC162" s="109" t="str">
        <f t="shared" si="381"/>
        <v/>
      </c>
      <c r="HD162" s="109" t="str">
        <f t="shared" si="312"/>
        <v/>
      </c>
      <c r="HE162" s="110" t="str">
        <f t="shared" si="382"/>
        <v/>
      </c>
      <c r="HF162" s="51"/>
      <c r="HG162" s="108" t="str">
        <f t="shared" si="313"/>
        <v/>
      </c>
      <c r="HH162" s="109" t="str">
        <f t="shared" si="383"/>
        <v/>
      </c>
      <c r="HI162" s="109" t="str">
        <f t="shared" si="314"/>
        <v/>
      </c>
      <c r="HJ162" s="110" t="str">
        <f t="shared" si="417"/>
        <v/>
      </c>
      <c r="HK162" s="51"/>
      <c r="HL162" s="108" t="str">
        <f t="shared" si="384"/>
        <v/>
      </c>
      <c r="HM162" s="109" t="str">
        <f t="shared" si="385"/>
        <v/>
      </c>
      <c r="HN162" s="109" t="str">
        <f t="shared" si="315"/>
        <v/>
      </c>
      <c r="HO162" s="110" t="str">
        <f t="shared" si="386"/>
        <v/>
      </c>
      <c r="HP162" s="51"/>
      <c r="HQ162" s="108" t="str">
        <f t="shared" si="316"/>
        <v/>
      </c>
      <c r="HR162" s="109" t="str">
        <f t="shared" si="387"/>
        <v/>
      </c>
      <c r="HS162" s="109" t="str">
        <f t="shared" si="317"/>
        <v/>
      </c>
      <c r="HT162" s="110" t="str">
        <f t="shared" si="418"/>
        <v/>
      </c>
      <c r="HU162" s="51"/>
      <c r="HV162" s="108" t="str">
        <f t="shared" si="388"/>
        <v/>
      </c>
      <c r="HW162" s="109" t="str">
        <f t="shared" si="389"/>
        <v/>
      </c>
      <c r="HX162" s="109" t="str">
        <f t="shared" si="318"/>
        <v/>
      </c>
      <c r="HY162" s="110" t="str">
        <f t="shared" si="390"/>
        <v/>
      </c>
      <c r="HZ162" s="51"/>
      <c r="IA162" s="108" t="str">
        <f t="shared" si="319"/>
        <v/>
      </c>
      <c r="IB162" s="109" t="str">
        <f t="shared" si="391"/>
        <v/>
      </c>
      <c r="IC162" s="109" t="str">
        <f t="shared" si="320"/>
        <v/>
      </c>
      <c r="ID162" s="110" t="str">
        <f t="shared" si="419"/>
        <v/>
      </c>
      <c r="IE162" s="51"/>
      <c r="IF162" s="108" t="str">
        <f t="shared" si="392"/>
        <v/>
      </c>
      <c r="IG162" s="109" t="str">
        <f t="shared" si="393"/>
        <v/>
      </c>
      <c r="IH162" s="109" t="str">
        <f t="shared" si="321"/>
        <v/>
      </c>
      <c r="II162" s="110" t="str">
        <f t="shared" si="394"/>
        <v/>
      </c>
      <c r="IJ162" s="51"/>
      <c r="IK162" s="108" t="str">
        <f t="shared" si="322"/>
        <v/>
      </c>
      <c r="IL162" s="109" t="str">
        <f t="shared" si="395"/>
        <v/>
      </c>
      <c r="IM162" s="109" t="str">
        <f t="shared" si="323"/>
        <v/>
      </c>
      <c r="IN162" s="110" t="str">
        <f t="shared" si="420"/>
        <v/>
      </c>
      <c r="IO162" s="51"/>
      <c r="IP162" s="108" t="str">
        <f t="shared" si="396"/>
        <v/>
      </c>
      <c r="IQ162" s="109" t="str">
        <f t="shared" si="397"/>
        <v/>
      </c>
      <c r="IR162" s="109" t="str">
        <f t="shared" si="324"/>
        <v/>
      </c>
      <c r="IS162" s="110" t="str">
        <f t="shared" si="398"/>
        <v/>
      </c>
      <c r="IT162" s="51"/>
      <c r="IU162" s="108" t="str">
        <f t="shared" si="325"/>
        <v/>
      </c>
      <c r="IV162" s="109" t="str">
        <f t="shared" si="399"/>
        <v/>
      </c>
      <c r="IW162" s="109" t="str">
        <f t="shared" si="326"/>
        <v/>
      </c>
      <c r="IX162" s="110" t="str">
        <f t="shared" si="421"/>
        <v/>
      </c>
      <c r="IY162" s="51"/>
      <c r="IZ162" s="108" t="str">
        <f t="shared" si="400"/>
        <v/>
      </c>
      <c r="JA162" s="109" t="str">
        <f t="shared" si="401"/>
        <v/>
      </c>
      <c r="JB162" s="109" t="str">
        <f t="shared" si="327"/>
        <v/>
      </c>
      <c r="JC162" s="110" t="str">
        <f t="shared" si="402"/>
        <v/>
      </c>
      <c r="JD162" s="51"/>
      <c r="JE162" s="108" t="str">
        <f t="shared" si="328"/>
        <v/>
      </c>
      <c r="JF162" s="109" t="str">
        <f t="shared" si="403"/>
        <v/>
      </c>
      <c r="JG162" s="109" t="str">
        <f t="shared" si="329"/>
        <v/>
      </c>
      <c r="JH162" s="110" t="str">
        <f t="shared" si="422"/>
        <v/>
      </c>
      <c r="JI162" s="51"/>
      <c r="JJ162" s="108" t="str">
        <f t="shared" si="404"/>
        <v/>
      </c>
      <c r="JK162" s="109" t="str">
        <f t="shared" si="405"/>
        <v/>
      </c>
      <c r="JL162" s="109" t="str">
        <f t="shared" si="330"/>
        <v/>
      </c>
      <c r="JM162" s="110" t="str">
        <f t="shared" si="406"/>
        <v/>
      </c>
      <c r="JN162" s="51"/>
      <c r="JO162" s="108" t="str">
        <f t="shared" si="331"/>
        <v/>
      </c>
      <c r="JP162" s="109" t="str">
        <f t="shared" si="407"/>
        <v/>
      </c>
      <c r="JQ162" s="109" t="str">
        <f t="shared" si="332"/>
        <v/>
      </c>
      <c r="JR162" s="110" t="str">
        <f t="shared" si="423"/>
        <v/>
      </c>
      <c r="JS162" s="51"/>
      <c r="JT162" s="108" t="str">
        <f t="shared" si="408"/>
        <v/>
      </c>
      <c r="JU162" s="109" t="str">
        <f t="shared" si="409"/>
        <v/>
      </c>
      <c r="JV162" s="109" t="str">
        <f t="shared" si="333"/>
        <v/>
      </c>
      <c r="JW162" s="110" t="str">
        <f t="shared" si="410"/>
        <v/>
      </c>
      <c r="JX162" s="51"/>
      <c r="JY162" s="108" t="str">
        <f t="shared" si="334"/>
        <v/>
      </c>
      <c r="JZ162" s="109" t="str">
        <f t="shared" si="411"/>
        <v/>
      </c>
      <c r="KA162" s="109" t="str">
        <f t="shared" si="335"/>
        <v/>
      </c>
      <c r="KB162" s="110" t="str">
        <f t="shared" si="424"/>
        <v/>
      </c>
      <c r="KC162" s="51"/>
      <c r="KD162" s="108" t="str">
        <f t="shared" si="412"/>
        <v/>
      </c>
      <c r="KE162" s="109" t="str">
        <f t="shared" si="413"/>
        <v/>
      </c>
      <c r="KF162" s="109" t="str">
        <f t="shared" si="336"/>
        <v/>
      </c>
      <c r="KG162" s="110" t="str">
        <f t="shared" si="337"/>
        <v/>
      </c>
    </row>
    <row r="163" spans="1:293" ht="12" customHeight="1">
      <c r="A163" s="105">
        <f t="array" ref="A163">MAX(IF($J$80:J162&gt;0,$C$80:C162,0))</f>
        <v>43535</v>
      </c>
      <c r="B163" s="81" t="str">
        <f t="shared" si="248"/>
        <v/>
      </c>
      <c r="C163" s="82">
        <f t="shared" si="414"/>
        <v>0</v>
      </c>
      <c r="D163" s="83" t="str">
        <f t="shared" si="249"/>
        <v/>
      </c>
      <c r="E163" s="83" t="str">
        <f t="shared" si="338"/>
        <v/>
      </c>
      <c r="F163" s="83" t="str">
        <f t="shared" si="250"/>
        <v/>
      </c>
      <c r="G163" s="83" t="str">
        <f t="shared" si="251"/>
        <v/>
      </c>
      <c r="H163" s="83" t="str">
        <f t="shared" si="252"/>
        <v/>
      </c>
      <c r="I163" s="105">
        <f t="array" ref="I163">MAX(IF($R$80:R162&gt;0,$L$80:L162,0))</f>
        <v>0</v>
      </c>
      <c r="J163" s="106"/>
      <c r="K163" s="2" t="str">
        <f t="shared" si="253"/>
        <v/>
      </c>
      <c r="L163" s="82">
        <f t="shared" si="415"/>
        <v>0</v>
      </c>
      <c r="M163" s="83" t="str">
        <f t="shared" si="254"/>
        <v/>
      </c>
      <c r="N163" s="83" t="str">
        <f t="shared" si="255"/>
        <v/>
      </c>
      <c r="O163" s="83" t="str">
        <f t="shared" si="256"/>
        <v/>
      </c>
      <c r="P163" s="83" t="str">
        <f t="shared" si="257"/>
        <v/>
      </c>
      <c r="Q163" s="83" t="str">
        <f t="shared" si="258"/>
        <v/>
      </c>
      <c r="R163" s="106"/>
      <c r="S163" s="1"/>
      <c r="U163" s="85" t="e">
        <f t="shared" si="244"/>
        <v>#NUM!</v>
      </c>
      <c r="V163" s="86" t="e">
        <f t="shared" si="339"/>
        <v>#NUM!</v>
      </c>
      <c r="W163" s="87" t="e">
        <f t="shared" si="259"/>
        <v>#NUM!</v>
      </c>
      <c r="X163" s="87" t="e">
        <f t="shared" si="260"/>
        <v>#NUM!</v>
      </c>
      <c r="Y163" s="87" t="e">
        <f t="shared" si="261"/>
        <v>#NUM!</v>
      </c>
      <c r="Z163" s="88" t="e">
        <f t="shared" si="245"/>
        <v>#NUM!</v>
      </c>
      <c r="AA163" t="s">
        <v>282</v>
      </c>
      <c r="AB163" s="89">
        <f t="shared" si="340"/>
        <v>0</v>
      </c>
      <c r="AC163" s="87">
        <f t="shared" si="262"/>
        <v>0</v>
      </c>
      <c r="AD163" s="87" t="str">
        <f t="shared" si="263"/>
        <v/>
      </c>
      <c r="AE163" s="87" t="str">
        <f t="shared" si="264"/>
        <v/>
      </c>
      <c r="AF163" s="86">
        <f t="shared" si="341"/>
        <v>0</v>
      </c>
      <c r="AG163" s="87">
        <f t="shared" si="246"/>
        <v>0</v>
      </c>
      <c r="AH163" s="87">
        <f t="shared" si="342"/>
        <v>0</v>
      </c>
      <c r="AI163" s="90"/>
      <c r="AJ163" s="87" t="e">
        <f t="shared" si="265"/>
        <v>#NUM!</v>
      </c>
      <c r="AK163" s="87" t="e">
        <f t="shared" si="343"/>
        <v>#NUM!</v>
      </c>
      <c r="AL163" s="87" t="e">
        <f t="shared" si="344"/>
        <v>#NUM!</v>
      </c>
      <c r="AM163" s="87" t="e">
        <f t="shared" si="345"/>
        <v>#NUM!</v>
      </c>
      <c r="AN163" s="86">
        <f t="shared" si="266"/>
        <v>0</v>
      </c>
      <c r="AO163" s="87">
        <f t="shared" si="267"/>
        <v>0</v>
      </c>
      <c r="AP163" s="88">
        <f t="shared" si="268"/>
        <v>0</v>
      </c>
      <c r="AR163" s="91">
        <f t="shared" si="269"/>
        <v>0</v>
      </c>
      <c r="AS163" s="92">
        <f t="shared" si="270"/>
        <v>0</v>
      </c>
      <c r="AT163" s="87" t="str">
        <f t="shared" si="271"/>
        <v/>
      </c>
      <c r="AU163" s="87" t="str">
        <f t="shared" si="272"/>
        <v/>
      </c>
      <c r="AV163" s="86">
        <f t="shared" si="346"/>
        <v>0</v>
      </c>
      <c r="AW163" s="87">
        <f t="shared" si="347"/>
        <v>0</v>
      </c>
      <c r="AX163" s="87">
        <f t="shared" si="348"/>
        <v>0</v>
      </c>
      <c r="AY163" s="93"/>
      <c r="AZ163" s="87">
        <f t="shared" si="425"/>
        <v>0</v>
      </c>
      <c r="BA163" s="87">
        <f t="shared" si="349"/>
        <v>0</v>
      </c>
      <c r="BB163" s="87">
        <f t="shared" si="350"/>
        <v>0</v>
      </c>
      <c r="BC163" s="87">
        <f t="shared" si="416"/>
        <v>0</v>
      </c>
      <c r="BD163" s="86" t="e">
        <f t="shared" si="273"/>
        <v>#NUM!</v>
      </c>
      <c r="BE163" s="87" t="e">
        <f t="shared" si="247"/>
        <v>#NUM!</v>
      </c>
      <c r="BF163" s="88">
        <f t="shared" si="351"/>
        <v>0</v>
      </c>
      <c r="BH163" s="87" t="e">
        <f t="shared" si="274"/>
        <v>#NUM!</v>
      </c>
      <c r="BK163" s="95">
        <v>41403</v>
      </c>
      <c r="BL163" s="96">
        <v>84</v>
      </c>
      <c r="CY163" s="108" t="str">
        <f t="shared" si="275"/>
        <v/>
      </c>
      <c r="CZ163" s="109" t="str">
        <f t="shared" si="276"/>
        <v/>
      </c>
      <c r="DA163" s="109" t="str">
        <f t="shared" si="277"/>
        <v/>
      </c>
      <c r="DB163" s="110" t="str">
        <f t="shared" si="225"/>
        <v/>
      </c>
      <c r="DD163" s="108" t="str">
        <f t="shared" si="278"/>
        <v/>
      </c>
      <c r="DE163" s="109" t="str">
        <f t="shared" si="352"/>
        <v/>
      </c>
      <c r="DF163" s="109" t="str">
        <f t="shared" si="279"/>
        <v/>
      </c>
      <c r="DG163" s="110" t="str">
        <f t="shared" si="226"/>
        <v/>
      </c>
      <c r="DI163" s="108" t="str">
        <f t="shared" si="353"/>
        <v/>
      </c>
      <c r="DJ163" s="109" t="str">
        <f t="shared" si="354"/>
        <v/>
      </c>
      <c r="DK163" s="109" t="str">
        <f t="shared" si="280"/>
        <v/>
      </c>
      <c r="DL163" s="110" t="str">
        <f t="shared" si="227"/>
        <v/>
      </c>
      <c r="DN163" s="108" t="str">
        <f t="shared" si="281"/>
        <v/>
      </c>
      <c r="DO163" s="109" t="str">
        <f t="shared" si="282"/>
        <v/>
      </c>
      <c r="DP163" s="109" t="str">
        <f t="shared" si="283"/>
        <v/>
      </c>
      <c r="DQ163" s="110" t="str">
        <f t="shared" si="228"/>
        <v/>
      </c>
      <c r="DS163" s="108" t="str">
        <f t="shared" si="355"/>
        <v/>
      </c>
      <c r="DT163" s="109" t="str">
        <f t="shared" si="356"/>
        <v/>
      </c>
      <c r="DU163" s="109" t="str">
        <f t="shared" si="284"/>
        <v/>
      </c>
      <c r="DV163" s="110" t="str">
        <f t="shared" si="229"/>
        <v/>
      </c>
      <c r="DX163" s="108" t="str">
        <f t="shared" si="285"/>
        <v/>
      </c>
      <c r="DY163" s="109" t="str">
        <f t="shared" si="357"/>
        <v/>
      </c>
      <c r="DZ163" s="109" t="str">
        <f t="shared" si="286"/>
        <v/>
      </c>
      <c r="EA163" s="110" t="str">
        <f t="shared" si="230"/>
        <v/>
      </c>
      <c r="EC163" s="108" t="str">
        <f t="shared" si="358"/>
        <v/>
      </c>
      <c r="ED163" s="109" t="str">
        <f t="shared" si="359"/>
        <v/>
      </c>
      <c r="EE163" s="109" t="str">
        <f t="shared" si="287"/>
        <v/>
      </c>
      <c r="EF163" s="110" t="str">
        <f t="shared" si="231"/>
        <v/>
      </c>
      <c r="EH163" s="108" t="str">
        <f t="shared" si="288"/>
        <v/>
      </c>
      <c r="EI163" s="109" t="str">
        <f t="shared" si="360"/>
        <v/>
      </c>
      <c r="EJ163" s="109" t="str">
        <f t="shared" si="289"/>
        <v/>
      </c>
      <c r="EK163" s="110" t="str">
        <f t="shared" si="232"/>
        <v/>
      </c>
      <c r="EM163" s="108" t="str">
        <f t="shared" si="361"/>
        <v/>
      </c>
      <c r="EN163" s="109" t="str">
        <f t="shared" si="362"/>
        <v/>
      </c>
      <c r="EO163" s="109" t="str">
        <f t="shared" si="290"/>
        <v/>
      </c>
      <c r="EP163" s="110" t="str">
        <f t="shared" si="233"/>
        <v/>
      </c>
      <c r="ER163" s="108" t="str">
        <f t="shared" si="291"/>
        <v/>
      </c>
      <c r="ES163" s="109" t="str">
        <f t="shared" si="363"/>
        <v/>
      </c>
      <c r="ET163" s="109" t="str">
        <f t="shared" si="292"/>
        <v/>
      </c>
      <c r="EU163" s="110" t="str">
        <f t="shared" si="234"/>
        <v/>
      </c>
      <c r="EW163" s="108" t="str">
        <f t="shared" si="364"/>
        <v/>
      </c>
      <c r="EX163" s="109" t="str">
        <f t="shared" si="365"/>
        <v/>
      </c>
      <c r="EY163" s="109" t="str">
        <f t="shared" si="293"/>
        <v/>
      </c>
      <c r="EZ163" s="110" t="str">
        <f t="shared" si="235"/>
        <v/>
      </c>
      <c r="FB163" s="108" t="str">
        <f t="shared" si="294"/>
        <v/>
      </c>
      <c r="FC163" s="109" t="str">
        <f t="shared" si="366"/>
        <v/>
      </c>
      <c r="FD163" s="109" t="str">
        <f t="shared" si="295"/>
        <v/>
      </c>
      <c r="FE163" s="110" t="str">
        <f t="shared" si="236"/>
        <v/>
      </c>
      <c r="FG163" s="108" t="str">
        <f t="shared" si="367"/>
        <v/>
      </c>
      <c r="FH163" s="109" t="str">
        <f t="shared" si="368"/>
        <v/>
      </c>
      <c r="FI163" s="109" t="str">
        <f t="shared" si="296"/>
        <v/>
      </c>
      <c r="FJ163" s="110" t="str">
        <f t="shared" si="237"/>
        <v/>
      </c>
      <c r="FL163" s="108" t="str">
        <f t="shared" si="297"/>
        <v/>
      </c>
      <c r="FM163" s="109" t="str">
        <f t="shared" si="369"/>
        <v/>
      </c>
      <c r="FN163" s="109" t="str">
        <f t="shared" si="298"/>
        <v/>
      </c>
      <c r="FO163" s="110" t="str">
        <f t="shared" si="238"/>
        <v/>
      </c>
      <c r="FQ163" s="108" t="str">
        <f t="shared" si="370"/>
        <v/>
      </c>
      <c r="FR163" s="109" t="str">
        <f t="shared" si="371"/>
        <v/>
      </c>
      <c r="FS163" s="109" t="str">
        <f t="shared" si="299"/>
        <v/>
      </c>
      <c r="FT163" s="110" t="str">
        <f t="shared" si="239"/>
        <v/>
      </c>
      <c r="FV163" s="108" t="str">
        <f t="shared" si="300"/>
        <v/>
      </c>
      <c r="FW163" s="109" t="str">
        <f t="shared" si="372"/>
        <v/>
      </c>
      <c r="FX163" s="109" t="str">
        <f t="shared" si="301"/>
        <v/>
      </c>
      <c r="FY163" s="110" t="str">
        <f t="shared" si="240"/>
        <v/>
      </c>
      <c r="GA163" s="108" t="str">
        <f t="shared" si="373"/>
        <v/>
      </c>
      <c r="GB163" s="109" t="str">
        <f t="shared" si="374"/>
        <v/>
      </c>
      <c r="GC163" s="109" t="str">
        <f t="shared" si="302"/>
        <v/>
      </c>
      <c r="GD163" s="110" t="str">
        <f t="shared" si="241"/>
        <v/>
      </c>
      <c r="GF163" s="108" t="str">
        <f t="shared" si="303"/>
        <v/>
      </c>
      <c r="GG163" s="109" t="str">
        <f t="shared" si="375"/>
        <v/>
      </c>
      <c r="GH163" s="109" t="str">
        <f t="shared" si="304"/>
        <v/>
      </c>
      <c r="GI163" s="110" t="str">
        <f t="shared" si="242"/>
        <v/>
      </c>
      <c r="GK163" s="108" t="str">
        <f t="shared" si="376"/>
        <v/>
      </c>
      <c r="GL163" s="109" t="str">
        <f t="shared" si="377"/>
        <v/>
      </c>
      <c r="GM163" s="109" t="str">
        <f t="shared" si="378"/>
        <v/>
      </c>
      <c r="GN163" s="110" t="str">
        <f t="shared" si="243"/>
        <v/>
      </c>
      <c r="GR163" s="108" t="str">
        <f t="shared" si="305"/>
        <v/>
      </c>
      <c r="GS163" s="109" t="str">
        <f t="shared" si="306"/>
        <v/>
      </c>
      <c r="GT163" s="109" t="str">
        <f t="shared" si="307"/>
        <v/>
      </c>
      <c r="GU163" s="110" t="str">
        <f t="shared" si="308"/>
        <v/>
      </c>
      <c r="GV163" s="51"/>
      <c r="GW163" s="108" t="str">
        <f t="shared" si="309"/>
        <v/>
      </c>
      <c r="GX163" s="109" t="str">
        <f t="shared" si="379"/>
        <v/>
      </c>
      <c r="GY163" s="109" t="str">
        <f t="shared" si="310"/>
        <v/>
      </c>
      <c r="GZ163" s="110" t="str">
        <f t="shared" si="311"/>
        <v/>
      </c>
      <c r="HA163" s="51"/>
      <c r="HB163" s="108" t="str">
        <f t="shared" si="380"/>
        <v/>
      </c>
      <c r="HC163" s="109" t="str">
        <f t="shared" si="381"/>
        <v/>
      </c>
      <c r="HD163" s="109" t="str">
        <f t="shared" si="312"/>
        <v/>
      </c>
      <c r="HE163" s="110" t="str">
        <f t="shared" si="382"/>
        <v/>
      </c>
      <c r="HF163" s="51"/>
      <c r="HG163" s="108" t="str">
        <f t="shared" si="313"/>
        <v/>
      </c>
      <c r="HH163" s="109" t="str">
        <f t="shared" si="383"/>
        <v/>
      </c>
      <c r="HI163" s="109" t="str">
        <f t="shared" si="314"/>
        <v/>
      </c>
      <c r="HJ163" s="110" t="str">
        <f t="shared" si="417"/>
        <v/>
      </c>
      <c r="HK163" s="51"/>
      <c r="HL163" s="108" t="str">
        <f t="shared" si="384"/>
        <v/>
      </c>
      <c r="HM163" s="109" t="str">
        <f t="shared" si="385"/>
        <v/>
      </c>
      <c r="HN163" s="109" t="str">
        <f t="shared" si="315"/>
        <v/>
      </c>
      <c r="HO163" s="110" t="str">
        <f t="shared" si="386"/>
        <v/>
      </c>
      <c r="HP163" s="51"/>
      <c r="HQ163" s="108" t="str">
        <f t="shared" si="316"/>
        <v/>
      </c>
      <c r="HR163" s="109" t="str">
        <f t="shared" si="387"/>
        <v/>
      </c>
      <c r="HS163" s="109" t="str">
        <f t="shared" si="317"/>
        <v/>
      </c>
      <c r="HT163" s="110" t="str">
        <f t="shared" si="418"/>
        <v/>
      </c>
      <c r="HU163" s="51"/>
      <c r="HV163" s="108" t="str">
        <f t="shared" si="388"/>
        <v/>
      </c>
      <c r="HW163" s="109" t="str">
        <f t="shared" si="389"/>
        <v/>
      </c>
      <c r="HX163" s="109" t="str">
        <f t="shared" si="318"/>
        <v/>
      </c>
      <c r="HY163" s="110" t="str">
        <f t="shared" si="390"/>
        <v/>
      </c>
      <c r="HZ163" s="51"/>
      <c r="IA163" s="108" t="str">
        <f t="shared" si="319"/>
        <v/>
      </c>
      <c r="IB163" s="109" t="str">
        <f t="shared" si="391"/>
        <v/>
      </c>
      <c r="IC163" s="109" t="str">
        <f t="shared" si="320"/>
        <v/>
      </c>
      <c r="ID163" s="110" t="str">
        <f t="shared" si="419"/>
        <v/>
      </c>
      <c r="IE163" s="51"/>
      <c r="IF163" s="108" t="str">
        <f t="shared" si="392"/>
        <v/>
      </c>
      <c r="IG163" s="109" t="str">
        <f t="shared" si="393"/>
        <v/>
      </c>
      <c r="IH163" s="109" t="str">
        <f t="shared" si="321"/>
        <v/>
      </c>
      <c r="II163" s="110" t="str">
        <f t="shared" si="394"/>
        <v/>
      </c>
      <c r="IJ163" s="51"/>
      <c r="IK163" s="108" t="str">
        <f t="shared" si="322"/>
        <v/>
      </c>
      <c r="IL163" s="109" t="str">
        <f t="shared" si="395"/>
        <v/>
      </c>
      <c r="IM163" s="109" t="str">
        <f t="shared" si="323"/>
        <v/>
      </c>
      <c r="IN163" s="110" t="str">
        <f t="shared" si="420"/>
        <v/>
      </c>
      <c r="IO163" s="51"/>
      <c r="IP163" s="108" t="str">
        <f t="shared" si="396"/>
        <v/>
      </c>
      <c r="IQ163" s="109" t="str">
        <f t="shared" si="397"/>
        <v/>
      </c>
      <c r="IR163" s="109" t="str">
        <f t="shared" si="324"/>
        <v/>
      </c>
      <c r="IS163" s="110" t="str">
        <f t="shared" si="398"/>
        <v/>
      </c>
      <c r="IT163" s="51"/>
      <c r="IU163" s="108" t="str">
        <f t="shared" si="325"/>
        <v/>
      </c>
      <c r="IV163" s="109" t="str">
        <f t="shared" si="399"/>
        <v/>
      </c>
      <c r="IW163" s="109" t="str">
        <f t="shared" si="326"/>
        <v/>
      </c>
      <c r="IX163" s="110" t="str">
        <f t="shared" si="421"/>
        <v/>
      </c>
      <c r="IY163" s="51"/>
      <c r="IZ163" s="108" t="str">
        <f t="shared" si="400"/>
        <v/>
      </c>
      <c r="JA163" s="109" t="str">
        <f t="shared" si="401"/>
        <v/>
      </c>
      <c r="JB163" s="109" t="str">
        <f t="shared" si="327"/>
        <v/>
      </c>
      <c r="JC163" s="110" t="str">
        <f t="shared" si="402"/>
        <v/>
      </c>
      <c r="JD163" s="51"/>
      <c r="JE163" s="108" t="str">
        <f t="shared" si="328"/>
        <v/>
      </c>
      <c r="JF163" s="109" t="str">
        <f t="shared" si="403"/>
        <v/>
      </c>
      <c r="JG163" s="109" t="str">
        <f t="shared" si="329"/>
        <v/>
      </c>
      <c r="JH163" s="110" t="str">
        <f t="shared" si="422"/>
        <v/>
      </c>
      <c r="JI163" s="51"/>
      <c r="JJ163" s="108" t="str">
        <f t="shared" si="404"/>
        <v/>
      </c>
      <c r="JK163" s="109" t="str">
        <f t="shared" si="405"/>
        <v/>
      </c>
      <c r="JL163" s="109" t="str">
        <f t="shared" si="330"/>
        <v/>
      </c>
      <c r="JM163" s="110" t="str">
        <f t="shared" si="406"/>
        <v/>
      </c>
      <c r="JN163" s="51"/>
      <c r="JO163" s="108" t="str">
        <f t="shared" si="331"/>
        <v/>
      </c>
      <c r="JP163" s="109" t="str">
        <f t="shared" si="407"/>
        <v/>
      </c>
      <c r="JQ163" s="109" t="str">
        <f t="shared" si="332"/>
        <v/>
      </c>
      <c r="JR163" s="110" t="str">
        <f t="shared" si="423"/>
        <v/>
      </c>
      <c r="JS163" s="51"/>
      <c r="JT163" s="108" t="str">
        <f t="shared" si="408"/>
        <v/>
      </c>
      <c r="JU163" s="109" t="str">
        <f t="shared" si="409"/>
        <v/>
      </c>
      <c r="JV163" s="109" t="str">
        <f t="shared" si="333"/>
        <v/>
      </c>
      <c r="JW163" s="110" t="str">
        <f t="shared" si="410"/>
        <v/>
      </c>
      <c r="JX163" s="51"/>
      <c r="JY163" s="108" t="str">
        <f t="shared" si="334"/>
        <v/>
      </c>
      <c r="JZ163" s="109" t="str">
        <f t="shared" si="411"/>
        <v/>
      </c>
      <c r="KA163" s="109" t="str">
        <f t="shared" si="335"/>
        <v/>
      </c>
      <c r="KB163" s="110" t="str">
        <f t="shared" si="424"/>
        <v/>
      </c>
      <c r="KC163" s="51"/>
      <c r="KD163" s="108" t="str">
        <f t="shared" si="412"/>
        <v/>
      </c>
      <c r="KE163" s="109" t="str">
        <f t="shared" si="413"/>
        <v/>
      </c>
      <c r="KF163" s="109" t="str">
        <f t="shared" si="336"/>
        <v/>
      </c>
      <c r="KG163" s="110" t="str">
        <f t="shared" si="337"/>
        <v/>
      </c>
    </row>
    <row r="164" spans="1:293" ht="12" customHeight="1">
      <c r="A164" s="105">
        <f t="array" ref="A164">MAX(IF($J$80:J163&gt;0,$C$80:C163,0))</f>
        <v>43535</v>
      </c>
      <c r="B164" s="81" t="str">
        <f t="shared" si="248"/>
        <v/>
      </c>
      <c r="C164" s="82">
        <f t="shared" si="414"/>
        <v>0</v>
      </c>
      <c r="D164" s="83" t="str">
        <f t="shared" si="249"/>
        <v/>
      </c>
      <c r="E164" s="83" t="str">
        <f t="shared" si="338"/>
        <v/>
      </c>
      <c r="F164" s="83" t="str">
        <f t="shared" si="250"/>
        <v/>
      </c>
      <c r="G164" s="83" t="str">
        <f t="shared" si="251"/>
        <v/>
      </c>
      <c r="H164" s="83" t="str">
        <f t="shared" si="252"/>
        <v/>
      </c>
      <c r="I164" s="105">
        <f t="array" ref="I164">MAX(IF($R$80:R163&gt;0,$L$80:L163,0))</f>
        <v>0</v>
      </c>
      <c r="J164" s="106"/>
      <c r="K164" s="2" t="str">
        <f t="shared" si="253"/>
        <v/>
      </c>
      <c r="L164" s="82">
        <f t="shared" si="415"/>
        <v>0</v>
      </c>
      <c r="M164" s="83" t="str">
        <f t="shared" si="254"/>
        <v/>
      </c>
      <c r="N164" s="83" t="str">
        <f t="shared" si="255"/>
        <v/>
      </c>
      <c r="O164" s="83" t="str">
        <f t="shared" si="256"/>
        <v/>
      </c>
      <c r="P164" s="83" t="str">
        <f t="shared" si="257"/>
        <v/>
      </c>
      <c r="Q164" s="83" t="str">
        <f t="shared" si="258"/>
        <v/>
      </c>
      <c r="R164" s="106"/>
      <c r="S164" s="1"/>
      <c r="U164" s="85" t="e">
        <f t="shared" si="244"/>
        <v>#NUM!</v>
      </c>
      <c r="V164" s="86" t="e">
        <f t="shared" si="339"/>
        <v>#NUM!</v>
      </c>
      <c r="W164" s="87" t="e">
        <f t="shared" si="259"/>
        <v>#NUM!</v>
      </c>
      <c r="X164" s="87" t="e">
        <f t="shared" si="260"/>
        <v>#NUM!</v>
      </c>
      <c r="Y164" s="87" t="e">
        <f t="shared" si="261"/>
        <v>#NUM!</v>
      </c>
      <c r="Z164" s="88" t="e">
        <f t="shared" si="245"/>
        <v>#NUM!</v>
      </c>
      <c r="AA164" t="s">
        <v>282</v>
      </c>
      <c r="AB164" s="89">
        <f t="shared" si="340"/>
        <v>0</v>
      </c>
      <c r="AC164" s="87">
        <f t="shared" si="262"/>
        <v>0</v>
      </c>
      <c r="AD164" s="87" t="str">
        <f t="shared" si="263"/>
        <v/>
      </c>
      <c r="AE164" s="87" t="str">
        <f t="shared" si="264"/>
        <v/>
      </c>
      <c r="AF164" s="86">
        <f t="shared" si="341"/>
        <v>0</v>
      </c>
      <c r="AG164" s="87">
        <f t="shared" si="246"/>
        <v>0</v>
      </c>
      <c r="AH164" s="87">
        <f t="shared" si="342"/>
        <v>0</v>
      </c>
      <c r="AI164" s="90"/>
      <c r="AJ164" s="87" t="e">
        <f t="shared" si="265"/>
        <v>#NUM!</v>
      </c>
      <c r="AK164" s="87" t="e">
        <f t="shared" si="343"/>
        <v>#NUM!</v>
      </c>
      <c r="AL164" s="87" t="e">
        <f t="shared" si="344"/>
        <v>#NUM!</v>
      </c>
      <c r="AM164" s="87" t="e">
        <f t="shared" si="345"/>
        <v>#NUM!</v>
      </c>
      <c r="AN164" s="86">
        <f t="shared" si="266"/>
        <v>0</v>
      </c>
      <c r="AO164" s="87">
        <f t="shared" si="267"/>
        <v>0</v>
      </c>
      <c r="AP164" s="88">
        <f t="shared" si="268"/>
        <v>0</v>
      </c>
      <c r="AR164" s="91">
        <f t="shared" si="269"/>
        <v>0</v>
      </c>
      <c r="AS164" s="92">
        <f t="shared" si="270"/>
        <v>0</v>
      </c>
      <c r="AT164" s="87" t="str">
        <f t="shared" si="271"/>
        <v/>
      </c>
      <c r="AU164" s="87" t="str">
        <f t="shared" si="272"/>
        <v/>
      </c>
      <c r="AV164" s="86">
        <f t="shared" si="346"/>
        <v>0</v>
      </c>
      <c r="AW164" s="87">
        <f t="shared" si="347"/>
        <v>0</v>
      </c>
      <c r="AX164" s="87">
        <f t="shared" si="348"/>
        <v>0</v>
      </c>
      <c r="AY164" s="93"/>
      <c r="AZ164" s="87">
        <f t="shared" si="425"/>
        <v>0</v>
      </c>
      <c r="BA164" s="87">
        <f t="shared" si="349"/>
        <v>0</v>
      </c>
      <c r="BB164" s="87">
        <f t="shared" si="350"/>
        <v>0</v>
      </c>
      <c r="BC164" s="87">
        <f t="shared" si="416"/>
        <v>0</v>
      </c>
      <c r="BD164" s="86" t="e">
        <f t="shared" si="273"/>
        <v>#NUM!</v>
      </c>
      <c r="BE164" s="87" t="e">
        <f t="shared" si="247"/>
        <v>#NUM!</v>
      </c>
      <c r="BF164" s="88">
        <f t="shared" si="351"/>
        <v>0</v>
      </c>
      <c r="BH164" s="87" t="e">
        <f t="shared" si="274"/>
        <v>#NUM!</v>
      </c>
      <c r="BK164" s="95">
        <v>41406</v>
      </c>
      <c r="BL164" s="96">
        <v>85</v>
      </c>
      <c r="CY164" s="108" t="str">
        <f t="shared" si="275"/>
        <v/>
      </c>
      <c r="CZ164" s="109" t="str">
        <f t="shared" si="276"/>
        <v/>
      </c>
      <c r="DA164" s="109" t="str">
        <f t="shared" si="277"/>
        <v/>
      </c>
      <c r="DB164" s="110" t="str">
        <f t="shared" si="225"/>
        <v/>
      </c>
      <c r="DD164" s="108" t="str">
        <f t="shared" si="278"/>
        <v/>
      </c>
      <c r="DE164" s="109" t="str">
        <f t="shared" si="352"/>
        <v/>
      </c>
      <c r="DF164" s="109" t="str">
        <f t="shared" si="279"/>
        <v/>
      </c>
      <c r="DG164" s="110" t="str">
        <f t="shared" si="226"/>
        <v/>
      </c>
      <c r="DI164" s="108" t="str">
        <f t="shared" si="353"/>
        <v/>
      </c>
      <c r="DJ164" s="109" t="str">
        <f t="shared" si="354"/>
        <v/>
      </c>
      <c r="DK164" s="109" t="str">
        <f t="shared" si="280"/>
        <v/>
      </c>
      <c r="DL164" s="110" t="str">
        <f t="shared" si="227"/>
        <v/>
      </c>
      <c r="DN164" s="108" t="str">
        <f t="shared" si="281"/>
        <v/>
      </c>
      <c r="DO164" s="109" t="str">
        <f t="shared" si="282"/>
        <v/>
      </c>
      <c r="DP164" s="109" t="str">
        <f t="shared" si="283"/>
        <v/>
      </c>
      <c r="DQ164" s="110" t="str">
        <f t="shared" si="228"/>
        <v/>
      </c>
      <c r="DS164" s="108" t="str">
        <f t="shared" si="355"/>
        <v/>
      </c>
      <c r="DT164" s="109" t="str">
        <f t="shared" si="356"/>
        <v/>
      </c>
      <c r="DU164" s="109" t="str">
        <f t="shared" si="284"/>
        <v/>
      </c>
      <c r="DV164" s="110" t="str">
        <f t="shared" si="229"/>
        <v/>
      </c>
      <c r="DX164" s="108" t="str">
        <f t="shared" si="285"/>
        <v/>
      </c>
      <c r="DY164" s="109" t="str">
        <f t="shared" si="357"/>
        <v/>
      </c>
      <c r="DZ164" s="109" t="str">
        <f t="shared" si="286"/>
        <v/>
      </c>
      <c r="EA164" s="110" t="str">
        <f t="shared" si="230"/>
        <v/>
      </c>
      <c r="EC164" s="108" t="str">
        <f t="shared" si="358"/>
        <v/>
      </c>
      <c r="ED164" s="109" t="str">
        <f t="shared" si="359"/>
        <v/>
      </c>
      <c r="EE164" s="109" t="str">
        <f t="shared" si="287"/>
        <v/>
      </c>
      <c r="EF164" s="110" t="str">
        <f t="shared" si="231"/>
        <v/>
      </c>
      <c r="EH164" s="108" t="str">
        <f t="shared" si="288"/>
        <v/>
      </c>
      <c r="EI164" s="109" t="str">
        <f t="shared" si="360"/>
        <v/>
      </c>
      <c r="EJ164" s="109" t="str">
        <f t="shared" si="289"/>
        <v/>
      </c>
      <c r="EK164" s="110" t="str">
        <f t="shared" si="232"/>
        <v/>
      </c>
      <c r="EM164" s="108" t="str">
        <f t="shared" si="361"/>
        <v/>
      </c>
      <c r="EN164" s="109" t="str">
        <f t="shared" si="362"/>
        <v/>
      </c>
      <c r="EO164" s="109" t="str">
        <f t="shared" si="290"/>
        <v/>
      </c>
      <c r="EP164" s="110" t="str">
        <f t="shared" si="233"/>
        <v/>
      </c>
      <c r="ER164" s="108" t="str">
        <f t="shared" si="291"/>
        <v/>
      </c>
      <c r="ES164" s="109" t="str">
        <f t="shared" si="363"/>
        <v/>
      </c>
      <c r="ET164" s="109" t="str">
        <f t="shared" si="292"/>
        <v/>
      </c>
      <c r="EU164" s="110" t="str">
        <f t="shared" si="234"/>
        <v/>
      </c>
      <c r="EW164" s="108" t="str">
        <f t="shared" si="364"/>
        <v/>
      </c>
      <c r="EX164" s="109" t="str">
        <f t="shared" si="365"/>
        <v/>
      </c>
      <c r="EY164" s="109" t="str">
        <f t="shared" si="293"/>
        <v/>
      </c>
      <c r="EZ164" s="110" t="str">
        <f t="shared" si="235"/>
        <v/>
      </c>
      <c r="FB164" s="108" t="str">
        <f t="shared" si="294"/>
        <v/>
      </c>
      <c r="FC164" s="109" t="str">
        <f t="shared" si="366"/>
        <v/>
      </c>
      <c r="FD164" s="109" t="str">
        <f t="shared" si="295"/>
        <v/>
      </c>
      <c r="FE164" s="110" t="str">
        <f t="shared" si="236"/>
        <v/>
      </c>
      <c r="FG164" s="108" t="str">
        <f t="shared" si="367"/>
        <v/>
      </c>
      <c r="FH164" s="109" t="str">
        <f t="shared" si="368"/>
        <v/>
      </c>
      <c r="FI164" s="109" t="str">
        <f t="shared" si="296"/>
        <v/>
      </c>
      <c r="FJ164" s="110" t="str">
        <f t="shared" si="237"/>
        <v/>
      </c>
      <c r="FL164" s="108" t="str">
        <f t="shared" si="297"/>
        <v/>
      </c>
      <c r="FM164" s="109" t="str">
        <f t="shared" si="369"/>
        <v/>
      </c>
      <c r="FN164" s="109" t="str">
        <f t="shared" si="298"/>
        <v/>
      </c>
      <c r="FO164" s="110" t="str">
        <f t="shared" si="238"/>
        <v/>
      </c>
      <c r="FQ164" s="108" t="str">
        <f t="shared" si="370"/>
        <v/>
      </c>
      <c r="FR164" s="109" t="str">
        <f t="shared" si="371"/>
        <v/>
      </c>
      <c r="FS164" s="109" t="str">
        <f t="shared" si="299"/>
        <v/>
      </c>
      <c r="FT164" s="110" t="str">
        <f t="shared" si="239"/>
        <v/>
      </c>
      <c r="FV164" s="108" t="str">
        <f t="shared" si="300"/>
        <v/>
      </c>
      <c r="FW164" s="109" t="str">
        <f t="shared" si="372"/>
        <v/>
      </c>
      <c r="FX164" s="109" t="str">
        <f t="shared" si="301"/>
        <v/>
      </c>
      <c r="FY164" s="110" t="str">
        <f t="shared" si="240"/>
        <v/>
      </c>
      <c r="GA164" s="108" t="str">
        <f t="shared" si="373"/>
        <v/>
      </c>
      <c r="GB164" s="109" t="str">
        <f t="shared" si="374"/>
        <v/>
      </c>
      <c r="GC164" s="109" t="str">
        <f t="shared" si="302"/>
        <v/>
      </c>
      <c r="GD164" s="110" t="str">
        <f t="shared" si="241"/>
        <v/>
      </c>
      <c r="GF164" s="108" t="str">
        <f t="shared" si="303"/>
        <v/>
      </c>
      <c r="GG164" s="109" t="str">
        <f t="shared" si="375"/>
        <v/>
      </c>
      <c r="GH164" s="109" t="str">
        <f t="shared" si="304"/>
        <v/>
      </c>
      <c r="GI164" s="110" t="str">
        <f t="shared" si="242"/>
        <v/>
      </c>
      <c r="GK164" s="108" t="str">
        <f t="shared" si="376"/>
        <v/>
      </c>
      <c r="GL164" s="109" t="str">
        <f t="shared" si="377"/>
        <v/>
      </c>
      <c r="GM164" s="109" t="str">
        <f t="shared" si="378"/>
        <v/>
      </c>
      <c r="GN164" s="110" t="str">
        <f t="shared" si="243"/>
        <v/>
      </c>
      <c r="GR164" s="108" t="str">
        <f t="shared" si="305"/>
        <v/>
      </c>
      <c r="GS164" s="109" t="str">
        <f t="shared" si="306"/>
        <v/>
      </c>
      <c r="GT164" s="109" t="str">
        <f t="shared" si="307"/>
        <v/>
      </c>
      <c r="GU164" s="110" t="str">
        <f t="shared" si="308"/>
        <v/>
      </c>
      <c r="GV164" s="51"/>
      <c r="GW164" s="108" t="str">
        <f t="shared" si="309"/>
        <v/>
      </c>
      <c r="GX164" s="109" t="str">
        <f t="shared" si="379"/>
        <v/>
      </c>
      <c r="GY164" s="109" t="str">
        <f t="shared" si="310"/>
        <v/>
      </c>
      <c r="GZ164" s="110" t="str">
        <f t="shared" si="311"/>
        <v/>
      </c>
      <c r="HA164" s="51"/>
      <c r="HB164" s="108" t="str">
        <f t="shared" si="380"/>
        <v/>
      </c>
      <c r="HC164" s="109" t="str">
        <f t="shared" si="381"/>
        <v/>
      </c>
      <c r="HD164" s="109" t="str">
        <f t="shared" si="312"/>
        <v/>
      </c>
      <c r="HE164" s="110" t="str">
        <f t="shared" si="382"/>
        <v/>
      </c>
      <c r="HF164" s="51"/>
      <c r="HG164" s="108" t="str">
        <f t="shared" si="313"/>
        <v/>
      </c>
      <c r="HH164" s="109" t="str">
        <f t="shared" si="383"/>
        <v/>
      </c>
      <c r="HI164" s="109" t="str">
        <f t="shared" si="314"/>
        <v/>
      </c>
      <c r="HJ164" s="110" t="str">
        <f t="shared" si="417"/>
        <v/>
      </c>
      <c r="HK164" s="51"/>
      <c r="HL164" s="108" t="str">
        <f t="shared" si="384"/>
        <v/>
      </c>
      <c r="HM164" s="109" t="str">
        <f t="shared" si="385"/>
        <v/>
      </c>
      <c r="HN164" s="109" t="str">
        <f t="shared" si="315"/>
        <v/>
      </c>
      <c r="HO164" s="110" t="str">
        <f t="shared" si="386"/>
        <v/>
      </c>
      <c r="HP164" s="51"/>
      <c r="HQ164" s="108" t="str">
        <f t="shared" si="316"/>
        <v/>
      </c>
      <c r="HR164" s="109" t="str">
        <f t="shared" si="387"/>
        <v/>
      </c>
      <c r="HS164" s="109" t="str">
        <f t="shared" si="317"/>
        <v/>
      </c>
      <c r="HT164" s="110" t="str">
        <f t="shared" si="418"/>
        <v/>
      </c>
      <c r="HU164" s="51"/>
      <c r="HV164" s="108" t="str">
        <f t="shared" si="388"/>
        <v/>
      </c>
      <c r="HW164" s="109" t="str">
        <f t="shared" si="389"/>
        <v/>
      </c>
      <c r="HX164" s="109" t="str">
        <f t="shared" si="318"/>
        <v/>
      </c>
      <c r="HY164" s="110" t="str">
        <f t="shared" si="390"/>
        <v/>
      </c>
      <c r="HZ164" s="51"/>
      <c r="IA164" s="108" t="str">
        <f t="shared" si="319"/>
        <v/>
      </c>
      <c r="IB164" s="109" t="str">
        <f t="shared" si="391"/>
        <v/>
      </c>
      <c r="IC164" s="109" t="str">
        <f t="shared" si="320"/>
        <v/>
      </c>
      <c r="ID164" s="110" t="str">
        <f t="shared" si="419"/>
        <v/>
      </c>
      <c r="IE164" s="51"/>
      <c r="IF164" s="108" t="str">
        <f t="shared" si="392"/>
        <v/>
      </c>
      <c r="IG164" s="109" t="str">
        <f t="shared" si="393"/>
        <v/>
      </c>
      <c r="IH164" s="109" t="str">
        <f t="shared" si="321"/>
        <v/>
      </c>
      <c r="II164" s="110" t="str">
        <f t="shared" si="394"/>
        <v/>
      </c>
      <c r="IJ164" s="51"/>
      <c r="IK164" s="108" t="str">
        <f t="shared" si="322"/>
        <v/>
      </c>
      <c r="IL164" s="109" t="str">
        <f t="shared" si="395"/>
        <v/>
      </c>
      <c r="IM164" s="109" t="str">
        <f t="shared" si="323"/>
        <v/>
      </c>
      <c r="IN164" s="110" t="str">
        <f t="shared" si="420"/>
        <v/>
      </c>
      <c r="IO164" s="51"/>
      <c r="IP164" s="108" t="str">
        <f t="shared" si="396"/>
        <v/>
      </c>
      <c r="IQ164" s="109" t="str">
        <f t="shared" si="397"/>
        <v/>
      </c>
      <c r="IR164" s="109" t="str">
        <f t="shared" si="324"/>
        <v/>
      </c>
      <c r="IS164" s="110" t="str">
        <f t="shared" si="398"/>
        <v/>
      </c>
      <c r="IT164" s="51"/>
      <c r="IU164" s="108" t="str">
        <f t="shared" si="325"/>
        <v/>
      </c>
      <c r="IV164" s="109" t="str">
        <f t="shared" si="399"/>
        <v/>
      </c>
      <c r="IW164" s="109" t="str">
        <f t="shared" si="326"/>
        <v/>
      </c>
      <c r="IX164" s="110" t="str">
        <f t="shared" si="421"/>
        <v/>
      </c>
      <c r="IY164" s="51"/>
      <c r="IZ164" s="108" t="str">
        <f t="shared" si="400"/>
        <v/>
      </c>
      <c r="JA164" s="109" t="str">
        <f t="shared" si="401"/>
        <v/>
      </c>
      <c r="JB164" s="109" t="str">
        <f t="shared" si="327"/>
        <v/>
      </c>
      <c r="JC164" s="110" t="str">
        <f t="shared" si="402"/>
        <v/>
      </c>
      <c r="JD164" s="51"/>
      <c r="JE164" s="108" t="str">
        <f t="shared" si="328"/>
        <v/>
      </c>
      <c r="JF164" s="109" t="str">
        <f t="shared" si="403"/>
        <v/>
      </c>
      <c r="JG164" s="109" t="str">
        <f t="shared" si="329"/>
        <v/>
      </c>
      <c r="JH164" s="110" t="str">
        <f t="shared" si="422"/>
        <v/>
      </c>
      <c r="JI164" s="51"/>
      <c r="JJ164" s="108" t="str">
        <f t="shared" si="404"/>
        <v/>
      </c>
      <c r="JK164" s="109" t="str">
        <f t="shared" si="405"/>
        <v/>
      </c>
      <c r="JL164" s="109" t="str">
        <f t="shared" si="330"/>
        <v/>
      </c>
      <c r="JM164" s="110" t="str">
        <f t="shared" si="406"/>
        <v/>
      </c>
      <c r="JN164" s="51"/>
      <c r="JO164" s="108" t="str">
        <f t="shared" si="331"/>
        <v/>
      </c>
      <c r="JP164" s="109" t="str">
        <f t="shared" si="407"/>
        <v/>
      </c>
      <c r="JQ164" s="109" t="str">
        <f t="shared" si="332"/>
        <v/>
      </c>
      <c r="JR164" s="110" t="str">
        <f t="shared" si="423"/>
        <v/>
      </c>
      <c r="JS164" s="51"/>
      <c r="JT164" s="108" t="str">
        <f t="shared" si="408"/>
        <v/>
      </c>
      <c r="JU164" s="109" t="str">
        <f t="shared" si="409"/>
        <v/>
      </c>
      <c r="JV164" s="109" t="str">
        <f t="shared" si="333"/>
        <v/>
      </c>
      <c r="JW164" s="110" t="str">
        <f t="shared" si="410"/>
        <v/>
      </c>
      <c r="JX164" s="51"/>
      <c r="JY164" s="108" t="str">
        <f t="shared" si="334"/>
        <v/>
      </c>
      <c r="JZ164" s="109" t="str">
        <f t="shared" si="411"/>
        <v/>
      </c>
      <c r="KA164" s="109" t="str">
        <f t="shared" si="335"/>
        <v/>
      </c>
      <c r="KB164" s="110" t="str">
        <f t="shared" si="424"/>
        <v/>
      </c>
      <c r="KC164" s="51"/>
      <c r="KD164" s="108" t="str">
        <f t="shared" si="412"/>
        <v/>
      </c>
      <c r="KE164" s="109" t="str">
        <f t="shared" si="413"/>
        <v/>
      </c>
      <c r="KF164" s="109" t="str">
        <f t="shared" si="336"/>
        <v/>
      </c>
      <c r="KG164" s="110" t="str">
        <f t="shared" si="337"/>
        <v/>
      </c>
    </row>
    <row r="165" spans="1:293" ht="12" customHeight="1">
      <c r="A165" s="105">
        <f t="array" ref="A165">MAX(IF($J$80:J164&gt;0,$C$80:C164,0))</f>
        <v>43535</v>
      </c>
      <c r="B165" s="81" t="str">
        <f t="shared" si="248"/>
        <v/>
      </c>
      <c r="C165" s="82">
        <f t="shared" si="414"/>
        <v>0</v>
      </c>
      <c r="D165" s="83" t="str">
        <f t="shared" si="249"/>
        <v/>
      </c>
      <c r="E165" s="83" t="str">
        <f t="shared" si="338"/>
        <v/>
      </c>
      <c r="F165" s="83" t="str">
        <f t="shared" si="250"/>
        <v/>
      </c>
      <c r="G165" s="83" t="str">
        <f t="shared" si="251"/>
        <v/>
      </c>
      <c r="H165" s="83" t="str">
        <f t="shared" si="252"/>
        <v/>
      </c>
      <c r="I165" s="105">
        <f t="array" ref="I165">MAX(IF($R$80:R164&gt;0,$L$80:L164,0))</f>
        <v>0</v>
      </c>
      <c r="J165" s="106"/>
      <c r="K165" s="2" t="str">
        <f t="shared" si="253"/>
        <v/>
      </c>
      <c r="L165" s="82">
        <f t="shared" si="415"/>
        <v>0</v>
      </c>
      <c r="M165" s="83" t="str">
        <f t="shared" si="254"/>
        <v/>
      </c>
      <c r="N165" s="83" t="str">
        <f t="shared" si="255"/>
        <v/>
      </c>
      <c r="O165" s="83" t="str">
        <f t="shared" si="256"/>
        <v/>
      </c>
      <c r="P165" s="83" t="str">
        <f t="shared" si="257"/>
        <v/>
      </c>
      <c r="Q165" s="83" t="str">
        <f t="shared" si="258"/>
        <v/>
      </c>
      <c r="R165" s="106"/>
      <c r="S165" s="1"/>
      <c r="U165" s="85" t="e">
        <f t="shared" si="244"/>
        <v>#NUM!</v>
      </c>
      <c r="V165" s="86" t="e">
        <f t="shared" si="339"/>
        <v>#NUM!</v>
      </c>
      <c r="W165" s="87" t="e">
        <f t="shared" si="259"/>
        <v>#NUM!</v>
      </c>
      <c r="X165" s="87" t="e">
        <f t="shared" si="260"/>
        <v>#NUM!</v>
      </c>
      <c r="Y165" s="87" t="e">
        <f t="shared" si="261"/>
        <v>#NUM!</v>
      </c>
      <c r="Z165" s="88" t="e">
        <f t="shared" si="245"/>
        <v>#NUM!</v>
      </c>
      <c r="AA165" t="s">
        <v>282</v>
      </c>
      <c r="AB165" s="89">
        <f t="shared" si="340"/>
        <v>0</v>
      </c>
      <c r="AC165" s="87">
        <f t="shared" si="262"/>
        <v>0</v>
      </c>
      <c r="AD165" s="87" t="str">
        <f t="shared" si="263"/>
        <v/>
      </c>
      <c r="AE165" s="87" t="str">
        <f t="shared" si="264"/>
        <v/>
      </c>
      <c r="AF165" s="86">
        <f t="shared" si="341"/>
        <v>0</v>
      </c>
      <c r="AG165" s="87">
        <f t="shared" si="246"/>
        <v>0</v>
      </c>
      <c r="AH165" s="87">
        <f t="shared" si="342"/>
        <v>0</v>
      </c>
      <c r="AI165" s="90"/>
      <c r="AJ165" s="87" t="e">
        <f t="shared" si="265"/>
        <v>#NUM!</v>
      </c>
      <c r="AK165" s="87" t="e">
        <f t="shared" si="343"/>
        <v>#NUM!</v>
      </c>
      <c r="AL165" s="87" t="e">
        <f t="shared" si="344"/>
        <v>#NUM!</v>
      </c>
      <c r="AM165" s="87" t="e">
        <f t="shared" si="345"/>
        <v>#NUM!</v>
      </c>
      <c r="AN165" s="86">
        <f t="shared" si="266"/>
        <v>0</v>
      </c>
      <c r="AO165" s="87">
        <f t="shared" si="267"/>
        <v>0</v>
      </c>
      <c r="AP165" s="88">
        <f t="shared" si="268"/>
        <v>0</v>
      </c>
      <c r="AR165" s="91">
        <f t="shared" si="269"/>
        <v>0</v>
      </c>
      <c r="AS165" s="92">
        <f t="shared" si="270"/>
        <v>0</v>
      </c>
      <c r="AT165" s="87" t="str">
        <f t="shared" si="271"/>
        <v/>
      </c>
      <c r="AU165" s="87" t="str">
        <f t="shared" si="272"/>
        <v/>
      </c>
      <c r="AV165" s="86">
        <f t="shared" si="346"/>
        <v>0</v>
      </c>
      <c r="AW165" s="87">
        <f t="shared" si="347"/>
        <v>0</v>
      </c>
      <c r="AX165" s="87">
        <f t="shared" si="348"/>
        <v>0</v>
      </c>
      <c r="AY165" s="93"/>
      <c r="AZ165" s="87">
        <f t="shared" si="425"/>
        <v>0</v>
      </c>
      <c r="BA165" s="87">
        <f t="shared" si="349"/>
        <v>0</v>
      </c>
      <c r="BB165" s="87">
        <f t="shared" si="350"/>
        <v>0</v>
      </c>
      <c r="BC165" s="87">
        <f t="shared" si="416"/>
        <v>0</v>
      </c>
      <c r="BD165" s="86" t="e">
        <f t="shared" si="273"/>
        <v>#NUM!</v>
      </c>
      <c r="BE165" s="87" t="e">
        <f t="shared" si="247"/>
        <v>#NUM!</v>
      </c>
      <c r="BF165" s="88">
        <f t="shared" si="351"/>
        <v>0</v>
      </c>
      <c r="BH165" s="87" t="e">
        <f t="shared" si="274"/>
        <v>#NUM!</v>
      </c>
      <c r="BK165" s="95">
        <v>41420</v>
      </c>
      <c r="BL165" s="96">
        <v>86</v>
      </c>
      <c r="CY165" s="108" t="str">
        <f t="shared" si="275"/>
        <v/>
      </c>
      <c r="CZ165" s="109" t="str">
        <f t="shared" si="276"/>
        <v/>
      </c>
      <c r="DA165" s="109" t="str">
        <f t="shared" si="277"/>
        <v/>
      </c>
      <c r="DB165" s="110" t="str">
        <f t="shared" si="225"/>
        <v/>
      </c>
      <c r="DD165" s="108" t="str">
        <f t="shared" si="278"/>
        <v/>
      </c>
      <c r="DE165" s="109" t="str">
        <f t="shared" si="352"/>
        <v/>
      </c>
      <c r="DF165" s="109" t="str">
        <f t="shared" si="279"/>
        <v/>
      </c>
      <c r="DG165" s="110" t="str">
        <f t="shared" si="226"/>
        <v/>
      </c>
      <c r="DI165" s="108" t="str">
        <f t="shared" si="353"/>
        <v/>
      </c>
      <c r="DJ165" s="109" t="str">
        <f t="shared" si="354"/>
        <v/>
      </c>
      <c r="DK165" s="109" t="str">
        <f t="shared" si="280"/>
        <v/>
      </c>
      <c r="DL165" s="110" t="str">
        <f t="shared" si="227"/>
        <v/>
      </c>
      <c r="DN165" s="108" t="str">
        <f t="shared" si="281"/>
        <v/>
      </c>
      <c r="DO165" s="109" t="str">
        <f t="shared" si="282"/>
        <v/>
      </c>
      <c r="DP165" s="109" t="str">
        <f t="shared" si="283"/>
        <v/>
      </c>
      <c r="DQ165" s="110" t="str">
        <f t="shared" si="228"/>
        <v/>
      </c>
      <c r="DS165" s="108" t="str">
        <f t="shared" si="355"/>
        <v/>
      </c>
      <c r="DT165" s="109" t="str">
        <f t="shared" si="356"/>
        <v/>
      </c>
      <c r="DU165" s="109" t="str">
        <f t="shared" si="284"/>
        <v/>
      </c>
      <c r="DV165" s="110" t="str">
        <f t="shared" si="229"/>
        <v/>
      </c>
      <c r="DX165" s="108" t="str">
        <f t="shared" si="285"/>
        <v/>
      </c>
      <c r="DY165" s="109" t="str">
        <f t="shared" si="357"/>
        <v/>
      </c>
      <c r="DZ165" s="109" t="str">
        <f t="shared" si="286"/>
        <v/>
      </c>
      <c r="EA165" s="110" t="str">
        <f t="shared" si="230"/>
        <v/>
      </c>
      <c r="EC165" s="108" t="str">
        <f t="shared" si="358"/>
        <v/>
      </c>
      <c r="ED165" s="109" t="str">
        <f t="shared" si="359"/>
        <v/>
      </c>
      <c r="EE165" s="109" t="str">
        <f t="shared" si="287"/>
        <v/>
      </c>
      <c r="EF165" s="110" t="str">
        <f t="shared" si="231"/>
        <v/>
      </c>
      <c r="EH165" s="108" t="str">
        <f t="shared" si="288"/>
        <v/>
      </c>
      <c r="EI165" s="109" t="str">
        <f t="shared" si="360"/>
        <v/>
      </c>
      <c r="EJ165" s="109" t="str">
        <f t="shared" si="289"/>
        <v/>
      </c>
      <c r="EK165" s="110" t="str">
        <f t="shared" si="232"/>
        <v/>
      </c>
      <c r="EM165" s="108" t="str">
        <f t="shared" si="361"/>
        <v/>
      </c>
      <c r="EN165" s="109" t="str">
        <f t="shared" si="362"/>
        <v/>
      </c>
      <c r="EO165" s="109" t="str">
        <f t="shared" si="290"/>
        <v/>
      </c>
      <c r="EP165" s="110" t="str">
        <f t="shared" si="233"/>
        <v/>
      </c>
      <c r="ER165" s="108" t="str">
        <f t="shared" si="291"/>
        <v/>
      </c>
      <c r="ES165" s="109" t="str">
        <f t="shared" si="363"/>
        <v/>
      </c>
      <c r="ET165" s="109" t="str">
        <f t="shared" si="292"/>
        <v/>
      </c>
      <c r="EU165" s="110" t="str">
        <f t="shared" si="234"/>
        <v/>
      </c>
      <c r="EW165" s="108" t="str">
        <f t="shared" si="364"/>
        <v/>
      </c>
      <c r="EX165" s="109" t="str">
        <f t="shared" si="365"/>
        <v/>
      </c>
      <c r="EY165" s="109" t="str">
        <f t="shared" si="293"/>
        <v/>
      </c>
      <c r="EZ165" s="110" t="str">
        <f t="shared" si="235"/>
        <v/>
      </c>
      <c r="FB165" s="108" t="str">
        <f t="shared" si="294"/>
        <v/>
      </c>
      <c r="FC165" s="109" t="str">
        <f t="shared" si="366"/>
        <v/>
      </c>
      <c r="FD165" s="109" t="str">
        <f t="shared" si="295"/>
        <v/>
      </c>
      <c r="FE165" s="110" t="str">
        <f t="shared" si="236"/>
        <v/>
      </c>
      <c r="FG165" s="108" t="str">
        <f t="shared" si="367"/>
        <v/>
      </c>
      <c r="FH165" s="109" t="str">
        <f t="shared" si="368"/>
        <v/>
      </c>
      <c r="FI165" s="109" t="str">
        <f t="shared" si="296"/>
        <v/>
      </c>
      <c r="FJ165" s="110" t="str">
        <f t="shared" si="237"/>
        <v/>
      </c>
      <c r="FL165" s="108" t="str">
        <f t="shared" si="297"/>
        <v/>
      </c>
      <c r="FM165" s="109" t="str">
        <f t="shared" si="369"/>
        <v/>
      </c>
      <c r="FN165" s="109" t="str">
        <f t="shared" si="298"/>
        <v/>
      </c>
      <c r="FO165" s="110" t="str">
        <f t="shared" si="238"/>
        <v/>
      </c>
      <c r="FQ165" s="108" t="str">
        <f t="shared" si="370"/>
        <v/>
      </c>
      <c r="FR165" s="109" t="str">
        <f t="shared" si="371"/>
        <v/>
      </c>
      <c r="FS165" s="109" t="str">
        <f t="shared" si="299"/>
        <v/>
      </c>
      <c r="FT165" s="110" t="str">
        <f t="shared" si="239"/>
        <v/>
      </c>
      <c r="FV165" s="108" t="str">
        <f t="shared" si="300"/>
        <v/>
      </c>
      <c r="FW165" s="109" t="str">
        <f t="shared" si="372"/>
        <v/>
      </c>
      <c r="FX165" s="109" t="str">
        <f t="shared" si="301"/>
        <v/>
      </c>
      <c r="FY165" s="110" t="str">
        <f t="shared" si="240"/>
        <v/>
      </c>
      <c r="GA165" s="108" t="str">
        <f t="shared" si="373"/>
        <v/>
      </c>
      <c r="GB165" s="109" t="str">
        <f t="shared" si="374"/>
        <v/>
      </c>
      <c r="GC165" s="109" t="str">
        <f t="shared" si="302"/>
        <v/>
      </c>
      <c r="GD165" s="110" t="str">
        <f t="shared" si="241"/>
        <v/>
      </c>
      <c r="GF165" s="108" t="str">
        <f t="shared" si="303"/>
        <v/>
      </c>
      <c r="GG165" s="109" t="str">
        <f t="shared" si="375"/>
        <v/>
      </c>
      <c r="GH165" s="109" t="str">
        <f t="shared" si="304"/>
        <v/>
      </c>
      <c r="GI165" s="110" t="str">
        <f t="shared" si="242"/>
        <v/>
      </c>
      <c r="GK165" s="108" t="str">
        <f t="shared" si="376"/>
        <v/>
      </c>
      <c r="GL165" s="109" t="str">
        <f t="shared" si="377"/>
        <v/>
      </c>
      <c r="GM165" s="109" t="str">
        <f t="shared" si="378"/>
        <v/>
      </c>
      <c r="GN165" s="110" t="str">
        <f t="shared" si="243"/>
        <v/>
      </c>
      <c r="GR165" s="108" t="str">
        <f t="shared" si="305"/>
        <v/>
      </c>
      <c r="GS165" s="109" t="str">
        <f t="shared" si="306"/>
        <v/>
      </c>
      <c r="GT165" s="109" t="str">
        <f t="shared" si="307"/>
        <v/>
      </c>
      <c r="GU165" s="110" t="str">
        <f t="shared" si="308"/>
        <v/>
      </c>
      <c r="GV165" s="51"/>
      <c r="GW165" s="108" t="str">
        <f t="shared" si="309"/>
        <v/>
      </c>
      <c r="GX165" s="109" t="str">
        <f t="shared" si="379"/>
        <v/>
      </c>
      <c r="GY165" s="109" t="str">
        <f t="shared" si="310"/>
        <v/>
      </c>
      <c r="GZ165" s="110" t="str">
        <f t="shared" si="311"/>
        <v/>
      </c>
      <c r="HA165" s="51"/>
      <c r="HB165" s="108" t="str">
        <f t="shared" si="380"/>
        <v/>
      </c>
      <c r="HC165" s="109" t="str">
        <f t="shared" si="381"/>
        <v/>
      </c>
      <c r="HD165" s="109" t="str">
        <f t="shared" si="312"/>
        <v/>
      </c>
      <c r="HE165" s="110" t="str">
        <f t="shared" si="382"/>
        <v/>
      </c>
      <c r="HF165" s="51"/>
      <c r="HG165" s="108" t="str">
        <f t="shared" si="313"/>
        <v/>
      </c>
      <c r="HH165" s="109" t="str">
        <f t="shared" si="383"/>
        <v/>
      </c>
      <c r="HI165" s="109" t="str">
        <f t="shared" si="314"/>
        <v/>
      </c>
      <c r="HJ165" s="110" t="str">
        <f t="shared" si="417"/>
        <v/>
      </c>
      <c r="HK165" s="51"/>
      <c r="HL165" s="108" t="str">
        <f t="shared" si="384"/>
        <v/>
      </c>
      <c r="HM165" s="109" t="str">
        <f t="shared" si="385"/>
        <v/>
      </c>
      <c r="HN165" s="109" t="str">
        <f t="shared" si="315"/>
        <v/>
      </c>
      <c r="HO165" s="110" t="str">
        <f t="shared" si="386"/>
        <v/>
      </c>
      <c r="HP165" s="51"/>
      <c r="HQ165" s="108" t="str">
        <f t="shared" si="316"/>
        <v/>
      </c>
      <c r="HR165" s="109" t="str">
        <f t="shared" si="387"/>
        <v/>
      </c>
      <c r="HS165" s="109" t="str">
        <f t="shared" si="317"/>
        <v/>
      </c>
      <c r="HT165" s="110" t="str">
        <f t="shared" si="418"/>
        <v/>
      </c>
      <c r="HU165" s="51"/>
      <c r="HV165" s="108" t="str">
        <f t="shared" si="388"/>
        <v/>
      </c>
      <c r="HW165" s="109" t="str">
        <f t="shared" si="389"/>
        <v/>
      </c>
      <c r="HX165" s="109" t="str">
        <f t="shared" si="318"/>
        <v/>
      </c>
      <c r="HY165" s="110" t="str">
        <f t="shared" si="390"/>
        <v/>
      </c>
      <c r="HZ165" s="51"/>
      <c r="IA165" s="108" t="str">
        <f t="shared" si="319"/>
        <v/>
      </c>
      <c r="IB165" s="109" t="str">
        <f t="shared" si="391"/>
        <v/>
      </c>
      <c r="IC165" s="109" t="str">
        <f t="shared" si="320"/>
        <v/>
      </c>
      <c r="ID165" s="110" t="str">
        <f t="shared" si="419"/>
        <v/>
      </c>
      <c r="IE165" s="51"/>
      <c r="IF165" s="108" t="str">
        <f t="shared" si="392"/>
        <v/>
      </c>
      <c r="IG165" s="109" t="str">
        <f t="shared" si="393"/>
        <v/>
      </c>
      <c r="IH165" s="109" t="str">
        <f t="shared" si="321"/>
        <v/>
      </c>
      <c r="II165" s="110" t="str">
        <f t="shared" si="394"/>
        <v/>
      </c>
      <c r="IJ165" s="51"/>
      <c r="IK165" s="108" t="str">
        <f t="shared" si="322"/>
        <v/>
      </c>
      <c r="IL165" s="109" t="str">
        <f t="shared" si="395"/>
        <v/>
      </c>
      <c r="IM165" s="109" t="str">
        <f t="shared" si="323"/>
        <v/>
      </c>
      <c r="IN165" s="110" t="str">
        <f t="shared" si="420"/>
        <v/>
      </c>
      <c r="IO165" s="51"/>
      <c r="IP165" s="108" t="str">
        <f t="shared" si="396"/>
        <v/>
      </c>
      <c r="IQ165" s="109" t="str">
        <f t="shared" si="397"/>
        <v/>
      </c>
      <c r="IR165" s="109" t="str">
        <f t="shared" si="324"/>
        <v/>
      </c>
      <c r="IS165" s="110" t="str">
        <f t="shared" si="398"/>
        <v/>
      </c>
      <c r="IT165" s="51"/>
      <c r="IU165" s="108" t="str">
        <f t="shared" si="325"/>
        <v/>
      </c>
      <c r="IV165" s="109" t="str">
        <f t="shared" si="399"/>
        <v/>
      </c>
      <c r="IW165" s="109" t="str">
        <f t="shared" si="326"/>
        <v/>
      </c>
      <c r="IX165" s="110" t="str">
        <f t="shared" si="421"/>
        <v/>
      </c>
      <c r="IY165" s="51"/>
      <c r="IZ165" s="108" t="str">
        <f t="shared" si="400"/>
        <v/>
      </c>
      <c r="JA165" s="109" t="str">
        <f t="shared" si="401"/>
        <v/>
      </c>
      <c r="JB165" s="109" t="str">
        <f t="shared" si="327"/>
        <v/>
      </c>
      <c r="JC165" s="110" t="str">
        <f t="shared" si="402"/>
        <v/>
      </c>
      <c r="JD165" s="51"/>
      <c r="JE165" s="108" t="str">
        <f t="shared" si="328"/>
        <v/>
      </c>
      <c r="JF165" s="109" t="str">
        <f t="shared" si="403"/>
        <v/>
      </c>
      <c r="JG165" s="109" t="str">
        <f t="shared" si="329"/>
        <v/>
      </c>
      <c r="JH165" s="110" t="str">
        <f t="shared" si="422"/>
        <v/>
      </c>
      <c r="JI165" s="51"/>
      <c r="JJ165" s="108" t="str">
        <f t="shared" si="404"/>
        <v/>
      </c>
      <c r="JK165" s="109" t="str">
        <f t="shared" si="405"/>
        <v/>
      </c>
      <c r="JL165" s="109" t="str">
        <f t="shared" si="330"/>
        <v/>
      </c>
      <c r="JM165" s="110" t="str">
        <f t="shared" si="406"/>
        <v/>
      </c>
      <c r="JN165" s="51"/>
      <c r="JO165" s="108" t="str">
        <f t="shared" si="331"/>
        <v/>
      </c>
      <c r="JP165" s="109" t="str">
        <f t="shared" si="407"/>
        <v/>
      </c>
      <c r="JQ165" s="109" t="str">
        <f t="shared" si="332"/>
        <v/>
      </c>
      <c r="JR165" s="110" t="str">
        <f t="shared" si="423"/>
        <v/>
      </c>
      <c r="JS165" s="51"/>
      <c r="JT165" s="108" t="str">
        <f t="shared" si="408"/>
        <v/>
      </c>
      <c r="JU165" s="109" t="str">
        <f t="shared" si="409"/>
        <v/>
      </c>
      <c r="JV165" s="109" t="str">
        <f t="shared" si="333"/>
        <v/>
      </c>
      <c r="JW165" s="110" t="str">
        <f t="shared" si="410"/>
        <v/>
      </c>
      <c r="JX165" s="51"/>
      <c r="JY165" s="108" t="str">
        <f t="shared" si="334"/>
        <v/>
      </c>
      <c r="JZ165" s="109" t="str">
        <f t="shared" si="411"/>
        <v/>
      </c>
      <c r="KA165" s="109" t="str">
        <f t="shared" si="335"/>
        <v/>
      </c>
      <c r="KB165" s="110" t="str">
        <f t="shared" si="424"/>
        <v/>
      </c>
      <c r="KC165" s="51"/>
      <c r="KD165" s="108" t="str">
        <f t="shared" si="412"/>
        <v/>
      </c>
      <c r="KE165" s="109" t="str">
        <f t="shared" si="413"/>
        <v/>
      </c>
      <c r="KF165" s="109" t="str">
        <f t="shared" si="336"/>
        <v/>
      </c>
      <c r="KG165" s="110" t="str">
        <f t="shared" si="337"/>
        <v/>
      </c>
    </row>
    <row r="166" spans="1:293" ht="12" customHeight="1">
      <c r="A166" s="105">
        <f t="array" ref="A166">MAX(IF($J$80:J165&gt;0,$C$80:C165,0))</f>
        <v>43535</v>
      </c>
      <c r="B166" s="81" t="str">
        <f t="shared" si="248"/>
        <v/>
      </c>
      <c r="C166" s="82">
        <f t="shared" si="414"/>
        <v>0</v>
      </c>
      <c r="D166" s="83" t="str">
        <f t="shared" si="249"/>
        <v/>
      </c>
      <c r="E166" s="83" t="str">
        <f t="shared" si="338"/>
        <v/>
      </c>
      <c r="F166" s="83" t="str">
        <f t="shared" si="250"/>
        <v/>
      </c>
      <c r="G166" s="83" t="str">
        <f t="shared" si="251"/>
        <v/>
      </c>
      <c r="H166" s="83" t="str">
        <f t="shared" si="252"/>
        <v/>
      </c>
      <c r="I166" s="105">
        <f t="array" ref="I166">MAX(IF($R$80:R165&gt;0,$L$80:L165,0))</f>
        <v>0</v>
      </c>
      <c r="J166" s="106"/>
      <c r="K166" s="2" t="str">
        <f t="shared" si="253"/>
        <v/>
      </c>
      <c r="L166" s="82">
        <f t="shared" si="415"/>
        <v>0</v>
      </c>
      <c r="M166" s="83" t="str">
        <f t="shared" si="254"/>
        <v/>
      </c>
      <c r="N166" s="83" t="str">
        <f t="shared" si="255"/>
        <v/>
      </c>
      <c r="O166" s="83" t="str">
        <f t="shared" si="256"/>
        <v/>
      </c>
      <c r="P166" s="83" t="str">
        <f t="shared" si="257"/>
        <v/>
      </c>
      <c r="Q166" s="83" t="str">
        <f t="shared" si="258"/>
        <v/>
      </c>
      <c r="R166" s="106"/>
      <c r="S166" s="1"/>
      <c r="U166" s="85" t="e">
        <f t="shared" si="244"/>
        <v>#NUM!</v>
      </c>
      <c r="V166" s="86" t="e">
        <f t="shared" si="339"/>
        <v>#NUM!</v>
      </c>
      <c r="W166" s="87" t="e">
        <f t="shared" si="259"/>
        <v>#NUM!</v>
      </c>
      <c r="X166" s="87" t="e">
        <f t="shared" si="260"/>
        <v>#NUM!</v>
      </c>
      <c r="Y166" s="87" t="e">
        <f t="shared" si="261"/>
        <v>#NUM!</v>
      </c>
      <c r="Z166" s="88" t="e">
        <f t="shared" si="245"/>
        <v>#NUM!</v>
      </c>
      <c r="AA166" t="s">
        <v>282</v>
      </c>
      <c r="AB166" s="89">
        <f t="shared" si="340"/>
        <v>0</v>
      </c>
      <c r="AC166" s="87">
        <f t="shared" si="262"/>
        <v>0</v>
      </c>
      <c r="AD166" s="87" t="str">
        <f t="shared" si="263"/>
        <v/>
      </c>
      <c r="AE166" s="87" t="str">
        <f t="shared" si="264"/>
        <v/>
      </c>
      <c r="AF166" s="86">
        <f t="shared" si="341"/>
        <v>0</v>
      </c>
      <c r="AG166" s="87">
        <f t="shared" si="246"/>
        <v>0</v>
      </c>
      <c r="AH166" s="87">
        <f t="shared" si="342"/>
        <v>0</v>
      </c>
      <c r="AI166" s="90"/>
      <c r="AJ166" s="87" t="e">
        <f t="shared" si="265"/>
        <v>#NUM!</v>
      </c>
      <c r="AK166" s="87" t="e">
        <f t="shared" si="343"/>
        <v>#NUM!</v>
      </c>
      <c r="AL166" s="87" t="e">
        <f t="shared" si="344"/>
        <v>#NUM!</v>
      </c>
      <c r="AM166" s="87" t="e">
        <f t="shared" si="345"/>
        <v>#NUM!</v>
      </c>
      <c r="AN166" s="86">
        <f t="shared" si="266"/>
        <v>0</v>
      </c>
      <c r="AO166" s="87">
        <f t="shared" si="267"/>
        <v>0</v>
      </c>
      <c r="AP166" s="88">
        <f t="shared" si="268"/>
        <v>0</v>
      </c>
      <c r="AR166" s="91">
        <f t="shared" si="269"/>
        <v>0</v>
      </c>
      <c r="AS166" s="92">
        <f t="shared" si="270"/>
        <v>0</v>
      </c>
      <c r="AT166" s="87" t="str">
        <f t="shared" si="271"/>
        <v/>
      </c>
      <c r="AU166" s="87" t="str">
        <f t="shared" si="272"/>
        <v/>
      </c>
      <c r="AV166" s="86">
        <f t="shared" si="346"/>
        <v>0</v>
      </c>
      <c r="AW166" s="87">
        <f t="shared" si="347"/>
        <v>0</v>
      </c>
      <c r="AX166" s="87">
        <f t="shared" si="348"/>
        <v>0</v>
      </c>
      <c r="AY166" s="93"/>
      <c r="AZ166" s="87">
        <f t="shared" si="425"/>
        <v>0</v>
      </c>
      <c r="BA166" s="87">
        <f t="shared" si="349"/>
        <v>0</v>
      </c>
      <c r="BB166" s="87">
        <f t="shared" si="350"/>
        <v>0</v>
      </c>
      <c r="BC166" s="87">
        <f t="shared" si="416"/>
        <v>0</v>
      </c>
      <c r="BD166" s="86" t="e">
        <f t="shared" si="273"/>
        <v>#NUM!</v>
      </c>
      <c r="BE166" s="87" t="e">
        <f t="shared" si="247"/>
        <v>#NUM!</v>
      </c>
      <c r="BF166" s="88">
        <f t="shared" si="351"/>
        <v>0</v>
      </c>
      <c r="BH166" s="87" t="e">
        <f t="shared" si="274"/>
        <v>#NUM!</v>
      </c>
      <c r="BK166" s="95">
        <v>41514</v>
      </c>
      <c r="BL166" s="96">
        <v>87</v>
      </c>
      <c r="CY166" s="108" t="str">
        <f t="shared" si="275"/>
        <v/>
      </c>
      <c r="CZ166" s="109" t="str">
        <f t="shared" si="276"/>
        <v/>
      </c>
      <c r="DA166" s="109" t="str">
        <f t="shared" si="277"/>
        <v/>
      </c>
      <c r="DB166" s="110" t="str">
        <f t="shared" si="225"/>
        <v/>
      </c>
      <c r="DD166" s="108" t="str">
        <f t="shared" si="278"/>
        <v/>
      </c>
      <c r="DE166" s="109" t="str">
        <f t="shared" si="352"/>
        <v/>
      </c>
      <c r="DF166" s="109" t="str">
        <f t="shared" si="279"/>
        <v/>
      </c>
      <c r="DG166" s="110" t="str">
        <f t="shared" si="226"/>
        <v/>
      </c>
      <c r="DI166" s="108" t="str">
        <f t="shared" si="353"/>
        <v/>
      </c>
      <c r="DJ166" s="109" t="str">
        <f t="shared" si="354"/>
        <v/>
      </c>
      <c r="DK166" s="109" t="str">
        <f t="shared" si="280"/>
        <v/>
      </c>
      <c r="DL166" s="110" t="str">
        <f t="shared" si="227"/>
        <v/>
      </c>
      <c r="DN166" s="108" t="str">
        <f t="shared" si="281"/>
        <v/>
      </c>
      <c r="DO166" s="109" t="str">
        <f t="shared" si="282"/>
        <v/>
      </c>
      <c r="DP166" s="109" t="str">
        <f t="shared" si="283"/>
        <v/>
      </c>
      <c r="DQ166" s="110" t="str">
        <f t="shared" si="228"/>
        <v/>
      </c>
      <c r="DS166" s="108" t="str">
        <f t="shared" si="355"/>
        <v/>
      </c>
      <c r="DT166" s="109" t="str">
        <f t="shared" si="356"/>
        <v/>
      </c>
      <c r="DU166" s="109" t="str">
        <f t="shared" si="284"/>
        <v/>
      </c>
      <c r="DV166" s="110" t="str">
        <f t="shared" si="229"/>
        <v/>
      </c>
      <c r="DX166" s="108" t="str">
        <f t="shared" si="285"/>
        <v/>
      </c>
      <c r="DY166" s="109" t="str">
        <f t="shared" si="357"/>
        <v/>
      </c>
      <c r="DZ166" s="109" t="str">
        <f t="shared" si="286"/>
        <v/>
      </c>
      <c r="EA166" s="110" t="str">
        <f t="shared" si="230"/>
        <v/>
      </c>
      <c r="EC166" s="108" t="str">
        <f t="shared" si="358"/>
        <v/>
      </c>
      <c r="ED166" s="109" t="str">
        <f t="shared" si="359"/>
        <v/>
      </c>
      <c r="EE166" s="109" t="str">
        <f t="shared" si="287"/>
        <v/>
      </c>
      <c r="EF166" s="110" t="str">
        <f t="shared" si="231"/>
        <v/>
      </c>
      <c r="EH166" s="108" t="str">
        <f t="shared" si="288"/>
        <v/>
      </c>
      <c r="EI166" s="109" t="str">
        <f t="shared" si="360"/>
        <v/>
      </c>
      <c r="EJ166" s="109" t="str">
        <f t="shared" si="289"/>
        <v/>
      </c>
      <c r="EK166" s="110" t="str">
        <f t="shared" si="232"/>
        <v/>
      </c>
      <c r="EM166" s="108" t="str">
        <f t="shared" si="361"/>
        <v/>
      </c>
      <c r="EN166" s="109" t="str">
        <f t="shared" si="362"/>
        <v/>
      </c>
      <c r="EO166" s="109" t="str">
        <f t="shared" si="290"/>
        <v/>
      </c>
      <c r="EP166" s="110" t="str">
        <f t="shared" si="233"/>
        <v/>
      </c>
      <c r="ER166" s="108" t="str">
        <f t="shared" si="291"/>
        <v/>
      </c>
      <c r="ES166" s="109" t="str">
        <f t="shared" si="363"/>
        <v/>
      </c>
      <c r="ET166" s="109" t="str">
        <f t="shared" si="292"/>
        <v/>
      </c>
      <c r="EU166" s="110" t="str">
        <f t="shared" si="234"/>
        <v/>
      </c>
      <c r="EW166" s="108" t="str">
        <f t="shared" si="364"/>
        <v/>
      </c>
      <c r="EX166" s="109" t="str">
        <f t="shared" si="365"/>
        <v/>
      </c>
      <c r="EY166" s="109" t="str">
        <f t="shared" si="293"/>
        <v/>
      </c>
      <c r="EZ166" s="110" t="str">
        <f t="shared" si="235"/>
        <v/>
      </c>
      <c r="FB166" s="108" t="str">
        <f t="shared" si="294"/>
        <v/>
      </c>
      <c r="FC166" s="109" t="str">
        <f t="shared" si="366"/>
        <v/>
      </c>
      <c r="FD166" s="109" t="str">
        <f t="shared" si="295"/>
        <v/>
      </c>
      <c r="FE166" s="110" t="str">
        <f t="shared" si="236"/>
        <v/>
      </c>
      <c r="FG166" s="108" t="str">
        <f t="shared" si="367"/>
        <v/>
      </c>
      <c r="FH166" s="109" t="str">
        <f t="shared" si="368"/>
        <v/>
      </c>
      <c r="FI166" s="109" t="str">
        <f t="shared" si="296"/>
        <v/>
      </c>
      <c r="FJ166" s="110" t="str">
        <f t="shared" si="237"/>
        <v/>
      </c>
      <c r="FL166" s="108" t="str">
        <f t="shared" si="297"/>
        <v/>
      </c>
      <c r="FM166" s="109" t="str">
        <f t="shared" si="369"/>
        <v/>
      </c>
      <c r="FN166" s="109" t="str">
        <f t="shared" si="298"/>
        <v/>
      </c>
      <c r="FO166" s="110" t="str">
        <f t="shared" si="238"/>
        <v/>
      </c>
      <c r="FQ166" s="108" t="str">
        <f t="shared" si="370"/>
        <v/>
      </c>
      <c r="FR166" s="109" t="str">
        <f t="shared" si="371"/>
        <v/>
      </c>
      <c r="FS166" s="109" t="str">
        <f t="shared" si="299"/>
        <v/>
      </c>
      <c r="FT166" s="110" t="str">
        <f t="shared" si="239"/>
        <v/>
      </c>
      <c r="FV166" s="108" t="str">
        <f t="shared" si="300"/>
        <v/>
      </c>
      <c r="FW166" s="109" t="str">
        <f t="shared" si="372"/>
        <v/>
      </c>
      <c r="FX166" s="109" t="str">
        <f t="shared" si="301"/>
        <v/>
      </c>
      <c r="FY166" s="110" t="str">
        <f t="shared" si="240"/>
        <v/>
      </c>
      <c r="GA166" s="108" t="str">
        <f t="shared" si="373"/>
        <v/>
      </c>
      <c r="GB166" s="109" t="str">
        <f t="shared" si="374"/>
        <v/>
      </c>
      <c r="GC166" s="109" t="str">
        <f t="shared" si="302"/>
        <v/>
      </c>
      <c r="GD166" s="110" t="str">
        <f t="shared" si="241"/>
        <v/>
      </c>
      <c r="GF166" s="108" t="str">
        <f t="shared" si="303"/>
        <v/>
      </c>
      <c r="GG166" s="109" t="str">
        <f t="shared" si="375"/>
        <v/>
      </c>
      <c r="GH166" s="109" t="str">
        <f t="shared" si="304"/>
        <v/>
      </c>
      <c r="GI166" s="110" t="str">
        <f t="shared" si="242"/>
        <v/>
      </c>
      <c r="GK166" s="108" t="str">
        <f t="shared" si="376"/>
        <v/>
      </c>
      <c r="GL166" s="109" t="str">
        <f t="shared" si="377"/>
        <v/>
      </c>
      <c r="GM166" s="109" t="str">
        <f t="shared" si="378"/>
        <v/>
      </c>
      <c r="GN166" s="110" t="str">
        <f t="shared" si="243"/>
        <v/>
      </c>
      <c r="GR166" s="108" t="str">
        <f t="shared" si="305"/>
        <v/>
      </c>
      <c r="GS166" s="109" t="str">
        <f t="shared" si="306"/>
        <v/>
      </c>
      <c r="GT166" s="109" t="str">
        <f t="shared" si="307"/>
        <v/>
      </c>
      <c r="GU166" s="110" t="str">
        <f t="shared" si="308"/>
        <v/>
      </c>
      <c r="GV166" s="51"/>
      <c r="GW166" s="108" t="str">
        <f t="shared" si="309"/>
        <v/>
      </c>
      <c r="GX166" s="109" t="str">
        <f t="shared" si="379"/>
        <v/>
      </c>
      <c r="GY166" s="109" t="str">
        <f t="shared" si="310"/>
        <v/>
      </c>
      <c r="GZ166" s="110" t="str">
        <f t="shared" si="311"/>
        <v/>
      </c>
      <c r="HA166" s="51"/>
      <c r="HB166" s="108" t="str">
        <f t="shared" si="380"/>
        <v/>
      </c>
      <c r="HC166" s="109" t="str">
        <f t="shared" si="381"/>
        <v/>
      </c>
      <c r="HD166" s="109" t="str">
        <f t="shared" si="312"/>
        <v/>
      </c>
      <c r="HE166" s="110" t="str">
        <f t="shared" si="382"/>
        <v/>
      </c>
      <c r="HF166" s="51"/>
      <c r="HG166" s="108" t="str">
        <f t="shared" si="313"/>
        <v/>
      </c>
      <c r="HH166" s="109" t="str">
        <f t="shared" si="383"/>
        <v/>
      </c>
      <c r="HI166" s="109" t="str">
        <f t="shared" si="314"/>
        <v/>
      </c>
      <c r="HJ166" s="110" t="str">
        <f t="shared" si="417"/>
        <v/>
      </c>
      <c r="HK166" s="51"/>
      <c r="HL166" s="108" t="str">
        <f t="shared" si="384"/>
        <v/>
      </c>
      <c r="HM166" s="109" t="str">
        <f t="shared" si="385"/>
        <v/>
      </c>
      <c r="HN166" s="109" t="str">
        <f t="shared" si="315"/>
        <v/>
      </c>
      <c r="HO166" s="110" t="str">
        <f t="shared" si="386"/>
        <v/>
      </c>
      <c r="HP166" s="51"/>
      <c r="HQ166" s="108" t="str">
        <f t="shared" si="316"/>
        <v/>
      </c>
      <c r="HR166" s="109" t="str">
        <f t="shared" si="387"/>
        <v/>
      </c>
      <c r="HS166" s="109" t="str">
        <f t="shared" si="317"/>
        <v/>
      </c>
      <c r="HT166" s="110" t="str">
        <f t="shared" si="418"/>
        <v/>
      </c>
      <c r="HU166" s="51"/>
      <c r="HV166" s="108" t="str">
        <f t="shared" si="388"/>
        <v/>
      </c>
      <c r="HW166" s="109" t="str">
        <f t="shared" si="389"/>
        <v/>
      </c>
      <c r="HX166" s="109" t="str">
        <f t="shared" si="318"/>
        <v/>
      </c>
      <c r="HY166" s="110" t="str">
        <f t="shared" si="390"/>
        <v/>
      </c>
      <c r="HZ166" s="51"/>
      <c r="IA166" s="108" t="str">
        <f t="shared" si="319"/>
        <v/>
      </c>
      <c r="IB166" s="109" t="str">
        <f t="shared" si="391"/>
        <v/>
      </c>
      <c r="IC166" s="109" t="str">
        <f t="shared" si="320"/>
        <v/>
      </c>
      <c r="ID166" s="110" t="str">
        <f t="shared" si="419"/>
        <v/>
      </c>
      <c r="IE166" s="51"/>
      <c r="IF166" s="108" t="str">
        <f t="shared" si="392"/>
        <v/>
      </c>
      <c r="IG166" s="109" t="str">
        <f t="shared" si="393"/>
        <v/>
      </c>
      <c r="IH166" s="109" t="str">
        <f t="shared" si="321"/>
        <v/>
      </c>
      <c r="II166" s="110" t="str">
        <f t="shared" si="394"/>
        <v/>
      </c>
      <c r="IJ166" s="51"/>
      <c r="IK166" s="108" t="str">
        <f t="shared" si="322"/>
        <v/>
      </c>
      <c r="IL166" s="109" t="str">
        <f t="shared" si="395"/>
        <v/>
      </c>
      <c r="IM166" s="109" t="str">
        <f t="shared" si="323"/>
        <v/>
      </c>
      <c r="IN166" s="110" t="str">
        <f t="shared" si="420"/>
        <v/>
      </c>
      <c r="IO166" s="51"/>
      <c r="IP166" s="108" t="str">
        <f t="shared" si="396"/>
        <v/>
      </c>
      <c r="IQ166" s="109" t="str">
        <f t="shared" si="397"/>
        <v/>
      </c>
      <c r="IR166" s="109" t="str">
        <f t="shared" si="324"/>
        <v/>
      </c>
      <c r="IS166" s="110" t="str">
        <f t="shared" si="398"/>
        <v/>
      </c>
      <c r="IT166" s="51"/>
      <c r="IU166" s="108" t="str">
        <f t="shared" si="325"/>
        <v/>
      </c>
      <c r="IV166" s="109" t="str">
        <f t="shared" si="399"/>
        <v/>
      </c>
      <c r="IW166" s="109" t="str">
        <f t="shared" si="326"/>
        <v/>
      </c>
      <c r="IX166" s="110" t="str">
        <f t="shared" si="421"/>
        <v/>
      </c>
      <c r="IY166" s="51"/>
      <c r="IZ166" s="108" t="str">
        <f t="shared" si="400"/>
        <v/>
      </c>
      <c r="JA166" s="109" t="str">
        <f t="shared" si="401"/>
        <v/>
      </c>
      <c r="JB166" s="109" t="str">
        <f t="shared" si="327"/>
        <v/>
      </c>
      <c r="JC166" s="110" t="str">
        <f t="shared" si="402"/>
        <v/>
      </c>
      <c r="JD166" s="51"/>
      <c r="JE166" s="108" t="str">
        <f t="shared" si="328"/>
        <v/>
      </c>
      <c r="JF166" s="109" t="str">
        <f t="shared" si="403"/>
        <v/>
      </c>
      <c r="JG166" s="109" t="str">
        <f t="shared" si="329"/>
        <v/>
      </c>
      <c r="JH166" s="110" t="str">
        <f t="shared" si="422"/>
        <v/>
      </c>
      <c r="JI166" s="51"/>
      <c r="JJ166" s="108" t="str">
        <f t="shared" si="404"/>
        <v/>
      </c>
      <c r="JK166" s="109" t="str">
        <f t="shared" si="405"/>
        <v/>
      </c>
      <c r="JL166" s="109" t="str">
        <f t="shared" si="330"/>
        <v/>
      </c>
      <c r="JM166" s="110" t="str">
        <f t="shared" si="406"/>
        <v/>
      </c>
      <c r="JN166" s="51"/>
      <c r="JO166" s="108" t="str">
        <f t="shared" si="331"/>
        <v/>
      </c>
      <c r="JP166" s="109" t="str">
        <f t="shared" si="407"/>
        <v/>
      </c>
      <c r="JQ166" s="109" t="str">
        <f t="shared" si="332"/>
        <v/>
      </c>
      <c r="JR166" s="110" t="str">
        <f t="shared" si="423"/>
        <v/>
      </c>
      <c r="JS166" s="51"/>
      <c r="JT166" s="108" t="str">
        <f t="shared" si="408"/>
        <v/>
      </c>
      <c r="JU166" s="109" t="str">
        <f t="shared" si="409"/>
        <v/>
      </c>
      <c r="JV166" s="109" t="str">
        <f t="shared" si="333"/>
        <v/>
      </c>
      <c r="JW166" s="110" t="str">
        <f t="shared" si="410"/>
        <v/>
      </c>
      <c r="JX166" s="51"/>
      <c r="JY166" s="108" t="str">
        <f t="shared" si="334"/>
        <v/>
      </c>
      <c r="JZ166" s="109" t="str">
        <f t="shared" si="411"/>
        <v/>
      </c>
      <c r="KA166" s="109" t="str">
        <f t="shared" si="335"/>
        <v/>
      </c>
      <c r="KB166" s="110" t="str">
        <f t="shared" si="424"/>
        <v/>
      </c>
      <c r="KC166" s="51"/>
      <c r="KD166" s="108" t="str">
        <f t="shared" si="412"/>
        <v/>
      </c>
      <c r="KE166" s="109" t="str">
        <f t="shared" si="413"/>
        <v/>
      </c>
      <c r="KF166" s="109" t="str">
        <f t="shared" si="336"/>
        <v/>
      </c>
      <c r="KG166" s="110" t="str">
        <f t="shared" si="337"/>
        <v/>
      </c>
    </row>
    <row r="167" spans="1:293" ht="12" customHeight="1">
      <c r="A167" s="105">
        <f t="array" ref="A167">MAX(IF($J$80:J166&gt;0,$C$80:C166,0))</f>
        <v>43535</v>
      </c>
      <c r="B167" s="81" t="str">
        <f t="shared" si="248"/>
        <v/>
      </c>
      <c r="C167" s="82">
        <f t="shared" si="414"/>
        <v>0</v>
      </c>
      <c r="D167" s="83" t="str">
        <f t="shared" si="249"/>
        <v/>
      </c>
      <c r="E167" s="83" t="str">
        <f t="shared" si="338"/>
        <v/>
      </c>
      <c r="F167" s="83" t="str">
        <f t="shared" si="250"/>
        <v/>
      </c>
      <c r="G167" s="83" t="str">
        <f t="shared" si="251"/>
        <v/>
      </c>
      <c r="H167" s="83" t="str">
        <f t="shared" si="252"/>
        <v/>
      </c>
      <c r="I167" s="105">
        <f t="array" ref="I167">MAX(IF($R$80:R166&gt;0,$L$80:L166,0))</f>
        <v>0</v>
      </c>
      <c r="J167" s="106"/>
      <c r="K167" s="2" t="str">
        <f t="shared" si="253"/>
        <v/>
      </c>
      <c r="L167" s="82">
        <f t="shared" si="415"/>
        <v>0</v>
      </c>
      <c r="M167" s="83" t="str">
        <f t="shared" si="254"/>
        <v/>
      </c>
      <c r="N167" s="83" t="str">
        <f t="shared" si="255"/>
        <v/>
      </c>
      <c r="O167" s="83" t="str">
        <f t="shared" si="256"/>
        <v/>
      </c>
      <c r="P167" s="83" t="str">
        <f t="shared" si="257"/>
        <v/>
      </c>
      <c r="Q167" s="83" t="str">
        <f t="shared" si="258"/>
        <v/>
      </c>
      <c r="R167" s="106"/>
      <c r="S167" s="1"/>
      <c r="U167" s="85" t="e">
        <f t="shared" si="244"/>
        <v>#NUM!</v>
      </c>
      <c r="V167" s="86" t="e">
        <f t="shared" si="339"/>
        <v>#NUM!</v>
      </c>
      <c r="W167" s="87" t="e">
        <f t="shared" si="259"/>
        <v>#NUM!</v>
      </c>
      <c r="X167" s="87" t="e">
        <f t="shared" si="260"/>
        <v>#NUM!</v>
      </c>
      <c r="Y167" s="87" t="e">
        <f t="shared" si="261"/>
        <v>#NUM!</v>
      </c>
      <c r="Z167" s="88" t="e">
        <f t="shared" si="245"/>
        <v>#NUM!</v>
      </c>
      <c r="AA167" t="s">
        <v>282</v>
      </c>
      <c r="AB167" s="89">
        <f t="shared" si="340"/>
        <v>0</v>
      </c>
      <c r="AC167" s="87">
        <f t="shared" si="262"/>
        <v>0</v>
      </c>
      <c r="AD167" s="87" t="str">
        <f t="shared" si="263"/>
        <v/>
      </c>
      <c r="AE167" s="87" t="str">
        <f t="shared" si="264"/>
        <v/>
      </c>
      <c r="AF167" s="86">
        <f t="shared" si="341"/>
        <v>0</v>
      </c>
      <c r="AG167" s="87">
        <f t="shared" si="246"/>
        <v>0</v>
      </c>
      <c r="AH167" s="87">
        <f t="shared" si="342"/>
        <v>0</v>
      </c>
      <c r="AI167" s="90"/>
      <c r="AJ167" s="87" t="e">
        <f t="shared" si="265"/>
        <v>#NUM!</v>
      </c>
      <c r="AK167" s="87" t="e">
        <f t="shared" si="343"/>
        <v>#NUM!</v>
      </c>
      <c r="AL167" s="87" t="e">
        <f t="shared" si="344"/>
        <v>#NUM!</v>
      </c>
      <c r="AM167" s="87" t="e">
        <f t="shared" si="345"/>
        <v>#NUM!</v>
      </c>
      <c r="AN167" s="86">
        <f t="shared" si="266"/>
        <v>0</v>
      </c>
      <c r="AO167" s="87">
        <f t="shared" si="267"/>
        <v>0</v>
      </c>
      <c r="AP167" s="88">
        <f t="shared" si="268"/>
        <v>0</v>
      </c>
      <c r="AR167" s="91">
        <f t="shared" si="269"/>
        <v>0</v>
      </c>
      <c r="AS167" s="92">
        <f t="shared" si="270"/>
        <v>0</v>
      </c>
      <c r="AT167" s="87" t="str">
        <f t="shared" si="271"/>
        <v/>
      </c>
      <c r="AU167" s="87" t="str">
        <f t="shared" si="272"/>
        <v/>
      </c>
      <c r="AV167" s="86">
        <f t="shared" si="346"/>
        <v>0</v>
      </c>
      <c r="AW167" s="87">
        <f t="shared" si="347"/>
        <v>0</v>
      </c>
      <c r="AX167" s="87">
        <f t="shared" si="348"/>
        <v>0</v>
      </c>
      <c r="AY167" s="93"/>
      <c r="AZ167" s="87">
        <f t="shared" si="425"/>
        <v>0</v>
      </c>
      <c r="BA167" s="87">
        <f t="shared" si="349"/>
        <v>0</v>
      </c>
      <c r="BB167" s="87">
        <f t="shared" si="350"/>
        <v>0</v>
      </c>
      <c r="BC167" s="87">
        <f t="shared" si="416"/>
        <v>0</v>
      </c>
      <c r="BD167" s="86" t="e">
        <f t="shared" si="273"/>
        <v>#NUM!</v>
      </c>
      <c r="BE167" s="87" t="e">
        <f t="shared" si="247"/>
        <v>#NUM!</v>
      </c>
      <c r="BF167" s="88">
        <f t="shared" si="351"/>
        <v>0</v>
      </c>
      <c r="BH167" s="87" t="e">
        <f t="shared" si="274"/>
        <v>#NUM!</v>
      </c>
      <c r="BK167" s="95">
        <v>41561</v>
      </c>
      <c r="BL167" s="96">
        <v>88</v>
      </c>
      <c r="CY167" s="108" t="str">
        <f t="shared" si="275"/>
        <v/>
      </c>
      <c r="CZ167" s="109" t="str">
        <f t="shared" si="276"/>
        <v/>
      </c>
      <c r="DA167" s="109" t="str">
        <f t="shared" si="277"/>
        <v/>
      </c>
      <c r="DB167" s="110" t="str">
        <f t="shared" si="225"/>
        <v/>
      </c>
      <c r="DD167" s="108" t="str">
        <f t="shared" si="278"/>
        <v/>
      </c>
      <c r="DE167" s="109" t="str">
        <f t="shared" si="352"/>
        <v/>
      </c>
      <c r="DF167" s="109" t="str">
        <f t="shared" si="279"/>
        <v/>
      </c>
      <c r="DG167" s="110" t="str">
        <f t="shared" si="226"/>
        <v/>
      </c>
      <c r="DI167" s="108" t="str">
        <f t="shared" si="353"/>
        <v/>
      </c>
      <c r="DJ167" s="109" t="str">
        <f t="shared" si="354"/>
        <v/>
      </c>
      <c r="DK167" s="109" t="str">
        <f t="shared" si="280"/>
        <v/>
      </c>
      <c r="DL167" s="110" t="str">
        <f t="shared" si="227"/>
        <v/>
      </c>
      <c r="DN167" s="108" t="str">
        <f t="shared" si="281"/>
        <v/>
      </c>
      <c r="DO167" s="109" t="str">
        <f t="shared" si="282"/>
        <v/>
      </c>
      <c r="DP167" s="109" t="str">
        <f t="shared" si="283"/>
        <v/>
      </c>
      <c r="DQ167" s="110" t="str">
        <f t="shared" si="228"/>
        <v/>
      </c>
      <c r="DS167" s="108" t="str">
        <f t="shared" si="355"/>
        <v/>
      </c>
      <c r="DT167" s="109" t="str">
        <f t="shared" si="356"/>
        <v/>
      </c>
      <c r="DU167" s="109" t="str">
        <f t="shared" si="284"/>
        <v/>
      </c>
      <c r="DV167" s="110" t="str">
        <f t="shared" si="229"/>
        <v/>
      </c>
      <c r="DX167" s="108" t="str">
        <f t="shared" si="285"/>
        <v/>
      </c>
      <c r="DY167" s="109" t="str">
        <f t="shared" si="357"/>
        <v/>
      </c>
      <c r="DZ167" s="109" t="str">
        <f t="shared" si="286"/>
        <v/>
      </c>
      <c r="EA167" s="110" t="str">
        <f t="shared" si="230"/>
        <v/>
      </c>
      <c r="EC167" s="108" t="str">
        <f t="shared" si="358"/>
        <v/>
      </c>
      <c r="ED167" s="109" t="str">
        <f t="shared" si="359"/>
        <v/>
      </c>
      <c r="EE167" s="109" t="str">
        <f t="shared" si="287"/>
        <v/>
      </c>
      <c r="EF167" s="110" t="str">
        <f t="shared" si="231"/>
        <v/>
      </c>
      <c r="EH167" s="108" t="str">
        <f t="shared" si="288"/>
        <v/>
      </c>
      <c r="EI167" s="109" t="str">
        <f t="shared" si="360"/>
        <v/>
      </c>
      <c r="EJ167" s="109" t="str">
        <f t="shared" si="289"/>
        <v/>
      </c>
      <c r="EK167" s="110" t="str">
        <f t="shared" si="232"/>
        <v/>
      </c>
      <c r="EM167" s="108" t="str">
        <f t="shared" si="361"/>
        <v/>
      </c>
      <c r="EN167" s="109" t="str">
        <f t="shared" si="362"/>
        <v/>
      </c>
      <c r="EO167" s="109" t="str">
        <f t="shared" si="290"/>
        <v/>
      </c>
      <c r="EP167" s="110" t="str">
        <f t="shared" si="233"/>
        <v/>
      </c>
      <c r="ER167" s="108" t="str">
        <f t="shared" si="291"/>
        <v/>
      </c>
      <c r="ES167" s="109" t="str">
        <f t="shared" si="363"/>
        <v/>
      </c>
      <c r="ET167" s="109" t="str">
        <f t="shared" si="292"/>
        <v/>
      </c>
      <c r="EU167" s="110" t="str">
        <f t="shared" si="234"/>
        <v/>
      </c>
      <c r="EW167" s="108" t="str">
        <f t="shared" si="364"/>
        <v/>
      </c>
      <c r="EX167" s="109" t="str">
        <f t="shared" si="365"/>
        <v/>
      </c>
      <c r="EY167" s="109" t="str">
        <f t="shared" si="293"/>
        <v/>
      </c>
      <c r="EZ167" s="110" t="str">
        <f t="shared" si="235"/>
        <v/>
      </c>
      <c r="FB167" s="108" t="str">
        <f t="shared" si="294"/>
        <v/>
      </c>
      <c r="FC167" s="109" t="str">
        <f t="shared" si="366"/>
        <v/>
      </c>
      <c r="FD167" s="109" t="str">
        <f t="shared" si="295"/>
        <v/>
      </c>
      <c r="FE167" s="110" t="str">
        <f t="shared" si="236"/>
        <v/>
      </c>
      <c r="FG167" s="108" t="str">
        <f t="shared" si="367"/>
        <v/>
      </c>
      <c r="FH167" s="109" t="str">
        <f t="shared" si="368"/>
        <v/>
      </c>
      <c r="FI167" s="109" t="str">
        <f t="shared" si="296"/>
        <v/>
      </c>
      <c r="FJ167" s="110" t="str">
        <f t="shared" si="237"/>
        <v/>
      </c>
      <c r="FL167" s="108" t="str">
        <f t="shared" si="297"/>
        <v/>
      </c>
      <c r="FM167" s="109" t="str">
        <f t="shared" si="369"/>
        <v/>
      </c>
      <c r="FN167" s="109" t="str">
        <f t="shared" si="298"/>
        <v/>
      </c>
      <c r="FO167" s="110" t="str">
        <f t="shared" si="238"/>
        <v/>
      </c>
      <c r="FQ167" s="108" t="str">
        <f t="shared" si="370"/>
        <v/>
      </c>
      <c r="FR167" s="109" t="str">
        <f t="shared" si="371"/>
        <v/>
      </c>
      <c r="FS167" s="109" t="str">
        <f t="shared" si="299"/>
        <v/>
      </c>
      <c r="FT167" s="110" t="str">
        <f t="shared" si="239"/>
        <v/>
      </c>
      <c r="FV167" s="108" t="str">
        <f t="shared" si="300"/>
        <v/>
      </c>
      <c r="FW167" s="109" t="str">
        <f t="shared" si="372"/>
        <v/>
      </c>
      <c r="FX167" s="109" t="str">
        <f t="shared" si="301"/>
        <v/>
      </c>
      <c r="FY167" s="110" t="str">
        <f t="shared" si="240"/>
        <v/>
      </c>
      <c r="GA167" s="108" t="str">
        <f t="shared" si="373"/>
        <v/>
      </c>
      <c r="GB167" s="109" t="str">
        <f t="shared" si="374"/>
        <v/>
      </c>
      <c r="GC167" s="109" t="str">
        <f t="shared" si="302"/>
        <v/>
      </c>
      <c r="GD167" s="110" t="str">
        <f t="shared" si="241"/>
        <v/>
      </c>
      <c r="GF167" s="108" t="str">
        <f t="shared" si="303"/>
        <v/>
      </c>
      <c r="GG167" s="109" t="str">
        <f t="shared" si="375"/>
        <v/>
      </c>
      <c r="GH167" s="109" t="str">
        <f t="shared" si="304"/>
        <v/>
      </c>
      <c r="GI167" s="110" t="str">
        <f t="shared" si="242"/>
        <v/>
      </c>
      <c r="GK167" s="108" t="str">
        <f t="shared" si="376"/>
        <v/>
      </c>
      <c r="GL167" s="109" t="str">
        <f t="shared" si="377"/>
        <v/>
      </c>
      <c r="GM167" s="109" t="str">
        <f t="shared" si="378"/>
        <v/>
      </c>
      <c r="GN167" s="110" t="str">
        <f t="shared" si="243"/>
        <v/>
      </c>
      <c r="GR167" s="108" t="str">
        <f t="shared" si="305"/>
        <v/>
      </c>
      <c r="GS167" s="109" t="str">
        <f t="shared" si="306"/>
        <v/>
      </c>
      <c r="GT167" s="109" t="str">
        <f t="shared" si="307"/>
        <v/>
      </c>
      <c r="GU167" s="110" t="str">
        <f t="shared" si="308"/>
        <v/>
      </c>
      <c r="GV167" s="51"/>
      <c r="GW167" s="108" t="str">
        <f t="shared" si="309"/>
        <v/>
      </c>
      <c r="GX167" s="109" t="str">
        <f t="shared" si="379"/>
        <v/>
      </c>
      <c r="GY167" s="109" t="str">
        <f t="shared" si="310"/>
        <v/>
      </c>
      <c r="GZ167" s="110" t="str">
        <f t="shared" si="311"/>
        <v/>
      </c>
      <c r="HA167" s="51"/>
      <c r="HB167" s="108" t="str">
        <f t="shared" si="380"/>
        <v/>
      </c>
      <c r="HC167" s="109" t="str">
        <f t="shared" si="381"/>
        <v/>
      </c>
      <c r="HD167" s="109" t="str">
        <f t="shared" si="312"/>
        <v/>
      </c>
      <c r="HE167" s="110" t="str">
        <f t="shared" si="382"/>
        <v/>
      </c>
      <c r="HF167" s="51"/>
      <c r="HG167" s="108" t="str">
        <f t="shared" si="313"/>
        <v/>
      </c>
      <c r="HH167" s="109" t="str">
        <f t="shared" si="383"/>
        <v/>
      </c>
      <c r="HI167" s="109" t="str">
        <f t="shared" si="314"/>
        <v/>
      </c>
      <c r="HJ167" s="110" t="str">
        <f t="shared" si="417"/>
        <v/>
      </c>
      <c r="HK167" s="51"/>
      <c r="HL167" s="108" t="str">
        <f t="shared" si="384"/>
        <v/>
      </c>
      <c r="HM167" s="109" t="str">
        <f t="shared" si="385"/>
        <v/>
      </c>
      <c r="HN167" s="109" t="str">
        <f t="shared" si="315"/>
        <v/>
      </c>
      <c r="HO167" s="110" t="str">
        <f t="shared" si="386"/>
        <v/>
      </c>
      <c r="HP167" s="51"/>
      <c r="HQ167" s="108" t="str">
        <f t="shared" si="316"/>
        <v/>
      </c>
      <c r="HR167" s="109" t="str">
        <f t="shared" si="387"/>
        <v/>
      </c>
      <c r="HS167" s="109" t="str">
        <f t="shared" si="317"/>
        <v/>
      </c>
      <c r="HT167" s="110" t="str">
        <f t="shared" si="418"/>
        <v/>
      </c>
      <c r="HU167" s="51"/>
      <c r="HV167" s="108" t="str">
        <f t="shared" si="388"/>
        <v/>
      </c>
      <c r="HW167" s="109" t="str">
        <f t="shared" si="389"/>
        <v/>
      </c>
      <c r="HX167" s="109" t="str">
        <f t="shared" si="318"/>
        <v/>
      </c>
      <c r="HY167" s="110" t="str">
        <f t="shared" si="390"/>
        <v/>
      </c>
      <c r="HZ167" s="51"/>
      <c r="IA167" s="108" t="str">
        <f t="shared" si="319"/>
        <v/>
      </c>
      <c r="IB167" s="109" t="str">
        <f t="shared" si="391"/>
        <v/>
      </c>
      <c r="IC167" s="109" t="str">
        <f t="shared" si="320"/>
        <v/>
      </c>
      <c r="ID167" s="110" t="str">
        <f t="shared" si="419"/>
        <v/>
      </c>
      <c r="IE167" s="51"/>
      <c r="IF167" s="108" t="str">
        <f t="shared" si="392"/>
        <v/>
      </c>
      <c r="IG167" s="109" t="str">
        <f t="shared" si="393"/>
        <v/>
      </c>
      <c r="IH167" s="109" t="str">
        <f t="shared" si="321"/>
        <v/>
      </c>
      <c r="II167" s="110" t="str">
        <f t="shared" si="394"/>
        <v/>
      </c>
      <c r="IJ167" s="51"/>
      <c r="IK167" s="108" t="str">
        <f t="shared" si="322"/>
        <v/>
      </c>
      <c r="IL167" s="109" t="str">
        <f t="shared" si="395"/>
        <v/>
      </c>
      <c r="IM167" s="109" t="str">
        <f t="shared" si="323"/>
        <v/>
      </c>
      <c r="IN167" s="110" t="str">
        <f t="shared" si="420"/>
        <v/>
      </c>
      <c r="IO167" s="51"/>
      <c r="IP167" s="108" t="str">
        <f t="shared" si="396"/>
        <v/>
      </c>
      <c r="IQ167" s="109" t="str">
        <f t="shared" si="397"/>
        <v/>
      </c>
      <c r="IR167" s="109" t="str">
        <f t="shared" si="324"/>
        <v/>
      </c>
      <c r="IS167" s="110" t="str">
        <f t="shared" si="398"/>
        <v/>
      </c>
      <c r="IT167" s="51"/>
      <c r="IU167" s="108" t="str">
        <f t="shared" si="325"/>
        <v/>
      </c>
      <c r="IV167" s="109" t="str">
        <f t="shared" si="399"/>
        <v/>
      </c>
      <c r="IW167" s="109" t="str">
        <f t="shared" si="326"/>
        <v/>
      </c>
      <c r="IX167" s="110" t="str">
        <f t="shared" si="421"/>
        <v/>
      </c>
      <c r="IY167" s="51"/>
      <c r="IZ167" s="108" t="str">
        <f t="shared" si="400"/>
        <v/>
      </c>
      <c r="JA167" s="109" t="str">
        <f t="shared" si="401"/>
        <v/>
      </c>
      <c r="JB167" s="109" t="str">
        <f t="shared" si="327"/>
        <v/>
      </c>
      <c r="JC167" s="110" t="str">
        <f t="shared" si="402"/>
        <v/>
      </c>
      <c r="JD167" s="51"/>
      <c r="JE167" s="108" t="str">
        <f t="shared" si="328"/>
        <v/>
      </c>
      <c r="JF167" s="109" t="str">
        <f t="shared" si="403"/>
        <v/>
      </c>
      <c r="JG167" s="109" t="str">
        <f t="shared" si="329"/>
        <v/>
      </c>
      <c r="JH167" s="110" t="str">
        <f t="shared" si="422"/>
        <v/>
      </c>
      <c r="JI167" s="51"/>
      <c r="JJ167" s="108" t="str">
        <f t="shared" si="404"/>
        <v/>
      </c>
      <c r="JK167" s="109" t="str">
        <f t="shared" si="405"/>
        <v/>
      </c>
      <c r="JL167" s="109" t="str">
        <f t="shared" si="330"/>
        <v/>
      </c>
      <c r="JM167" s="110" t="str">
        <f t="shared" si="406"/>
        <v/>
      </c>
      <c r="JN167" s="51"/>
      <c r="JO167" s="108" t="str">
        <f t="shared" si="331"/>
        <v/>
      </c>
      <c r="JP167" s="109" t="str">
        <f t="shared" si="407"/>
        <v/>
      </c>
      <c r="JQ167" s="109" t="str">
        <f t="shared" si="332"/>
        <v/>
      </c>
      <c r="JR167" s="110" t="str">
        <f t="shared" si="423"/>
        <v/>
      </c>
      <c r="JS167" s="51"/>
      <c r="JT167" s="108" t="str">
        <f t="shared" si="408"/>
        <v/>
      </c>
      <c r="JU167" s="109" t="str">
        <f t="shared" si="409"/>
        <v/>
      </c>
      <c r="JV167" s="109" t="str">
        <f t="shared" si="333"/>
        <v/>
      </c>
      <c r="JW167" s="110" t="str">
        <f t="shared" si="410"/>
        <v/>
      </c>
      <c r="JX167" s="51"/>
      <c r="JY167" s="108" t="str">
        <f t="shared" si="334"/>
        <v/>
      </c>
      <c r="JZ167" s="109" t="str">
        <f t="shared" si="411"/>
        <v/>
      </c>
      <c r="KA167" s="109" t="str">
        <f t="shared" si="335"/>
        <v/>
      </c>
      <c r="KB167" s="110" t="str">
        <f t="shared" si="424"/>
        <v/>
      </c>
      <c r="KC167" s="51"/>
      <c r="KD167" s="108" t="str">
        <f t="shared" si="412"/>
        <v/>
      </c>
      <c r="KE167" s="109" t="str">
        <f t="shared" si="413"/>
        <v/>
      </c>
      <c r="KF167" s="109" t="str">
        <f t="shared" si="336"/>
        <v/>
      </c>
      <c r="KG167" s="110" t="str">
        <f t="shared" si="337"/>
        <v/>
      </c>
    </row>
    <row r="168" spans="1:293" ht="12" customHeight="1">
      <c r="A168" s="105">
        <f t="array" ref="A168">MAX(IF($J$80:J167&gt;0,$C$80:C167,0))</f>
        <v>43535</v>
      </c>
      <c r="B168" s="81" t="str">
        <f t="shared" si="248"/>
        <v/>
      </c>
      <c r="C168" s="82">
        <f t="shared" si="414"/>
        <v>0</v>
      </c>
      <c r="D168" s="83" t="str">
        <f t="shared" si="249"/>
        <v/>
      </c>
      <c r="E168" s="83" t="str">
        <f t="shared" si="338"/>
        <v/>
      </c>
      <c r="F168" s="83" t="str">
        <f t="shared" si="250"/>
        <v/>
      </c>
      <c r="G168" s="83" t="str">
        <f t="shared" si="251"/>
        <v/>
      </c>
      <c r="H168" s="83" t="str">
        <f t="shared" si="252"/>
        <v/>
      </c>
      <c r="I168" s="105">
        <f t="array" ref="I168">MAX(IF($R$80:R167&gt;0,$L$80:L167,0))</f>
        <v>0</v>
      </c>
      <c r="J168" s="106"/>
      <c r="K168" s="2" t="str">
        <f t="shared" si="253"/>
        <v/>
      </c>
      <c r="L168" s="82">
        <f t="shared" si="415"/>
        <v>0</v>
      </c>
      <c r="M168" s="83" t="str">
        <f t="shared" si="254"/>
        <v/>
      </c>
      <c r="N168" s="83" t="str">
        <f t="shared" si="255"/>
        <v/>
      </c>
      <c r="O168" s="83" t="str">
        <f t="shared" si="256"/>
        <v/>
      </c>
      <c r="P168" s="83" t="str">
        <f t="shared" si="257"/>
        <v/>
      </c>
      <c r="Q168" s="83" t="str">
        <f t="shared" si="258"/>
        <v/>
      </c>
      <c r="R168" s="106"/>
      <c r="S168" s="1"/>
      <c r="U168" s="85" t="e">
        <f t="shared" si="244"/>
        <v>#NUM!</v>
      </c>
      <c r="V168" s="86" t="e">
        <f t="shared" si="339"/>
        <v>#NUM!</v>
      </c>
      <c r="W168" s="87" t="e">
        <f t="shared" si="259"/>
        <v>#NUM!</v>
      </c>
      <c r="X168" s="87" t="e">
        <f t="shared" si="260"/>
        <v>#NUM!</v>
      </c>
      <c r="Y168" s="87" t="e">
        <f t="shared" si="261"/>
        <v>#NUM!</v>
      </c>
      <c r="Z168" s="88" t="e">
        <f t="shared" si="245"/>
        <v>#NUM!</v>
      </c>
      <c r="AA168" t="s">
        <v>282</v>
      </c>
      <c r="AB168" s="89">
        <f t="shared" si="340"/>
        <v>0</v>
      </c>
      <c r="AC168" s="87">
        <f t="shared" si="262"/>
        <v>0</v>
      </c>
      <c r="AD168" s="87" t="str">
        <f t="shared" si="263"/>
        <v/>
      </c>
      <c r="AE168" s="87" t="str">
        <f t="shared" si="264"/>
        <v/>
      </c>
      <c r="AF168" s="86">
        <f t="shared" si="341"/>
        <v>0</v>
      </c>
      <c r="AG168" s="87">
        <f t="shared" si="246"/>
        <v>0</v>
      </c>
      <c r="AH168" s="87">
        <f t="shared" si="342"/>
        <v>0</v>
      </c>
      <c r="AI168" s="90"/>
      <c r="AJ168" s="87" t="e">
        <f t="shared" si="265"/>
        <v>#NUM!</v>
      </c>
      <c r="AK168" s="87" t="e">
        <f t="shared" si="343"/>
        <v>#NUM!</v>
      </c>
      <c r="AL168" s="87" t="e">
        <f t="shared" si="344"/>
        <v>#NUM!</v>
      </c>
      <c r="AM168" s="87" t="e">
        <f t="shared" si="345"/>
        <v>#NUM!</v>
      </c>
      <c r="AN168" s="86">
        <f t="shared" si="266"/>
        <v>0</v>
      </c>
      <c r="AO168" s="87">
        <f t="shared" si="267"/>
        <v>0</v>
      </c>
      <c r="AP168" s="88">
        <f t="shared" si="268"/>
        <v>0</v>
      </c>
      <c r="AR168" s="91">
        <f t="shared" si="269"/>
        <v>0</v>
      </c>
      <c r="AS168" s="92">
        <f t="shared" si="270"/>
        <v>0</v>
      </c>
      <c r="AT168" s="87" t="str">
        <f t="shared" si="271"/>
        <v/>
      </c>
      <c r="AU168" s="87" t="str">
        <f t="shared" si="272"/>
        <v/>
      </c>
      <c r="AV168" s="86">
        <f t="shared" si="346"/>
        <v>0</v>
      </c>
      <c r="AW168" s="87">
        <f t="shared" si="347"/>
        <v>0</v>
      </c>
      <c r="AX168" s="87">
        <f t="shared" si="348"/>
        <v>0</v>
      </c>
      <c r="AY168" s="93"/>
      <c r="AZ168" s="87">
        <f t="shared" si="425"/>
        <v>0</v>
      </c>
      <c r="BA168" s="87">
        <f t="shared" si="349"/>
        <v>0</v>
      </c>
      <c r="BB168" s="87">
        <f t="shared" si="350"/>
        <v>0</v>
      </c>
      <c r="BC168" s="87">
        <f t="shared" si="416"/>
        <v>0</v>
      </c>
      <c r="BD168" s="86" t="e">
        <f t="shared" si="273"/>
        <v>#NUM!</v>
      </c>
      <c r="BE168" s="87" t="e">
        <f t="shared" si="247"/>
        <v>#NUM!</v>
      </c>
      <c r="BF168" s="88">
        <f t="shared" si="351"/>
        <v>0</v>
      </c>
      <c r="BH168" s="87" t="e">
        <f t="shared" si="274"/>
        <v>#NUM!</v>
      </c>
      <c r="BK168" s="95">
        <v>41601</v>
      </c>
      <c r="BL168" s="96">
        <v>89</v>
      </c>
      <c r="CY168" s="108" t="str">
        <f t="shared" si="275"/>
        <v/>
      </c>
      <c r="CZ168" s="109" t="str">
        <f t="shared" si="276"/>
        <v/>
      </c>
      <c r="DA168" s="109" t="str">
        <f t="shared" si="277"/>
        <v/>
      </c>
      <c r="DB168" s="110" t="str">
        <f t="shared" si="225"/>
        <v/>
      </c>
      <c r="DD168" s="108" t="str">
        <f t="shared" si="278"/>
        <v/>
      </c>
      <c r="DE168" s="109" t="str">
        <f t="shared" si="352"/>
        <v/>
      </c>
      <c r="DF168" s="109" t="str">
        <f t="shared" si="279"/>
        <v/>
      </c>
      <c r="DG168" s="110" t="str">
        <f t="shared" si="226"/>
        <v/>
      </c>
      <c r="DI168" s="108" t="str">
        <f t="shared" si="353"/>
        <v/>
      </c>
      <c r="DJ168" s="109" t="str">
        <f t="shared" si="354"/>
        <v/>
      </c>
      <c r="DK168" s="109" t="str">
        <f t="shared" si="280"/>
        <v/>
      </c>
      <c r="DL168" s="110" t="str">
        <f t="shared" si="227"/>
        <v/>
      </c>
      <c r="DN168" s="108" t="str">
        <f t="shared" si="281"/>
        <v/>
      </c>
      <c r="DO168" s="109" t="str">
        <f t="shared" si="282"/>
        <v/>
      </c>
      <c r="DP168" s="109" t="str">
        <f t="shared" si="283"/>
        <v/>
      </c>
      <c r="DQ168" s="110" t="str">
        <f t="shared" si="228"/>
        <v/>
      </c>
      <c r="DS168" s="108" t="str">
        <f t="shared" si="355"/>
        <v/>
      </c>
      <c r="DT168" s="109" t="str">
        <f t="shared" si="356"/>
        <v/>
      </c>
      <c r="DU168" s="109" t="str">
        <f t="shared" si="284"/>
        <v/>
      </c>
      <c r="DV168" s="110" t="str">
        <f t="shared" si="229"/>
        <v/>
      </c>
      <c r="DX168" s="108" t="str">
        <f t="shared" si="285"/>
        <v/>
      </c>
      <c r="DY168" s="109" t="str">
        <f t="shared" si="357"/>
        <v/>
      </c>
      <c r="DZ168" s="109" t="str">
        <f t="shared" si="286"/>
        <v/>
      </c>
      <c r="EA168" s="110" t="str">
        <f t="shared" si="230"/>
        <v/>
      </c>
      <c r="EC168" s="108" t="str">
        <f t="shared" si="358"/>
        <v/>
      </c>
      <c r="ED168" s="109" t="str">
        <f t="shared" si="359"/>
        <v/>
      </c>
      <c r="EE168" s="109" t="str">
        <f t="shared" si="287"/>
        <v/>
      </c>
      <c r="EF168" s="110" t="str">
        <f t="shared" si="231"/>
        <v/>
      </c>
      <c r="EH168" s="108" t="str">
        <f t="shared" si="288"/>
        <v/>
      </c>
      <c r="EI168" s="109" t="str">
        <f t="shared" si="360"/>
        <v/>
      </c>
      <c r="EJ168" s="109" t="str">
        <f t="shared" si="289"/>
        <v/>
      </c>
      <c r="EK168" s="110" t="str">
        <f t="shared" si="232"/>
        <v/>
      </c>
      <c r="EM168" s="108" t="str">
        <f t="shared" si="361"/>
        <v/>
      </c>
      <c r="EN168" s="109" t="str">
        <f t="shared" si="362"/>
        <v/>
      </c>
      <c r="EO168" s="109" t="str">
        <f t="shared" si="290"/>
        <v/>
      </c>
      <c r="EP168" s="110" t="str">
        <f t="shared" si="233"/>
        <v/>
      </c>
      <c r="ER168" s="108" t="str">
        <f t="shared" si="291"/>
        <v/>
      </c>
      <c r="ES168" s="109" t="str">
        <f t="shared" si="363"/>
        <v/>
      </c>
      <c r="ET168" s="109" t="str">
        <f t="shared" si="292"/>
        <v/>
      </c>
      <c r="EU168" s="110" t="str">
        <f t="shared" si="234"/>
        <v/>
      </c>
      <c r="EW168" s="108" t="str">
        <f t="shared" si="364"/>
        <v/>
      </c>
      <c r="EX168" s="109" t="str">
        <f t="shared" si="365"/>
        <v/>
      </c>
      <c r="EY168" s="109" t="str">
        <f t="shared" si="293"/>
        <v/>
      </c>
      <c r="EZ168" s="110" t="str">
        <f t="shared" si="235"/>
        <v/>
      </c>
      <c r="FB168" s="108" t="str">
        <f t="shared" si="294"/>
        <v/>
      </c>
      <c r="FC168" s="109" t="str">
        <f t="shared" si="366"/>
        <v/>
      </c>
      <c r="FD168" s="109" t="str">
        <f t="shared" si="295"/>
        <v/>
      </c>
      <c r="FE168" s="110" t="str">
        <f t="shared" si="236"/>
        <v/>
      </c>
      <c r="FG168" s="108" t="str">
        <f t="shared" si="367"/>
        <v/>
      </c>
      <c r="FH168" s="109" t="str">
        <f t="shared" si="368"/>
        <v/>
      </c>
      <c r="FI168" s="109" t="str">
        <f t="shared" si="296"/>
        <v/>
      </c>
      <c r="FJ168" s="110" t="str">
        <f t="shared" si="237"/>
        <v/>
      </c>
      <c r="FL168" s="108" t="str">
        <f t="shared" si="297"/>
        <v/>
      </c>
      <c r="FM168" s="109" t="str">
        <f t="shared" si="369"/>
        <v/>
      </c>
      <c r="FN168" s="109" t="str">
        <f t="shared" si="298"/>
        <v/>
      </c>
      <c r="FO168" s="110" t="str">
        <f t="shared" si="238"/>
        <v/>
      </c>
      <c r="FQ168" s="108" t="str">
        <f t="shared" si="370"/>
        <v/>
      </c>
      <c r="FR168" s="109" t="str">
        <f t="shared" si="371"/>
        <v/>
      </c>
      <c r="FS168" s="109" t="str">
        <f t="shared" si="299"/>
        <v/>
      </c>
      <c r="FT168" s="110" t="str">
        <f t="shared" si="239"/>
        <v/>
      </c>
      <c r="FV168" s="108" t="str">
        <f t="shared" si="300"/>
        <v/>
      </c>
      <c r="FW168" s="109" t="str">
        <f t="shared" si="372"/>
        <v/>
      </c>
      <c r="FX168" s="109" t="str">
        <f t="shared" si="301"/>
        <v/>
      </c>
      <c r="FY168" s="110" t="str">
        <f t="shared" si="240"/>
        <v/>
      </c>
      <c r="GA168" s="108" t="str">
        <f t="shared" si="373"/>
        <v/>
      </c>
      <c r="GB168" s="109" t="str">
        <f t="shared" si="374"/>
        <v/>
      </c>
      <c r="GC168" s="109" t="str">
        <f t="shared" si="302"/>
        <v/>
      </c>
      <c r="GD168" s="110" t="str">
        <f t="shared" si="241"/>
        <v/>
      </c>
      <c r="GF168" s="108" t="str">
        <f t="shared" si="303"/>
        <v/>
      </c>
      <c r="GG168" s="109" t="str">
        <f t="shared" si="375"/>
        <v/>
      </c>
      <c r="GH168" s="109" t="str">
        <f t="shared" si="304"/>
        <v/>
      </c>
      <c r="GI168" s="110" t="str">
        <f t="shared" si="242"/>
        <v/>
      </c>
      <c r="GK168" s="108" t="str">
        <f t="shared" si="376"/>
        <v/>
      </c>
      <c r="GL168" s="109" t="str">
        <f t="shared" si="377"/>
        <v/>
      </c>
      <c r="GM168" s="109" t="str">
        <f t="shared" si="378"/>
        <v/>
      </c>
      <c r="GN168" s="110" t="str">
        <f t="shared" si="243"/>
        <v/>
      </c>
      <c r="GR168" s="108" t="str">
        <f t="shared" si="305"/>
        <v/>
      </c>
      <c r="GS168" s="109" t="str">
        <f t="shared" si="306"/>
        <v/>
      </c>
      <c r="GT168" s="109" t="str">
        <f t="shared" si="307"/>
        <v/>
      </c>
      <c r="GU168" s="110" t="str">
        <f t="shared" si="308"/>
        <v/>
      </c>
      <c r="GV168" s="51"/>
      <c r="GW168" s="108" t="str">
        <f t="shared" si="309"/>
        <v/>
      </c>
      <c r="GX168" s="109" t="str">
        <f t="shared" si="379"/>
        <v/>
      </c>
      <c r="GY168" s="109" t="str">
        <f t="shared" si="310"/>
        <v/>
      </c>
      <c r="GZ168" s="110" t="str">
        <f t="shared" si="311"/>
        <v/>
      </c>
      <c r="HA168" s="51"/>
      <c r="HB168" s="108" t="str">
        <f t="shared" si="380"/>
        <v/>
      </c>
      <c r="HC168" s="109" t="str">
        <f t="shared" si="381"/>
        <v/>
      </c>
      <c r="HD168" s="109" t="str">
        <f t="shared" si="312"/>
        <v/>
      </c>
      <c r="HE168" s="110" t="str">
        <f t="shared" si="382"/>
        <v/>
      </c>
      <c r="HF168" s="51"/>
      <c r="HG168" s="108" t="str">
        <f t="shared" si="313"/>
        <v/>
      </c>
      <c r="HH168" s="109" t="str">
        <f t="shared" si="383"/>
        <v/>
      </c>
      <c r="HI168" s="109" t="str">
        <f t="shared" si="314"/>
        <v/>
      </c>
      <c r="HJ168" s="110" t="str">
        <f t="shared" si="417"/>
        <v/>
      </c>
      <c r="HK168" s="51"/>
      <c r="HL168" s="108" t="str">
        <f t="shared" si="384"/>
        <v/>
      </c>
      <c r="HM168" s="109" t="str">
        <f t="shared" si="385"/>
        <v/>
      </c>
      <c r="HN168" s="109" t="str">
        <f t="shared" si="315"/>
        <v/>
      </c>
      <c r="HO168" s="110" t="str">
        <f t="shared" si="386"/>
        <v/>
      </c>
      <c r="HP168" s="51"/>
      <c r="HQ168" s="108" t="str">
        <f t="shared" si="316"/>
        <v/>
      </c>
      <c r="HR168" s="109" t="str">
        <f t="shared" si="387"/>
        <v/>
      </c>
      <c r="HS168" s="109" t="str">
        <f t="shared" si="317"/>
        <v/>
      </c>
      <c r="HT168" s="110" t="str">
        <f t="shared" si="418"/>
        <v/>
      </c>
      <c r="HU168" s="51"/>
      <c r="HV168" s="108" t="str">
        <f t="shared" si="388"/>
        <v/>
      </c>
      <c r="HW168" s="109" t="str">
        <f t="shared" si="389"/>
        <v/>
      </c>
      <c r="HX168" s="109" t="str">
        <f t="shared" si="318"/>
        <v/>
      </c>
      <c r="HY168" s="110" t="str">
        <f t="shared" si="390"/>
        <v/>
      </c>
      <c r="HZ168" s="51"/>
      <c r="IA168" s="108" t="str">
        <f t="shared" si="319"/>
        <v/>
      </c>
      <c r="IB168" s="109" t="str">
        <f t="shared" si="391"/>
        <v/>
      </c>
      <c r="IC168" s="109" t="str">
        <f t="shared" si="320"/>
        <v/>
      </c>
      <c r="ID168" s="110" t="str">
        <f t="shared" si="419"/>
        <v/>
      </c>
      <c r="IE168" s="51"/>
      <c r="IF168" s="108" t="str">
        <f t="shared" si="392"/>
        <v/>
      </c>
      <c r="IG168" s="109" t="str">
        <f t="shared" si="393"/>
        <v/>
      </c>
      <c r="IH168" s="109" t="str">
        <f t="shared" si="321"/>
        <v/>
      </c>
      <c r="II168" s="110" t="str">
        <f t="shared" si="394"/>
        <v/>
      </c>
      <c r="IJ168" s="51"/>
      <c r="IK168" s="108" t="str">
        <f t="shared" si="322"/>
        <v/>
      </c>
      <c r="IL168" s="109" t="str">
        <f t="shared" si="395"/>
        <v/>
      </c>
      <c r="IM168" s="109" t="str">
        <f t="shared" si="323"/>
        <v/>
      </c>
      <c r="IN168" s="110" t="str">
        <f t="shared" si="420"/>
        <v/>
      </c>
      <c r="IO168" s="51"/>
      <c r="IP168" s="108" t="str">
        <f t="shared" si="396"/>
        <v/>
      </c>
      <c r="IQ168" s="109" t="str">
        <f t="shared" si="397"/>
        <v/>
      </c>
      <c r="IR168" s="109" t="str">
        <f t="shared" si="324"/>
        <v/>
      </c>
      <c r="IS168" s="110" t="str">
        <f t="shared" si="398"/>
        <v/>
      </c>
      <c r="IT168" s="51"/>
      <c r="IU168" s="108" t="str">
        <f t="shared" si="325"/>
        <v/>
      </c>
      <c r="IV168" s="109" t="str">
        <f t="shared" si="399"/>
        <v/>
      </c>
      <c r="IW168" s="109" t="str">
        <f t="shared" si="326"/>
        <v/>
      </c>
      <c r="IX168" s="110" t="str">
        <f t="shared" si="421"/>
        <v/>
      </c>
      <c r="IY168" s="51"/>
      <c r="IZ168" s="108" t="str">
        <f t="shared" si="400"/>
        <v/>
      </c>
      <c r="JA168" s="109" t="str">
        <f t="shared" si="401"/>
        <v/>
      </c>
      <c r="JB168" s="109" t="str">
        <f t="shared" si="327"/>
        <v/>
      </c>
      <c r="JC168" s="110" t="str">
        <f t="shared" si="402"/>
        <v/>
      </c>
      <c r="JD168" s="51"/>
      <c r="JE168" s="108" t="str">
        <f t="shared" si="328"/>
        <v/>
      </c>
      <c r="JF168" s="109" t="str">
        <f t="shared" si="403"/>
        <v/>
      </c>
      <c r="JG168" s="109" t="str">
        <f t="shared" si="329"/>
        <v/>
      </c>
      <c r="JH168" s="110" t="str">
        <f t="shared" si="422"/>
        <v/>
      </c>
      <c r="JI168" s="51"/>
      <c r="JJ168" s="108" t="str">
        <f t="shared" si="404"/>
        <v/>
      </c>
      <c r="JK168" s="109" t="str">
        <f t="shared" si="405"/>
        <v/>
      </c>
      <c r="JL168" s="109" t="str">
        <f t="shared" si="330"/>
        <v/>
      </c>
      <c r="JM168" s="110" t="str">
        <f t="shared" si="406"/>
        <v/>
      </c>
      <c r="JN168" s="51"/>
      <c r="JO168" s="108" t="str">
        <f t="shared" si="331"/>
        <v/>
      </c>
      <c r="JP168" s="109" t="str">
        <f t="shared" si="407"/>
        <v/>
      </c>
      <c r="JQ168" s="109" t="str">
        <f t="shared" si="332"/>
        <v/>
      </c>
      <c r="JR168" s="110" t="str">
        <f t="shared" si="423"/>
        <v/>
      </c>
      <c r="JS168" s="51"/>
      <c r="JT168" s="108" t="str">
        <f t="shared" si="408"/>
        <v/>
      </c>
      <c r="JU168" s="109" t="str">
        <f t="shared" si="409"/>
        <v/>
      </c>
      <c r="JV168" s="109" t="str">
        <f t="shared" si="333"/>
        <v/>
      </c>
      <c r="JW168" s="110" t="str">
        <f t="shared" si="410"/>
        <v/>
      </c>
      <c r="JX168" s="51"/>
      <c r="JY168" s="108" t="str">
        <f t="shared" si="334"/>
        <v/>
      </c>
      <c r="JZ168" s="109" t="str">
        <f t="shared" si="411"/>
        <v/>
      </c>
      <c r="KA168" s="109" t="str">
        <f t="shared" si="335"/>
        <v/>
      </c>
      <c r="KB168" s="110" t="str">
        <f t="shared" si="424"/>
        <v/>
      </c>
      <c r="KC168" s="51"/>
      <c r="KD168" s="108" t="str">
        <f t="shared" si="412"/>
        <v/>
      </c>
      <c r="KE168" s="109" t="str">
        <f t="shared" si="413"/>
        <v/>
      </c>
      <c r="KF168" s="109" t="str">
        <f t="shared" si="336"/>
        <v/>
      </c>
      <c r="KG168" s="110" t="str">
        <f t="shared" si="337"/>
        <v/>
      </c>
    </row>
    <row r="169" spans="1:293" ht="12" customHeight="1">
      <c r="A169" s="105">
        <f t="array" ref="A169">MAX(IF($J$80:J168&gt;0,$C$80:C168,0))</f>
        <v>43535</v>
      </c>
      <c r="B169" s="81" t="str">
        <f t="shared" si="248"/>
        <v/>
      </c>
      <c r="C169" s="82">
        <f t="shared" si="414"/>
        <v>0</v>
      </c>
      <c r="D169" s="83" t="str">
        <f t="shared" si="249"/>
        <v/>
      </c>
      <c r="E169" s="83" t="str">
        <f t="shared" si="338"/>
        <v/>
      </c>
      <c r="F169" s="83" t="str">
        <f t="shared" si="250"/>
        <v/>
      </c>
      <c r="G169" s="83" t="str">
        <f t="shared" si="251"/>
        <v/>
      </c>
      <c r="H169" s="83" t="str">
        <f t="shared" si="252"/>
        <v/>
      </c>
      <c r="I169" s="105">
        <f t="array" ref="I169">MAX(IF($R$80:R168&gt;0,$L$80:L168,0))</f>
        <v>0</v>
      </c>
      <c r="J169" s="106"/>
      <c r="K169" s="2" t="str">
        <f t="shared" si="253"/>
        <v/>
      </c>
      <c r="L169" s="82">
        <f t="shared" si="415"/>
        <v>0</v>
      </c>
      <c r="M169" s="83" t="str">
        <f t="shared" si="254"/>
        <v/>
      </c>
      <c r="N169" s="83" t="str">
        <f t="shared" si="255"/>
        <v/>
      </c>
      <c r="O169" s="83" t="str">
        <f t="shared" si="256"/>
        <v/>
      </c>
      <c r="P169" s="83" t="str">
        <f t="shared" si="257"/>
        <v/>
      </c>
      <c r="Q169" s="83" t="str">
        <f t="shared" si="258"/>
        <v/>
      </c>
      <c r="R169" s="106"/>
      <c r="S169" s="1"/>
      <c r="U169" s="85" t="e">
        <f t="shared" si="244"/>
        <v>#NUM!</v>
      </c>
      <c r="V169" s="86" t="e">
        <f t="shared" si="339"/>
        <v>#NUM!</v>
      </c>
      <c r="W169" s="87" t="e">
        <f t="shared" si="259"/>
        <v>#NUM!</v>
      </c>
      <c r="X169" s="87" t="e">
        <f t="shared" si="260"/>
        <v>#NUM!</v>
      </c>
      <c r="Y169" s="87" t="e">
        <f t="shared" si="261"/>
        <v>#NUM!</v>
      </c>
      <c r="Z169" s="88" t="e">
        <f t="shared" si="245"/>
        <v>#NUM!</v>
      </c>
      <c r="AA169" t="s">
        <v>282</v>
      </c>
      <c r="AB169" s="89">
        <f t="shared" si="340"/>
        <v>0</v>
      </c>
      <c r="AC169" s="87">
        <f t="shared" si="262"/>
        <v>0</v>
      </c>
      <c r="AD169" s="87" t="str">
        <f t="shared" si="263"/>
        <v/>
      </c>
      <c r="AE169" s="87" t="str">
        <f t="shared" si="264"/>
        <v/>
      </c>
      <c r="AF169" s="86">
        <f t="shared" si="341"/>
        <v>0</v>
      </c>
      <c r="AG169" s="87">
        <f t="shared" si="246"/>
        <v>0</v>
      </c>
      <c r="AH169" s="87">
        <f t="shared" si="342"/>
        <v>0</v>
      </c>
      <c r="AI169" s="90"/>
      <c r="AJ169" s="87" t="e">
        <f t="shared" si="265"/>
        <v>#NUM!</v>
      </c>
      <c r="AK169" s="87" t="e">
        <f t="shared" si="343"/>
        <v>#NUM!</v>
      </c>
      <c r="AL169" s="87" t="e">
        <f t="shared" si="344"/>
        <v>#NUM!</v>
      </c>
      <c r="AM169" s="87" t="e">
        <f t="shared" si="345"/>
        <v>#NUM!</v>
      </c>
      <c r="AN169" s="86">
        <f t="shared" si="266"/>
        <v>0</v>
      </c>
      <c r="AO169" s="87">
        <f t="shared" si="267"/>
        <v>0</v>
      </c>
      <c r="AP169" s="88">
        <f t="shared" si="268"/>
        <v>0</v>
      </c>
      <c r="AR169" s="91">
        <f t="shared" si="269"/>
        <v>0</v>
      </c>
      <c r="AS169" s="92">
        <f t="shared" si="270"/>
        <v>0</v>
      </c>
      <c r="AT169" s="87" t="str">
        <f t="shared" si="271"/>
        <v/>
      </c>
      <c r="AU169" s="87" t="str">
        <f t="shared" si="272"/>
        <v/>
      </c>
      <c r="AV169" s="86">
        <f t="shared" si="346"/>
        <v>0</v>
      </c>
      <c r="AW169" s="87">
        <f t="shared" si="347"/>
        <v>0</v>
      </c>
      <c r="AX169" s="87">
        <f t="shared" si="348"/>
        <v>0</v>
      </c>
      <c r="AY169" s="93"/>
      <c r="AZ169" s="87">
        <f t="shared" si="425"/>
        <v>0</v>
      </c>
      <c r="BA169" s="87">
        <f t="shared" si="349"/>
        <v>0</v>
      </c>
      <c r="BB169" s="87">
        <f t="shared" si="350"/>
        <v>0</v>
      </c>
      <c r="BC169" s="87">
        <f t="shared" si="416"/>
        <v>0</v>
      </c>
      <c r="BD169" s="86" t="e">
        <f t="shared" si="273"/>
        <v>#NUM!</v>
      </c>
      <c r="BE169" s="87" t="e">
        <f t="shared" si="247"/>
        <v>#NUM!</v>
      </c>
      <c r="BF169" s="88">
        <f t="shared" si="351"/>
        <v>0</v>
      </c>
      <c r="BH169" s="87" t="e">
        <f t="shared" si="274"/>
        <v>#NUM!</v>
      </c>
      <c r="BK169" s="95">
        <v>41640</v>
      </c>
      <c r="BL169" s="96">
        <v>90</v>
      </c>
      <c r="CY169" s="108" t="str">
        <f t="shared" si="275"/>
        <v/>
      </c>
      <c r="CZ169" s="109" t="str">
        <f t="shared" si="276"/>
        <v/>
      </c>
      <c r="DA169" s="109" t="str">
        <f t="shared" si="277"/>
        <v/>
      </c>
      <c r="DB169" s="110" t="str">
        <f t="shared" si="225"/>
        <v/>
      </c>
      <c r="DD169" s="108" t="str">
        <f t="shared" si="278"/>
        <v/>
      </c>
      <c r="DE169" s="109" t="str">
        <f t="shared" si="352"/>
        <v/>
      </c>
      <c r="DF169" s="109" t="str">
        <f t="shared" si="279"/>
        <v/>
      </c>
      <c r="DG169" s="110" t="str">
        <f t="shared" si="226"/>
        <v/>
      </c>
      <c r="DI169" s="108" t="str">
        <f t="shared" si="353"/>
        <v/>
      </c>
      <c r="DJ169" s="109" t="str">
        <f t="shared" si="354"/>
        <v/>
      </c>
      <c r="DK169" s="109" t="str">
        <f t="shared" si="280"/>
        <v/>
      </c>
      <c r="DL169" s="110" t="str">
        <f t="shared" si="227"/>
        <v/>
      </c>
      <c r="DN169" s="108" t="str">
        <f t="shared" si="281"/>
        <v/>
      </c>
      <c r="DO169" s="109" t="str">
        <f t="shared" si="282"/>
        <v/>
      </c>
      <c r="DP169" s="109" t="str">
        <f t="shared" si="283"/>
        <v/>
      </c>
      <c r="DQ169" s="110" t="str">
        <f t="shared" si="228"/>
        <v/>
      </c>
      <c r="DS169" s="108" t="str">
        <f t="shared" si="355"/>
        <v/>
      </c>
      <c r="DT169" s="109" t="str">
        <f t="shared" si="356"/>
        <v/>
      </c>
      <c r="DU169" s="109" t="str">
        <f t="shared" si="284"/>
        <v/>
      </c>
      <c r="DV169" s="110" t="str">
        <f t="shared" si="229"/>
        <v/>
      </c>
      <c r="DX169" s="108" t="str">
        <f t="shared" si="285"/>
        <v/>
      </c>
      <c r="DY169" s="109" t="str">
        <f t="shared" si="357"/>
        <v/>
      </c>
      <c r="DZ169" s="109" t="str">
        <f t="shared" si="286"/>
        <v/>
      </c>
      <c r="EA169" s="110" t="str">
        <f t="shared" si="230"/>
        <v/>
      </c>
      <c r="EC169" s="108" t="str">
        <f t="shared" si="358"/>
        <v/>
      </c>
      <c r="ED169" s="109" t="str">
        <f t="shared" si="359"/>
        <v/>
      </c>
      <c r="EE169" s="109" t="str">
        <f t="shared" si="287"/>
        <v/>
      </c>
      <c r="EF169" s="110" t="str">
        <f t="shared" si="231"/>
        <v/>
      </c>
      <c r="EH169" s="108" t="str">
        <f t="shared" si="288"/>
        <v/>
      </c>
      <c r="EI169" s="109" t="str">
        <f t="shared" si="360"/>
        <v/>
      </c>
      <c r="EJ169" s="109" t="str">
        <f t="shared" si="289"/>
        <v/>
      </c>
      <c r="EK169" s="110" t="str">
        <f t="shared" si="232"/>
        <v/>
      </c>
      <c r="EM169" s="108" t="str">
        <f t="shared" si="361"/>
        <v/>
      </c>
      <c r="EN169" s="109" t="str">
        <f t="shared" si="362"/>
        <v/>
      </c>
      <c r="EO169" s="109" t="str">
        <f t="shared" si="290"/>
        <v/>
      </c>
      <c r="EP169" s="110" t="str">
        <f t="shared" si="233"/>
        <v/>
      </c>
      <c r="ER169" s="108" t="str">
        <f t="shared" si="291"/>
        <v/>
      </c>
      <c r="ES169" s="109" t="str">
        <f t="shared" si="363"/>
        <v/>
      </c>
      <c r="ET169" s="109" t="str">
        <f t="shared" si="292"/>
        <v/>
      </c>
      <c r="EU169" s="110" t="str">
        <f t="shared" si="234"/>
        <v/>
      </c>
      <c r="EW169" s="108" t="str">
        <f t="shared" si="364"/>
        <v/>
      </c>
      <c r="EX169" s="109" t="str">
        <f t="shared" si="365"/>
        <v/>
      </c>
      <c r="EY169" s="109" t="str">
        <f t="shared" si="293"/>
        <v/>
      </c>
      <c r="EZ169" s="110" t="str">
        <f t="shared" si="235"/>
        <v/>
      </c>
      <c r="FB169" s="108" t="str">
        <f t="shared" si="294"/>
        <v/>
      </c>
      <c r="FC169" s="109" t="str">
        <f t="shared" si="366"/>
        <v/>
      </c>
      <c r="FD169" s="109" t="str">
        <f t="shared" si="295"/>
        <v/>
      </c>
      <c r="FE169" s="110" t="str">
        <f t="shared" si="236"/>
        <v/>
      </c>
      <c r="FG169" s="108" t="str">
        <f t="shared" si="367"/>
        <v/>
      </c>
      <c r="FH169" s="109" t="str">
        <f t="shared" si="368"/>
        <v/>
      </c>
      <c r="FI169" s="109" t="str">
        <f t="shared" si="296"/>
        <v/>
      </c>
      <c r="FJ169" s="110" t="str">
        <f t="shared" si="237"/>
        <v/>
      </c>
      <c r="FL169" s="108" t="str">
        <f t="shared" si="297"/>
        <v/>
      </c>
      <c r="FM169" s="109" t="str">
        <f t="shared" si="369"/>
        <v/>
      </c>
      <c r="FN169" s="109" t="str">
        <f t="shared" si="298"/>
        <v/>
      </c>
      <c r="FO169" s="110" t="str">
        <f t="shared" si="238"/>
        <v/>
      </c>
      <c r="FQ169" s="108" t="str">
        <f t="shared" si="370"/>
        <v/>
      </c>
      <c r="FR169" s="109" t="str">
        <f t="shared" si="371"/>
        <v/>
      </c>
      <c r="FS169" s="109" t="str">
        <f t="shared" si="299"/>
        <v/>
      </c>
      <c r="FT169" s="110" t="str">
        <f t="shared" si="239"/>
        <v/>
      </c>
      <c r="FV169" s="108" t="str">
        <f t="shared" si="300"/>
        <v/>
      </c>
      <c r="FW169" s="109" t="str">
        <f t="shared" si="372"/>
        <v/>
      </c>
      <c r="FX169" s="109" t="str">
        <f t="shared" si="301"/>
        <v/>
      </c>
      <c r="FY169" s="110" t="str">
        <f t="shared" si="240"/>
        <v/>
      </c>
      <c r="GA169" s="108" t="str">
        <f t="shared" si="373"/>
        <v/>
      </c>
      <c r="GB169" s="109" t="str">
        <f t="shared" si="374"/>
        <v/>
      </c>
      <c r="GC169" s="109" t="str">
        <f t="shared" si="302"/>
        <v/>
      </c>
      <c r="GD169" s="110" t="str">
        <f t="shared" si="241"/>
        <v/>
      </c>
      <c r="GF169" s="108" t="str">
        <f t="shared" si="303"/>
        <v/>
      </c>
      <c r="GG169" s="109" t="str">
        <f t="shared" si="375"/>
        <v/>
      </c>
      <c r="GH169" s="109" t="str">
        <f t="shared" si="304"/>
        <v/>
      </c>
      <c r="GI169" s="110" t="str">
        <f t="shared" si="242"/>
        <v/>
      </c>
      <c r="GK169" s="108" t="str">
        <f t="shared" si="376"/>
        <v/>
      </c>
      <c r="GL169" s="109" t="str">
        <f t="shared" si="377"/>
        <v/>
      </c>
      <c r="GM169" s="109" t="str">
        <f t="shared" si="378"/>
        <v/>
      </c>
      <c r="GN169" s="110" t="str">
        <f t="shared" si="243"/>
        <v/>
      </c>
      <c r="GR169" s="108" t="str">
        <f t="shared" si="305"/>
        <v/>
      </c>
      <c r="GS169" s="109" t="str">
        <f t="shared" si="306"/>
        <v/>
      </c>
      <c r="GT169" s="109" t="str">
        <f t="shared" si="307"/>
        <v/>
      </c>
      <c r="GU169" s="110" t="str">
        <f t="shared" si="308"/>
        <v/>
      </c>
      <c r="GV169" s="51"/>
      <c r="GW169" s="108" t="str">
        <f t="shared" si="309"/>
        <v/>
      </c>
      <c r="GX169" s="109" t="str">
        <f t="shared" si="379"/>
        <v/>
      </c>
      <c r="GY169" s="109" t="str">
        <f t="shared" si="310"/>
        <v/>
      </c>
      <c r="GZ169" s="110" t="str">
        <f t="shared" si="311"/>
        <v/>
      </c>
      <c r="HA169" s="51"/>
      <c r="HB169" s="108" t="str">
        <f t="shared" si="380"/>
        <v/>
      </c>
      <c r="HC169" s="109" t="str">
        <f t="shared" si="381"/>
        <v/>
      </c>
      <c r="HD169" s="109" t="str">
        <f t="shared" si="312"/>
        <v/>
      </c>
      <c r="HE169" s="110" t="str">
        <f t="shared" si="382"/>
        <v/>
      </c>
      <c r="HF169" s="51"/>
      <c r="HG169" s="108" t="str">
        <f t="shared" si="313"/>
        <v/>
      </c>
      <c r="HH169" s="109" t="str">
        <f t="shared" si="383"/>
        <v/>
      </c>
      <c r="HI169" s="109" t="str">
        <f t="shared" si="314"/>
        <v/>
      </c>
      <c r="HJ169" s="110" t="str">
        <f t="shared" si="417"/>
        <v/>
      </c>
      <c r="HK169" s="51"/>
      <c r="HL169" s="108" t="str">
        <f t="shared" si="384"/>
        <v/>
      </c>
      <c r="HM169" s="109" t="str">
        <f t="shared" si="385"/>
        <v/>
      </c>
      <c r="HN169" s="109" t="str">
        <f t="shared" si="315"/>
        <v/>
      </c>
      <c r="HO169" s="110" t="str">
        <f t="shared" si="386"/>
        <v/>
      </c>
      <c r="HP169" s="51"/>
      <c r="HQ169" s="108" t="str">
        <f t="shared" si="316"/>
        <v/>
      </c>
      <c r="HR169" s="109" t="str">
        <f t="shared" si="387"/>
        <v/>
      </c>
      <c r="HS169" s="109" t="str">
        <f t="shared" si="317"/>
        <v/>
      </c>
      <c r="HT169" s="110" t="str">
        <f t="shared" si="418"/>
        <v/>
      </c>
      <c r="HU169" s="51"/>
      <c r="HV169" s="108" t="str">
        <f t="shared" si="388"/>
        <v/>
      </c>
      <c r="HW169" s="109" t="str">
        <f t="shared" si="389"/>
        <v/>
      </c>
      <c r="HX169" s="109" t="str">
        <f t="shared" si="318"/>
        <v/>
      </c>
      <c r="HY169" s="110" t="str">
        <f t="shared" si="390"/>
        <v/>
      </c>
      <c r="HZ169" s="51"/>
      <c r="IA169" s="108" t="str">
        <f t="shared" si="319"/>
        <v/>
      </c>
      <c r="IB169" s="109" t="str">
        <f t="shared" si="391"/>
        <v/>
      </c>
      <c r="IC169" s="109" t="str">
        <f t="shared" si="320"/>
        <v/>
      </c>
      <c r="ID169" s="110" t="str">
        <f t="shared" si="419"/>
        <v/>
      </c>
      <c r="IE169" s="51"/>
      <c r="IF169" s="108" t="str">
        <f t="shared" si="392"/>
        <v/>
      </c>
      <c r="IG169" s="109" t="str">
        <f t="shared" si="393"/>
        <v/>
      </c>
      <c r="IH169" s="109" t="str">
        <f t="shared" si="321"/>
        <v/>
      </c>
      <c r="II169" s="110" t="str">
        <f t="shared" si="394"/>
        <v/>
      </c>
      <c r="IJ169" s="51"/>
      <c r="IK169" s="108" t="str">
        <f t="shared" si="322"/>
        <v/>
      </c>
      <c r="IL169" s="109" t="str">
        <f t="shared" si="395"/>
        <v/>
      </c>
      <c r="IM169" s="109" t="str">
        <f t="shared" si="323"/>
        <v/>
      </c>
      <c r="IN169" s="110" t="str">
        <f t="shared" si="420"/>
        <v/>
      </c>
      <c r="IO169" s="51"/>
      <c r="IP169" s="108" t="str">
        <f t="shared" si="396"/>
        <v/>
      </c>
      <c r="IQ169" s="109" t="str">
        <f t="shared" si="397"/>
        <v/>
      </c>
      <c r="IR169" s="109" t="str">
        <f t="shared" si="324"/>
        <v/>
      </c>
      <c r="IS169" s="110" t="str">
        <f t="shared" si="398"/>
        <v/>
      </c>
      <c r="IT169" s="51"/>
      <c r="IU169" s="108" t="str">
        <f t="shared" si="325"/>
        <v/>
      </c>
      <c r="IV169" s="109" t="str">
        <f t="shared" si="399"/>
        <v/>
      </c>
      <c r="IW169" s="109" t="str">
        <f t="shared" si="326"/>
        <v/>
      </c>
      <c r="IX169" s="110" t="str">
        <f t="shared" si="421"/>
        <v/>
      </c>
      <c r="IY169" s="51"/>
      <c r="IZ169" s="108" t="str">
        <f t="shared" si="400"/>
        <v/>
      </c>
      <c r="JA169" s="109" t="str">
        <f t="shared" si="401"/>
        <v/>
      </c>
      <c r="JB169" s="109" t="str">
        <f t="shared" si="327"/>
        <v/>
      </c>
      <c r="JC169" s="110" t="str">
        <f t="shared" si="402"/>
        <v/>
      </c>
      <c r="JD169" s="51"/>
      <c r="JE169" s="108" t="str">
        <f t="shared" si="328"/>
        <v/>
      </c>
      <c r="JF169" s="109" t="str">
        <f t="shared" si="403"/>
        <v/>
      </c>
      <c r="JG169" s="109" t="str">
        <f t="shared" si="329"/>
        <v/>
      </c>
      <c r="JH169" s="110" t="str">
        <f t="shared" si="422"/>
        <v/>
      </c>
      <c r="JI169" s="51"/>
      <c r="JJ169" s="108" t="str">
        <f t="shared" si="404"/>
        <v/>
      </c>
      <c r="JK169" s="109" t="str">
        <f t="shared" si="405"/>
        <v/>
      </c>
      <c r="JL169" s="109" t="str">
        <f t="shared" si="330"/>
        <v/>
      </c>
      <c r="JM169" s="110" t="str">
        <f t="shared" si="406"/>
        <v/>
      </c>
      <c r="JN169" s="51"/>
      <c r="JO169" s="108" t="str">
        <f t="shared" si="331"/>
        <v/>
      </c>
      <c r="JP169" s="109" t="str">
        <f t="shared" si="407"/>
        <v/>
      </c>
      <c r="JQ169" s="109" t="str">
        <f t="shared" si="332"/>
        <v/>
      </c>
      <c r="JR169" s="110" t="str">
        <f t="shared" si="423"/>
        <v/>
      </c>
      <c r="JS169" s="51"/>
      <c r="JT169" s="108" t="str">
        <f t="shared" si="408"/>
        <v/>
      </c>
      <c r="JU169" s="109" t="str">
        <f t="shared" si="409"/>
        <v/>
      </c>
      <c r="JV169" s="109" t="str">
        <f t="shared" si="333"/>
        <v/>
      </c>
      <c r="JW169" s="110" t="str">
        <f t="shared" si="410"/>
        <v/>
      </c>
      <c r="JX169" s="51"/>
      <c r="JY169" s="108" t="str">
        <f t="shared" si="334"/>
        <v/>
      </c>
      <c r="JZ169" s="109" t="str">
        <f t="shared" si="411"/>
        <v/>
      </c>
      <c r="KA169" s="109" t="str">
        <f t="shared" si="335"/>
        <v/>
      </c>
      <c r="KB169" s="110" t="str">
        <f t="shared" si="424"/>
        <v/>
      </c>
      <c r="KC169" s="51"/>
      <c r="KD169" s="108" t="str">
        <f t="shared" si="412"/>
        <v/>
      </c>
      <c r="KE169" s="109" t="str">
        <f t="shared" si="413"/>
        <v/>
      </c>
      <c r="KF169" s="109" t="str">
        <f t="shared" si="336"/>
        <v/>
      </c>
      <c r="KG169" s="110" t="str">
        <f t="shared" si="337"/>
        <v/>
      </c>
    </row>
    <row r="170" spans="1:293" ht="12" customHeight="1">
      <c r="A170" s="105">
        <f t="array" ref="A170">MAX(IF($J$80:J169&gt;0,$C$80:C169,0))</f>
        <v>43535</v>
      </c>
      <c r="B170" s="81" t="str">
        <f t="shared" si="248"/>
        <v/>
      </c>
      <c r="C170" s="82">
        <f t="shared" si="414"/>
        <v>0</v>
      </c>
      <c r="D170" s="83" t="str">
        <f t="shared" si="249"/>
        <v/>
      </c>
      <c r="E170" s="83" t="str">
        <f t="shared" si="338"/>
        <v/>
      </c>
      <c r="F170" s="83" t="str">
        <f t="shared" si="250"/>
        <v/>
      </c>
      <c r="G170" s="83" t="str">
        <f t="shared" si="251"/>
        <v/>
      </c>
      <c r="H170" s="83" t="str">
        <f t="shared" si="252"/>
        <v/>
      </c>
      <c r="I170" s="105">
        <f t="array" ref="I170">MAX(IF($R$80:R169&gt;0,$L$80:L169,0))</f>
        <v>0</v>
      </c>
      <c r="J170" s="106"/>
      <c r="K170" s="2" t="str">
        <f t="shared" si="253"/>
        <v/>
      </c>
      <c r="L170" s="82">
        <f t="shared" si="415"/>
        <v>0</v>
      </c>
      <c r="M170" s="83" t="str">
        <f t="shared" si="254"/>
        <v/>
      </c>
      <c r="N170" s="83" t="str">
        <f t="shared" si="255"/>
        <v/>
      </c>
      <c r="O170" s="83" t="str">
        <f t="shared" si="256"/>
        <v/>
      </c>
      <c r="P170" s="83" t="str">
        <f t="shared" si="257"/>
        <v/>
      </c>
      <c r="Q170" s="83" t="str">
        <f t="shared" si="258"/>
        <v/>
      </c>
      <c r="R170" s="106"/>
      <c r="S170" s="1"/>
      <c r="U170" s="85" t="e">
        <f t="shared" si="244"/>
        <v>#NUM!</v>
      </c>
      <c r="V170" s="86" t="e">
        <f t="shared" si="339"/>
        <v>#NUM!</v>
      </c>
      <c r="W170" s="87" t="e">
        <f t="shared" si="259"/>
        <v>#NUM!</v>
      </c>
      <c r="X170" s="87" t="e">
        <f t="shared" si="260"/>
        <v>#NUM!</v>
      </c>
      <c r="Y170" s="87" t="e">
        <f t="shared" si="261"/>
        <v>#NUM!</v>
      </c>
      <c r="Z170" s="88" t="e">
        <f t="shared" si="245"/>
        <v>#NUM!</v>
      </c>
      <c r="AA170" t="s">
        <v>282</v>
      </c>
      <c r="AB170" s="89">
        <f t="shared" si="340"/>
        <v>0</v>
      </c>
      <c r="AC170" s="87">
        <f t="shared" si="262"/>
        <v>0</v>
      </c>
      <c r="AD170" s="87" t="str">
        <f t="shared" si="263"/>
        <v/>
      </c>
      <c r="AE170" s="87" t="str">
        <f t="shared" si="264"/>
        <v/>
      </c>
      <c r="AF170" s="86">
        <f t="shared" si="341"/>
        <v>0</v>
      </c>
      <c r="AG170" s="87">
        <f t="shared" si="246"/>
        <v>0</v>
      </c>
      <c r="AH170" s="87">
        <f t="shared" si="342"/>
        <v>0</v>
      </c>
      <c r="AI170" s="90"/>
      <c r="AJ170" s="87" t="e">
        <f t="shared" si="265"/>
        <v>#NUM!</v>
      </c>
      <c r="AK170" s="87" t="e">
        <f t="shared" si="343"/>
        <v>#NUM!</v>
      </c>
      <c r="AL170" s="87" t="e">
        <f t="shared" si="344"/>
        <v>#NUM!</v>
      </c>
      <c r="AM170" s="87" t="e">
        <f t="shared" si="345"/>
        <v>#NUM!</v>
      </c>
      <c r="AN170" s="86">
        <f t="shared" si="266"/>
        <v>0</v>
      </c>
      <c r="AO170" s="87">
        <f t="shared" si="267"/>
        <v>0</v>
      </c>
      <c r="AP170" s="88">
        <f t="shared" si="268"/>
        <v>0</v>
      </c>
      <c r="AR170" s="91">
        <f t="shared" si="269"/>
        <v>0</v>
      </c>
      <c r="AS170" s="92">
        <f t="shared" si="270"/>
        <v>0</v>
      </c>
      <c r="AT170" s="87" t="str">
        <f t="shared" si="271"/>
        <v/>
      </c>
      <c r="AU170" s="87" t="str">
        <f t="shared" si="272"/>
        <v/>
      </c>
      <c r="AV170" s="86">
        <f t="shared" si="346"/>
        <v>0</v>
      </c>
      <c r="AW170" s="87">
        <f t="shared" si="347"/>
        <v>0</v>
      </c>
      <c r="AX170" s="87">
        <f t="shared" si="348"/>
        <v>0</v>
      </c>
      <c r="AY170" s="93"/>
      <c r="AZ170" s="87">
        <f t="shared" si="425"/>
        <v>0</v>
      </c>
      <c r="BA170" s="87">
        <f t="shared" si="349"/>
        <v>0</v>
      </c>
      <c r="BB170" s="87">
        <f t="shared" si="350"/>
        <v>0</v>
      </c>
      <c r="BC170" s="87">
        <f t="shared" si="416"/>
        <v>0</v>
      </c>
      <c r="BD170" s="86" t="e">
        <f t="shared" si="273"/>
        <v>#NUM!</v>
      </c>
      <c r="BE170" s="87" t="e">
        <f t="shared" si="247"/>
        <v>#NUM!</v>
      </c>
      <c r="BF170" s="88">
        <f t="shared" si="351"/>
        <v>0</v>
      </c>
      <c r="BH170" s="87" t="e">
        <f t="shared" si="274"/>
        <v>#NUM!</v>
      </c>
      <c r="BK170" s="95">
        <v>41641</v>
      </c>
      <c r="BL170" s="96">
        <v>91</v>
      </c>
      <c r="CY170" s="108" t="str">
        <f t="shared" si="275"/>
        <v/>
      </c>
      <c r="CZ170" s="109" t="str">
        <f t="shared" si="276"/>
        <v/>
      </c>
      <c r="DA170" s="109" t="str">
        <f t="shared" si="277"/>
        <v/>
      </c>
      <c r="DB170" s="110" t="str">
        <f t="shared" si="225"/>
        <v/>
      </c>
      <c r="DD170" s="108" t="str">
        <f t="shared" si="278"/>
        <v/>
      </c>
      <c r="DE170" s="109" t="str">
        <f t="shared" si="352"/>
        <v/>
      </c>
      <c r="DF170" s="109" t="str">
        <f t="shared" si="279"/>
        <v/>
      </c>
      <c r="DG170" s="110" t="str">
        <f t="shared" si="226"/>
        <v/>
      </c>
      <c r="DI170" s="108" t="str">
        <f t="shared" si="353"/>
        <v/>
      </c>
      <c r="DJ170" s="109" t="str">
        <f t="shared" si="354"/>
        <v/>
      </c>
      <c r="DK170" s="109" t="str">
        <f t="shared" si="280"/>
        <v/>
      </c>
      <c r="DL170" s="110" t="str">
        <f t="shared" si="227"/>
        <v/>
      </c>
      <c r="DN170" s="108" t="str">
        <f t="shared" si="281"/>
        <v/>
      </c>
      <c r="DO170" s="109" t="str">
        <f t="shared" si="282"/>
        <v/>
      </c>
      <c r="DP170" s="109" t="str">
        <f t="shared" si="283"/>
        <v/>
      </c>
      <c r="DQ170" s="110" t="str">
        <f t="shared" si="228"/>
        <v/>
      </c>
      <c r="DS170" s="108" t="str">
        <f t="shared" si="355"/>
        <v/>
      </c>
      <c r="DT170" s="109" t="str">
        <f t="shared" si="356"/>
        <v/>
      </c>
      <c r="DU170" s="109" t="str">
        <f t="shared" si="284"/>
        <v/>
      </c>
      <c r="DV170" s="110" t="str">
        <f t="shared" si="229"/>
        <v/>
      </c>
      <c r="DX170" s="108" t="str">
        <f t="shared" si="285"/>
        <v/>
      </c>
      <c r="DY170" s="109" t="str">
        <f t="shared" si="357"/>
        <v/>
      </c>
      <c r="DZ170" s="109" t="str">
        <f t="shared" si="286"/>
        <v/>
      </c>
      <c r="EA170" s="110" t="str">
        <f t="shared" si="230"/>
        <v/>
      </c>
      <c r="EC170" s="108" t="str">
        <f t="shared" si="358"/>
        <v/>
      </c>
      <c r="ED170" s="109" t="str">
        <f t="shared" si="359"/>
        <v/>
      </c>
      <c r="EE170" s="109" t="str">
        <f t="shared" si="287"/>
        <v/>
      </c>
      <c r="EF170" s="110" t="str">
        <f t="shared" si="231"/>
        <v/>
      </c>
      <c r="EH170" s="108" t="str">
        <f t="shared" si="288"/>
        <v/>
      </c>
      <c r="EI170" s="109" t="str">
        <f t="shared" si="360"/>
        <v/>
      </c>
      <c r="EJ170" s="109" t="str">
        <f t="shared" si="289"/>
        <v/>
      </c>
      <c r="EK170" s="110" t="str">
        <f t="shared" si="232"/>
        <v/>
      </c>
      <c r="EM170" s="108" t="str">
        <f t="shared" si="361"/>
        <v/>
      </c>
      <c r="EN170" s="109" t="str">
        <f t="shared" si="362"/>
        <v/>
      </c>
      <c r="EO170" s="109" t="str">
        <f t="shared" si="290"/>
        <v/>
      </c>
      <c r="EP170" s="110" t="str">
        <f t="shared" si="233"/>
        <v/>
      </c>
      <c r="ER170" s="108" t="str">
        <f t="shared" si="291"/>
        <v/>
      </c>
      <c r="ES170" s="109" t="str">
        <f t="shared" si="363"/>
        <v/>
      </c>
      <c r="ET170" s="109" t="str">
        <f t="shared" si="292"/>
        <v/>
      </c>
      <c r="EU170" s="110" t="str">
        <f t="shared" si="234"/>
        <v/>
      </c>
      <c r="EW170" s="108" t="str">
        <f t="shared" si="364"/>
        <v/>
      </c>
      <c r="EX170" s="109" t="str">
        <f t="shared" si="365"/>
        <v/>
      </c>
      <c r="EY170" s="109" t="str">
        <f t="shared" si="293"/>
        <v/>
      </c>
      <c r="EZ170" s="110" t="str">
        <f t="shared" si="235"/>
        <v/>
      </c>
      <c r="FB170" s="108" t="str">
        <f t="shared" si="294"/>
        <v/>
      </c>
      <c r="FC170" s="109" t="str">
        <f t="shared" si="366"/>
        <v/>
      </c>
      <c r="FD170" s="109" t="str">
        <f t="shared" si="295"/>
        <v/>
      </c>
      <c r="FE170" s="110" t="str">
        <f t="shared" si="236"/>
        <v/>
      </c>
      <c r="FG170" s="108" t="str">
        <f t="shared" si="367"/>
        <v/>
      </c>
      <c r="FH170" s="109" t="str">
        <f t="shared" si="368"/>
        <v/>
      </c>
      <c r="FI170" s="109" t="str">
        <f t="shared" si="296"/>
        <v/>
      </c>
      <c r="FJ170" s="110" t="str">
        <f t="shared" si="237"/>
        <v/>
      </c>
      <c r="FL170" s="108" t="str">
        <f t="shared" si="297"/>
        <v/>
      </c>
      <c r="FM170" s="109" t="str">
        <f t="shared" si="369"/>
        <v/>
      </c>
      <c r="FN170" s="109" t="str">
        <f t="shared" si="298"/>
        <v/>
      </c>
      <c r="FO170" s="110" t="str">
        <f t="shared" si="238"/>
        <v/>
      </c>
      <c r="FQ170" s="108" t="str">
        <f t="shared" si="370"/>
        <v/>
      </c>
      <c r="FR170" s="109" t="str">
        <f t="shared" si="371"/>
        <v/>
      </c>
      <c r="FS170" s="109" t="str">
        <f t="shared" si="299"/>
        <v/>
      </c>
      <c r="FT170" s="110" t="str">
        <f t="shared" si="239"/>
        <v/>
      </c>
      <c r="FV170" s="108" t="str">
        <f t="shared" si="300"/>
        <v/>
      </c>
      <c r="FW170" s="109" t="str">
        <f t="shared" si="372"/>
        <v/>
      </c>
      <c r="FX170" s="109" t="str">
        <f t="shared" si="301"/>
        <v/>
      </c>
      <c r="FY170" s="110" t="str">
        <f t="shared" si="240"/>
        <v/>
      </c>
      <c r="GA170" s="108" t="str">
        <f t="shared" si="373"/>
        <v/>
      </c>
      <c r="GB170" s="109" t="str">
        <f t="shared" si="374"/>
        <v/>
      </c>
      <c r="GC170" s="109" t="str">
        <f t="shared" si="302"/>
        <v/>
      </c>
      <c r="GD170" s="110" t="str">
        <f t="shared" si="241"/>
        <v/>
      </c>
      <c r="GF170" s="108" t="str">
        <f t="shared" si="303"/>
        <v/>
      </c>
      <c r="GG170" s="109" t="str">
        <f t="shared" si="375"/>
        <v/>
      </c>
      <c r="GH170" s="109" t="str">
        <f t="shared" si="304"/>
        <v/>
      </c>
      <c r="GI170" s="110" t="str">
        <f t="shared" si="242"/>
        <v/>
      </c>
      <c r="GK170" s="108" t="str">
        <f t="shared" si="376"/>
        <v/>
      </c>
      <c r="GL170" s="109" t="str">
        <f t="shared" si="377"/>
        <v/>
      </c>
      <c r="GM170" s="109" t="str">
        <f t="shared" si="378"/>
        <v/>
      </c>
      <c r="GN170" s="110" t="str">
        <f t="shared" si="243"/>
        <v/>
      </c>
      <c r="GR170" s="108" t="str">
        <f t="shared" si="305"/>
        <v/>
      </c>
      <c r="GS170" s="109" t="str">
        <f t="shared" si="306"/>
        <v/>
      </c>
      <c r="GT170" s="109" t="str">
        <f t="shared" si="307"/>
        <v/>
      </c>
      <c r="GU170" s="110" t="str">
        <f t="shared" si="308"/>
        <v/>
      </c>
      <c r="GV170" s="51"/>
      <c r="GW170" s="108" t="str">
        <f t="shared" si="309"/>
        <v/>
      </c>
      <c r="GX170" s="109" t="str">
        <f t="shared" si="379"/>
        <v/>
      </c>
      <c r="GY170" s="109" t="str">
        <f t="shared" si="310"/>
        <v/>
      </c>
      <c r="GZ170" s="110" t="str">
        <f t="shared" si="311"/>
        <v/>
      </c>
      <c r="HA170" s="51"/>
      <c r="HB170" s="108" t="str">
        <f t="shared" si="380"/>
        <v/>
      </c>
      <c r="HC170" s="109" t="str">
        <f t="shared" si="381"/>
        <v/>
      </c>
      <c r="HD170" s="109" t="str">
        <f t="shared" si="312"/>
        <v/>
      </c>
      <c r="HE170" s="110" t="str">
        <f t="shared" si="382"/>
        <v/>
      </c>
      <c r="HF170" s="51"/>
      <c r="HG170" s="108" t="str">
        <f t="shared" si="313"/>
        <v/>
      </c>
      <c r="HH170" s="109" t="str">
        <f t="shared" si="383"/>
        <v/>
      </c>
      <c r="HI170" s="109" t="str">
        <f t="shared" si="314"/>
        <v/>
      </c>
      <c r="HJ170" s="110" t="str">
        <f t="shared" si="417"/>
        <v/>
      </c>
      <c r="HK170" s="51"/>
      <c r="HL170" s="108" t="str">
        <f t="shared" si="384"/>
        <v/>
      </c>
      <c r="HM170" s="109" t="str">
        <f t="shared" si="385"/>
        <v/>
      </c>
      <c r="HN170" s="109" t="str">
        <f t="shared" si="315"/>
        <v/>
      </c>
      <c r="HO170" s="110" t="str">
        <f t="shared" si="386"/>
        <v/>
      </c>
      <c r="HP170" s="51"/>
      <c r="HQ170" s="108" t="str">
        <f t="shared" si="316"/>
        <v/>
      </c>
      <c r="HR170" s="109" t="str">
        <f t="shared" si="387"/>
        <v/>
      </c>
      <c r="HS170" s="109" t="str">
        <f t="shared" si="317"/>
        <v/>
      </c>
      <c r="HT170" s="110" t="str">
        <f t="shared" si="418"/>
        <v/>
      </c>
      <c r="HU170" s="51"/>
      <c r="HV170" s="108" t="str">
        <f t="shared" si="388"/>
        <v/>
      </c>
      <c r="HW170" s="109" t="str">
        <f t="shared" si="389"/>
        <v/>
      </c>
      <c r="HX170" s="109" t="str">
        <f t="shared" si="318"/>
        <v/>
      </c>
      <c r="HY170" s="110" t="str">
        <f t="shared" si="390"/>
        <v/>
      </c>
      <c r="HZ170" s="51"/>
      <c r="IA170" s="108" t="str">
        <f t="shared" si="319"/>
        <v/>
      </c>
      <c r="IB170" s="109" t="str">
        <f t="shared" si="391"/>
        <v/>
      </c>
      <c r="IC170" s="109" t="str">
        <f t="shared" si="320"/>
        <v/>
      </c>
      <c r="ID170" s="110" t="str">
        <f t="shared" si="419"/>
        <v/>
      </c>
      <c r="IE170" s="51"/>
      <c r="IF170" s="108" t="str">
        <f t="shared" si="392"/>
        <v/>
      </c>
      <c r="IG170" s="109" t="str">
        <f t="shared" si="393"/>
        <v/>
      </c>
      <c r="IH170" s="109" t="str">
        <f t="shared" si="321"/>
        <v/>
      </c>
      <c r="II170" s="110" t="str">
        <f t="shared" si="394"/>
        <v/>
      </c>
      <c r="IJ170" s="51"/>
      <c r="IK170" s="108" t="str">
        <f t="shared" si="322"/>
        <v/>
      </c>
      <c r="IL170" s="109" t="str">
        <f t="shared" si="395"/>
        <v/>
      </c>
      <c r="IM170" s="109" t="str">
        <f t="shared" si="323"/>
        <v/>
      </c>
      <c r="IN170" s="110" t="str">
        <f t="shared" si="420"/>
        <v/>
      </c>
      <c r="IO170" s="51"/>
      <c r="IP170" s="108" t="str">
        <f t="shared" si="396"/>
        <v/>
      </c>
      <c r="IQ170" s="109" t="str">
        <f t="shared" si="397"/>
        <v/>
      </c>
      <c r="IR170" s="109" t="str">
        <f t="shared" si="324"/>
        <v/>
      </c>
      <c r="IS170" s="110" t="str">
        <f t="shared" si="398"/>
        <v/>
      </c>
      <c r="IT170" s="51"/>
      <c r="IU170" s="108" t="str">
        <f t="shared" si="325"/>
        <v/>
      </c>
      <c r="IV170" s="109" t="str">
        <f t="shared" si="399"/>
        <v/>
      </c>
      <c r="IW170" s="109" t="str">
        <f t="shared" si="326"/>
        <v/>
      </c>
      <c r="IX170" s="110" t="str">
        <f t="shared" si="421"/>
        <v/>
      </c>
      <c r="IY170" s="51"/>
      <c r="IZ170" s="108" t="str">
        <f t="shared" si="400"/>
        <v/>
      </c>
      <c r="JA170" s="109" t="str">
        <f t="shared" si="401"/>
        <v/>
      </c>
      <c r="JB170" s="109" t="str">
        <f t="shared" si="327"/>
        <v/>
      </c>
      <c r="JC170" s="110" t="str">
        <f t="shared" si="402"/>
        <v/>
      </c>
      <c r="JD170" s="51"/>
      <c r="JE170" s="108" t="str">
        <f t="shared" si="328"/>
        <v/>
      </c>
      <c r="JF170" s="109" t="str">
        <f t="shared" si="403"/>
        <v/>
      </c>
      <c r="JG170" s="109" t="str">
        <f t="shared" si="329"/>
        <v/>
      </c>
      <c r="JH170" s="110" t="str">
        <f t="shared" si="422"/>
        <v/>
      </c>
      <c r="JI170" s="51"/>
      <c r="JJ170" s="108" t="str">
        <f t="shared" si="404"/>
        <v/>
      </c>
      <c r="JK170" s="109" t="str">
        <f t="shared" si="405"/>
        <v/>
      </c>
      <c r="JL170" s="109" t="str">
        <f t="shared" si="330"/>
        <v/>
      </c>
      <c r="JM170" s="110" t="str">
        <f t="shared" si="406"/>
        <v/>
      </c>
      <c r="JN170" s="51"/>
      <c r="JO170" s="108" t="str">
        <f t="shared" si="331"/>
        <v/>
      </c>
      <c r="JP170" s="109" t="str">
        <f t="shared" si="407"/>
        <v/>
      </c>
      <c r="JQ170" s="109" t="str">
        <f t="shared" si="332"/>
        <v/>
      </c>
      <c r="JR170" s="110" t="str">
        <f t="shared" si="423"/>
        <v/>
      </c>
      <c r="JS170" s="51"/>
      <c r="JT170" s="108" t="str">
        <f t="shared" si="408"/>
        <v/>
      </c>
      <c r="JU170" s="109" t="str">
        <f t="shared" si="409"/>
        <v/>
      </c>
      <c r="JV170" s="109" t="str">
        <f t="shared" si="333"/>
        <v/>
      </c>
      <c r="JW170" s="110" t="str">
        <f t="shared" si="410"/>
        <v/>
      </c>
      <c r="JX170" s="51"/>
      <c r="JY170" s="108" t="str">
        <f t="shared" si="334"/>
        <v/>
      </c>
      <c r="JZ170" s="109" t="str">
        <f t="shared" si="411"/>
        <v/>
      </c>
      <c r="KA170" s="109" t="str">
        <f t="shared" si="335"/>
        <v/>
      </c>
      <c r="KB170" s="110" t="str">
        <f t="shared" si="424"/>
        <v/>
      </c>
      <c r="KC170" s="51"/>
      <c r="KD170" s="108" t="str">
        <f t="shared" si="412"/>
        <v/>
      </c>
      <c r="KE170" s="109" t="str">
        <f t="shared" si="413"/>
        <v/>
      </c>
      <c r="KF170" s="109" t="str">
        <f t="shared" si="336"/>
        <v/>
      </c>
      <c r="KG170" s="110" t="str">
        <f t="shared" si="337"/>
        <v/>
      </c>
    </row>
    <row r="171" spans="1:293" ht="12" customHeight="1">
      <c r="A171" s="105">
        <f t="array" ref="A171">MAX(IF($J$80:J170&gt;0,$C$80:C170,0))</f>
        <v>43535</v>
      </c>
      <c r="B171" s="81" t="str">
        <f t="shared" si="248"/>
        <v/>
      </c>
      <c r="C171" s="82">
        <f t="shared" si="414"/>
        <v>0</v>
      </c>
      <c r="D171" s="83" t="str">
        <f t="shared" si="249"/>
        <v/>
      </c>
      <c r="E171" s="83" t="str">
        <f t="shared" si="338"/>
        <v/>
      </c>
      <c r="F171" s="83" t="str">
        <f t="shared" si="250"/>
        <v/>
      </c>
      <c r="G171" s="83" t="str">
        <f t="shared" si="251"/>
        <v/>
      </c>
      <c r="H171" s="83" t="str">
        <f t="shared" si="252"/>
        <v/>
      </c>
      <c r="I171" s="105">
        <f t="array" ref="I171">MAX(IF($R$80:R170&gt;0,$L$80:L170,0))</f>
        <v>0</v>
      </c>
      <c r="J171" s="106"/>
      <c r="K171" s="2" t="str">
        <f t="shared" si="253"/>
        <v/>
      </c>
      <c r="L171" s="82">
        <f t="shared" si="415"/>
        <v>0</v>
      </c>
      <c r="M171" s="83" t="str">
        <f t="shared" si="254"/>
        <v/>
      </c>
      <c r="N171" s="83" t="str">
        <f t="shared" si="255"/>
        <v/>
      </c>
      <c r="O171" s="83" t="str">
        <f t="shared" si="256"/>
        <v/>
      </c>
      <c r="P171" s="83" t="str">
        <f t="shared" si="257"/>
        <v/>
      </c>
      <c r="Q171" s="83" t="str">
        <f t="shared" si="258"/>
        <v/>
      </c>
      <c r="R171" s="106"/>
      <c r="S171" s="1"/>
      <c r="U171" s="85" t="e">
        <f t="shared" si="244"/>
        <v>#NUM!</v>
      </c>
      <c r="V171" s="86" t="e">
        <f t="shared" si="339"/>
        <v>#NUM!</v>
      </c>
      <c r="W171" s="87" t="e">
        <f t="shared" si="259"/>
        <v>#NUM!</v>
      </c>
      <c r="X171" s="87" t="e">
        <f t="shared" si="260"/>
        <v>#NUM!</v>
      </c>
      <c r="Y171" s="87" t="e">
        <f t="shared" si="261"/>
        <v>#NUM!</v>
      </c>
      <c r="Z171" s="88" t="e">
        <f t="shared" si="245"/>
        <v>#NUM!</v>
      </c>
      <c r="AA171" t="s">
        <v>282</v>
      </c>
      <c r="AB171" s="89">
        <f t="shared" si="340"/>
        <v>0</v>
      </c>
      <c r="AC171" s="87">
        <f t="shared" si="262"/>
        <v>0</v>
      </c>
      <c r="AD171" s="87" t="str">
        <f t="shared" si="263"/>
        <v/>
      </c>
      <c r="AE171" s="87" t="str">
        <f t="shared" si="264"/>
        <v/>
      </c>
      <c r="AF171" s="86">
        <f t="shared" si="341"/>
        <v>0</v>
      </c>
      <c r="AG171" s="87">
        <f t="shared" si="246"/>
        <v>0</v>
      </c>
      <c r="AH171" s="87">
        <f t="shared" si="342"/>
        <v>0</v>
      </c>
      <c r="AI171" s="90"/>
      <c r="AJ171" s="87" t="e">
        <f t="shared" si="265"/>
        <v>#NUM!</v>
      </c>
      <c r="AK171" s="87" t="e">
        <f t="shared" si="343"/>
        <v>#NUM!</v>
      </c>
      <c r="AL171" s="87" t="e">
        <f t="shared" si="344"/>
        <v>#NUM!</v>
      </c>
      <c r="AM171" s="87" t="e">
        <f t="shared" si="345"/>
        <v>#NUM!</v>
      </c>
      <c r="AN171" s="86">
        <f t="shared" si="266"/>
        <v>0</v>
      </c>
      <c r="AO171" s="87">
        <f t="shared" si="267"/>
        <v>0</v>
      </c>
      <c r="AP171" s="88">
        <f t="shared" si="268"/>
        <v>0</v>
      </c>
      <c r="AR171" s="91">
        <f t="shared" si="269"/>
        <v>0</v>
      </c>
      <c r="AS171" s="92">
        <f t="shared" si="270"/>
        <v>0</v>
      </c>
      <c r="AT171" s="87" t="str">
        <f t="shared" si="271"/>
        <v/>
      </c>
      <c r="AU171" s="87" t="str">
        <f t="shared" si="272"/>
        <v/>
      </c>
      <c r="AV171" s="86">
        <f t="shared" si="346"/>
        <v>0</v>
      </c>
      <c r="AW171" s="87">
        <f t="shared" si="347"/>
        <v>0</v>
      </c>
      <c r="AX171" s="87">
        <f t="shared" si="348"/>
        <v>0</v>
      </c>
      <c r="AY171" s="93"/>
      <c r="AZ171" s="87">
        <f t="shared" si="425"/>
        <v>0</v>
      </c>
      <c r="BA171" s="87">
        <f t="shared" si="349"/>
        <v>0</v>
      </c>
      <c r="BB171" s="87">
        <f t="shared" si="350"/>
        <v>0</v>
      </c>
      <c r="BC171" s="87">
        <f t="shared" si="416"/>
        <v>0</v>
      </c>
      <c r="BD171" s="86" t="e">
        <f t="shared" si="273"/>
        <v>#NUM!</v>
      </c>
      <c r="BE171" s="87" t="e">
        <f t="shared" si="247"/>
        <v>#NUM!</v>
      </c>
      <c r="BF171" s="88">
        <f t="shared" si="351"/>
        <v>0</v>
      </c>
      <c r="BH171" s="87" t="e">
        <f t="shared" si="274"/>
        <v>#NUM!</v>
      </c>
      <c r="BK171" s="95">
        <v>41646</v>
      </c>
      <c r="BL171" s="96">
        <v>92</v>
      </c>
      <c r="CY171" s="108" t="str">
        <f t="shared" si="275"/>
        <v/>
      </c>
      <c r="CZ171" s="109" t="str">
        <f t="shared" si="276"/>
        <v/>
      </c>
      <c r="DA171" s="109" t="str">
        <f t="shared" si="277"/>
        <v/>
      </c>
      <c r="DB171" s="110" t="str">
        <f t="shared" si="225"/>
        <v/>
      </c>
      <c r="DD171" s="108" t="str">
        <f t="shared" si="278"/>
        <v/>
      </c>
      <c r="DE171" s="109" t="str">
        <f t="shared" si="352"/>
        <v/>
      </c>
      <c r="DF171" s="109" t="str">
        <f t="shared" si="279"/>
        <v/>
      </c>
      <c r="DG171" s="110" t="str">
        <f t="shared" si="226"/>
        <v/>
      </c>
      <c r="DI171" s="108" t="str">
        <f t="shared" si="353"/>
        <v/>
      </c>
      <c r="DJ171" s="109" t="str">
        <f t="shared" si="354"/>
        <v/>
      </c>
      <c r="DK171" s="109" t="str">
        <f t="shared" si="280"/>
        <v/>
      </c>
      <c r="DL171" s="110" t="str">
        <f t="shared" si="227"/>
        <v/>
      </c>
      <c r="DN171" s="108" t="str">
        <f t="shared" si="281"/>
        <v/>
      </c>
      <c r="DO171" s="109" t="str">
        <f t="shared" si="282"/>
        <v/>
      </c>
      <c r="DP171" s="109" t="str">
        <f t="shared" si="283"/>
        <v/>
      </c>
      <c r="DQ171" s="110" t="str">
        <f t="shared" si="228"/>
        <v/>
      </c>
      <c r="DS171" s="108" t="str">
        <f t="shared" si="355"/>
        <v/>
      </c>
      <c r="DT171" s="109" t="str">
        <f t="shared" si="356"/>
        <v/>
      </c>
      <c r="DU171" s="109" t="str">
        <f t="shared" si="284"/>
        <v/>
      </c>
      <c r="DV171" s="110" t="str">
        <f t="shared" si="229"/>
        <v/>
      </c>
      <c r="DX171" s="108" t="str">
        <f t="shared" si="285"/>
        <v/>
      </c>
      <c r="DY171" s="109" t="str">
        <f t="shared" si="357"/>
        <v/>
      </c>
      <c r="DZ171" s="109" t="str">
        <f t="shared" si="286"/>
        <v/>
      </c>
      <c r="EA171" s="110" t="str">
        <f t="shared" si="230"/>
        <v/>
      </c>
      <c r="EC171" s="108" t="str">
        <f t="shared" si="358"/>
        <v/>
      </c>
      <c r="ED171" s="109" t="str">
        <f t="shared" si="359"/>
        <v/>
      </c>
      <c r="EE171" s="109" t="str">
        <f t="shared" si="287"/>
        <v/>
      </c>
      <c r="EF171" s="110" t="str">
        <f t="shared" si="231"/>
        <v/>
      </c>
      <c r="EH171" s="108" t="str">
        <f t="shared" si="288"/>
        <v/>
      </c>
      <c r="EI171" s="109" t="str">
        <f t="shared" si="360"/>
        <v/>
      </c>
      <c r="EJ171" s="109" t="str">
        <f t="shared" si="289"/>
        <v/>
      </c>
      <c r="EK171" s="110" t="str">
        <f t="shared" si="232"/>
        <v/>
      </c>
      <c r="EM171" s="108" t="str">
        <f t="shared" si="361"/>
        <v/>
      </c>
      <c r="EN171" s="109" t="str">
        <f t="shared" si="362"/>
        <v/>
      </c>
      <c r="EO171" s="109" t="str">
        <f t="shared" si="290"/>
        <v/>
      </c>
      <c r="EP171" s="110" t="str">
        <f t="shared" si="233"/>
        <v/>
      </c>
      <c r="ER171" s="108" t="str">
        <f t="shared" si="291"/>
        <v/>
      </c>
      <c r="ES171" s="109" t="str">
        <f t="shared" si="363"/>
        <v/>
      </c>
      <c r="ET171" s="109" t="str">
        <f t="shared" si="292"/>
        <v/>
      </c>
      <c r="EU171" s="110" t="str">
        <f t="shared" si="234"/>
        <v/>
      </c>
      <c r="EW171" s="108" t="str">
        <f t="shared" si="364"/>
        <v/>
      </c>
      <c r="EX171" s="109" t="str">
        <f t="shared" si="365"/>
        <v/>
      </c>
      <c r="EY171" s="109" t="str">
        <f t="shared" si="293"/>
        <v/>
      </c>
      <c r="EZ171" s="110" t="str">
        <f t="shared" si="235"/>
        <v/>
      </c>
      <c r="FB171" s="108" t="str">
        <f t="shared" si="294"/>
        <v/>
      </c>
      <c r="FC171" s="109" t="str">
        <f t="shared" si="366"/>
        <v/>
      </c>
      <c r="FD171" s="109" t="str">
        <f t="shared" si="295"/>
        <v/>
      </c>
      <c r="FE171" s="110" t="str">
        <f t="shared" si="236"/>
        <v/>
      </c>
      <c r="FG171" s="108" t="str">
        <f t="shared" si="367"/>
        <v/>
      </c>
      <c r="FH171" s="109" t="str">
        <f t="shared" si="368"/>
        <v/>
      </c>
      <c r="FI171" s="109" t="str">
        <f t="shared" si="296"/>
        <v/>
      </c>
      <c r="FJ171" s="110" t="str">
        <f t="shared" si="237"/>
        <v/>
      </c>
      <c r="FL171" s="108" t="str">
        <f t="shared" si="297"/>
        <v/>
      </c>
      <c r="FM171" s="109" t="str">
        <f t="shared" si="369"/>
        <v/>
      </c>
      <c r="FN171" s="109" t="str">
        <f t="shared" si="298"/>
        <v/>
      </c>
      <c r="FO171" s="110" t="str">
        <f t="shared" si="238"/>
        <v/>
      </c>
      <c r="FQ171" s="108" t="str">
        <f t="shared" si="370"/>
        <v/>
      </c>
      <c r="FR171" s="109" t="str">
        <f t="shared" si="371"/>
        <v/>
      </c>
      <c r="FS171" s="109" t="str">
        <f t="shared" si="299"/>
        <v/>
      </c>
      <c r="FT171" s="110" t="str">
        <f t="shared" si="239"/>
        <v/>
      </c>
      <c r="FV171" s="108" t="str">
        <f t="shared" si="300"/>
        <v/>
      </c>
      <c r="FW171" s="109" t="str">
        <f t="shared" si="372"/>
        <v/>
      </c>
      <c r="FX171" s="109" t="str">
        <f t="shared" si="301"/>
        <v/>
      </c>
      <c r="FY171" s="110" t="str">
        <f t="shared" si="240"/>
        <v/>
      </c>
      <c r="GA171" s="108" t="str">
        <f t="shared" si="373"/>
        <v/>
      </c>
      <c r="GB171" s="109" t="str">
        <f t="shared" si="374"/>
        <v/>
      </c>
      <c r="GC171" s="109" t="str">
        <f t="shared" si="302"/>
        <v/>
      </c>
      <c r="GD171" s="110" t="str">
        <f t="shared" si="241"/>
        <v/>
      </c>
      <c r="GF171" s="108" t="str">
        <f t="shared" si="303"/>
        <v/>
      </c>
      <c r="GG171" s="109" t="str">
        <f t="shared" si="375"/>
        <v/>
      </c>
      <c r="GH171" s="109" t="str">
        <f t="shared" si="304"/>
        <v/>
      </c>
      <c r="GI171" s="110" t="str">
        <f t="shared" si="242"/>
        <v/>
      </c>
      <c r="GK171" s="108" t="str">
        <f t="shared" si="376"/>
        <v/>
      </c>
      <c r="GL171" s="109" t="str">
        <f t="shared" si="377"/>
        <v/>
      </c>
      <c r="GM171" s="109" t="str">
        <f t="shared" si="378"/>
        <v/>
      </c>
      <c r="GN171" s="110" t="str">
        <f t="shared" si="243"/>
        <v/>
      </c>
      <c r="GR171" s="108" t="str">
        <f t="shared" si="305"/>
        <v/>
      </c>
      <c r="GS171" s="109" t="str">
        <f t="shared" si="306"/>
        <v/>
      </c>
      <c r="GT171" s="109" t="str">
        <f t="shared" si="307"/>
        <v/>
      </c>
      <c r="GU171" s="110" t="str">
        <f t="shared" si="308"/>
        <v/>
      </c>
      <c r="GV171" s="51"/>
      <c r="GW171" s="108" t="str">
        <f t="shared" si="309"/>
        <v/>
      </c>
      <c r="GX171" s="109" t="str">
        <f t="shared" si="379"/>
        <v/>
      </c>
      <c r="GY171" s="109" t="str">
        <f t="shared" si="310"/>
        <v/>
      </c>
      <c r="GZ171" s="110" t="str">
        <f t="shared" si="311"/>
        <v/>
      </c>
      <c r="HA171" s="51"/>
      <c r="HB171" s="108" t="str">
        <f t="shared" si="380"/>
        <v/>
      </c>
      <c r="HC171" s="109" t="str">
        <f t="shared" si="381"/>
        <v/>
      </c>
      <c r="HD171" s="109" t="str">
        <f t="shared" si="312"/>
        <v/>
      </c>
      <c r="HE171" s="110" t="str">
        <f t="shared" si="382"/>
        <v/>
      </c>
      <c r="HF171" s="51"/>
      <c r="HG171" s="108" t="str">
        <f t="shared" si="313"/>
        <v/>
      </c>
      <c r="HH171" s="109" t="str">
        <f t="shared" si="383"/>
        <v/>
      </c>
      <c r="HI171" s="109" t="str">
        <f t="shared" si="314"/>
        <v/>
      </c>
      <c r="HJ171" s="110" t="str">
        <f t="shared" si="417"/>
        <v/>
      </c>
      <c r="HK171" s="51"/>
      <c r="HL171" s="108" t="str">
        <f t="shared" si="384"/>
        <v/>
      </c>
      <c r="HM171" s="109" t="str">
        <f t="shared" si="385"/>
        <v/>
      </c>
      <c r="HN171" s="109" t="str">
        <f t="shared" si="315"/>
        <v/>
      </c>
      <c r="HO171" s="110" t="str">
        <f t="shared" si="386"/>
        <v/>
      </c>
      <c r="HP171" s="51"/>
      <c r="HQ171" s="108" t="str">
        <f t="shared" si="316"/>
        <v/>
      </c>
      <c r="HR171" s="109" t="str">
        <f t="shared" si="387"/>
        <v/>
      </c>
      <c r="HS171" s="109" t="str">
        <f t="shared" si="317"/>
        <v/>
      </c>
      <c r="HT171" s="110" t="str">
        <f t="shared" si="418"/>
        <v/>
      </c>
      <c r="HU171" s="51"/>
      <c r="HV171" s="108" t="str">
        <f t="shared" si="388"/>
        <v/>
      </c>
      <c r="HW171" s="109" t="str">
        <f t="shared" si="389"/>
        <v/>
      </c>
      <c r="HX171" s="109" t="str">
        <f t="shared" si="318"/>
        <v/>
      </c>
      <c r="HY171" s="110" t="str">
        <f t="shared" si="390"/>
        <v/>
      </c>
      <c r="HZ171" s="51"/>
      <c r="IA171" s="108" t="str">
        <f t="shared" si="319"/>
        <v/>
      </c>
      <c r="IB171" s="109" t="str">
        <f t="shared" si="391"/>
        <v/>
      </c>
      <c r="IC171" s="109" t="str">
        <f t="shared" si="320"/>
        <v/>
      </c>
      <c r="ID171" s="110" t="str">
        <f t="shared" si="419"/>
        <v/>
      </c>
      <c r="IE171" s="51"/>
      <c r="IF171" s="108" t="str">
        <f t="shared" si="392"/>
        <v/>
      </c>
      <c r="IG171" s="109" t="str">
        <f t="shared" si="393"/>
        <v/>
      </c>
      <c r="IH171" s="109" t="str">
        <f t="shared" si="321"/>
        <v/>
      </c>
      <c r="II171" s="110" t="str">
        <f t="shared" si="394"/>
        <v/>
      </c>
      <c r="IJ171" s="51"/>
      <c r="IK171" s="108" t="str">
        <f t="shared" si="322"/>
        <v/>
      </c>
      <c r="IL171" s="109" t="str">
        <f t="shared" si="395"/>
        <v/>
      </c>
      <c r="IM171" s="109" t="str">
        <f t="shared" si="323"/>
        <v/>
      </c>
      <c r="IN171" s="110" t="str">
        <f t="shared" si="420"/>
        <v/>
      </c>
      <c r="IO171" s="51"/>
      <c r="IP171" s="108" t="str">
        <f t="shared" si="396"/>
        <v/>
      </c>
      <c r="IQ171" s="109" t="str">
        <f t="shared" si="397"/>
        <v/>
      </c>
      <c r="IR171" s="109" t="str">
        <f t="shared" si="324"/>
        <v/>
      </c>
      <c r="IS171" s="110" t="str">
        <f t="shared" si="398"/>
        <v/>
      </c>
      <c r="IT171" s="51"/>
      <c r="IU171" s="108" t="str">
        <f t="shared" si="325"/>
        <v/>
      </c>
      <c r="IV171" s="109" t="str">
        <f t="shared" si="399"/>
        <v/>
      </c>
      <c r="IW171" s="109" t="str">
        <f t="shared" si="326"/>
        <v/>
      </c>
      <c r="IX171" s="110" t="str">
        <f t="shared" si="421"/>
        <v/>
      </c>
      <c r="IY171" s="51"/>
      <c r="IZ171" s="108" t="str">
        <f t="shared" si="400"/>
        <v/>
      </c>
      <c r="JA171" s="109" t="str">
        <f t="shared" si="401"/>
        <v/>
      </c>
      <c r="JB171" s="109" t="str">
        <f t="shared" si="327"/>
        <v/>
      </c>
      <c r="JC171" s="110" t="str">
        <f t="shared" si="402"/>
        <v/>
      </c>
      <c r="JD171" s="51"/>
      <c r="JE171" s="108" t="str">
        <f t="shared" si="328"/>
        <v/>
      </c>
      <c r="JF171" s="109" t="str">
        <f t="shared" si="403"/>
        <v/>
      </c>
      <c r="JG171" s="109" t="str">
        <f t="shared" si="329"/>
        <v/>
      </c>
      <c r="JH171" s="110" t="str">
        <f t="shared" si="422"/>
        <v/>
      </c>
      <c r="JI171" s="51"/>
      <c r="JJ171" s="108" t="str">
        <f t="shared" si="404"/>
        <v/>
      </c>
      <c r="JK171" s="109" t="str">
        <f t="shared" si="405"/>
        <v/>
      </c>
      <c r="JL171" s="109" t="str">
        <f t="shared" si="330"/>
        <v/>
      </c>
      <c r="JM171" s="110" t="str">
        <f t="shared" si="406"/>
        <v/>
      </c>
      <c r="JN171" s="51"/>
      <c r="JO171" s="108" t="str">
        <f t="shared" si="331"/>
        <v/>
      </c>
      <c r="JP171" s="109" t="str">
        <f t="shared" si="407"/>
        <v/>
      </c>
      <c r="JQ171" s="109" t="str">
        <f t="shared" si="332"/>
        <v/>
      </c>
      <c r="JR171" s="110" t="str">
        <f t="shared" si="423"/>
        <v/>
      </c>
      <c r="JS171" s="51"/>
      <c r="JT171" s="108" t="str">
        <f t="shared" si="408"/>
        <v/>
      </c>
      <c r="JU171" s="109" t="str">
        <f t="shared" si="409"/>
        <v/>
      </c>
      <c r="JV171" s="109" t="str">
        <f t="shared" si="333"/>
        <v/>
      </c>
      <c r="JW171" s="110" t="str">
        <f t="shared" si="410"/>
        <v/>
      </c>
      <c r="JX171" s="51"/>
      <c r="JY171" s="108" t="str">
        <f t="shared" si="334"/>
        <v/>
      </c>
      <c r="JZ171" s="109" t="str">
        <f t="shared" si="411"/>
        <v/>
      </c>
      <c r="KA171" s="109" t="str">
        <f t="shared" si="335"/>
        <v/>
      </c>
      <c r="KB171" s="110" t="str">
        <f t="shared" si="424"/>
        <v/>
      </c>
      <c r="KC171" s="51"/>
      <c r="KD171" s="108" t="str">
        <f t="shared" si="412"/>
        <v/>
      </c>
      <c r="KE171" s="109" t="str">
        <f t="shared" si="413"/>
        <v/>
      </c>
      <c r="KF171" s="109" t="str">
        <f t="shared" si="336"/>
        <v/>
      </c>
      <c r="KG171" s="110" t="str">
        <f t="shared" si="337"/>
        <v/>
      </c>
    </row>
    <row r="172" spans="1:293" ht="12" customHeight="1">
      <c r="A172" s="105">
        <f t="array" ref="A172">MAX(IF($J$80:J171&gt;0,$C$80:C171,0))</f>
        <v>43535</v>
      </c>
      <c r="B172" s="81" t="str">
        <f t="shared" si="248"/>
        <v/>
      </c>
      <c r="C172" s="82">
        <f t="shared" si="414"/>
        <v>0</v>
      </c>
      <c r="D172" s="83" t="str">
        <f t="shared" si="249"/>
        <v/>
      </c>
      <c r="E172" s="83" t="str">
        <f t="shared" si="338"/>
        <v/>
      </c>
      <c r="F172" s="83" t="str">
        <f t="shared" si="250"/>
        <v/>
      </c>
      <c r="G172" s="83" t="str">
        <f t="shared" si="251"/>
        <v/>
      </c>
      <c r="H172" s="83" t="str">
        <f t="shared" si="252"/>
        <v/>
      </c>
      <c r="I172" s="105">
        <f t="array" ref="I172">MAX(IF($R$80:R171&gt;0,$L$80:L171,0))</f>
        <v>0</v>
      </c>
      <c r="J172" s="106"/>
      <c r="K172" s="2" t="str">
        <f t="shared" si="253"/>
        <v/>
      </c>
      <c r="L172" s="82">
        <f t="shared" si="415"/>
        <v>0</v>
      </c>
      <c r="M172" s="83" t="str">
        <f t="shared" si="254"/>
        <v/>
      </c>
      <c r="N172" s="83" t="str">
        <f t="shared" si="255"/>
        <v/>
      </c>
      <c r="O172" s="83" t="str">
        <f t="shared" si="256"/>
        <v/>
      </c>
      <c r="P172" s="83" t="str">
        <f t="shared" si="257"/>
        <v/>
      </c>
      <c r="Q172" s="83" t="str">
        <f t="shared" si="258"/>
        <v/>
      </c>
      <c r="R172" s="106"/>
      <c r="S172" s="1"/>
      <c r="U172" s="85" t="e">
        <f t="shared" si="244"/>
        <v>#NUM!</v>
      </c>
      <c r="V172" s="86" t="e">
        <f t="shared" si="339"/>
        <v>#NUM!</v>
      </c>
      <c r="W172" s="87" t="e">
        <f t="shared" si="259"/>
        <v>#NUM!</v>
      </c>
      <c r="X172" s="87" t="e">
        <f t="shared" si="260"/>
        <v>#NUM!</v>
      </c>
      <c r="Y172" s="87" t="e">
        <f t="shared" si="261"/>
        <v>#NUM!</v>
      </c>
      <c r="Z172" s="88" t="e">
        <f t="shared" si="245"/>
        <v>#NUM!</v>
      </c>
      <c r="AA172" t="s">
        <v>282</v>
      </c>
      <c r="AB172" s="89">
        <f t="shared" si="340"/>
        <v>0</v>
      </c>
      <c r="AC172" s="87">
        <f t="shared" si="262"/>
        <v>0</v>
      </c>
      <c r="AD172" s="87" t="str">
        <f t="shared" si="263"/>
        <v/>
      </c>
      <c r="AE172" s="87" t="str">
        <f t="shared" si="264"/>
        <v/>
      </c>
      <c r="AF172" s="86">
        <f t="shared" si="341"/>
        <v>0</v>
      </c>
      <c r="AG172" s="87">
        <f t="shared" si="246"/>
        <v>0</v>
      </c>
      <c r="AH172" s="87">
        <f t="shared" si="342"/>
        <v>0</v>
      </c>
      <c r="AI172" s="90"/>
      <c r="AJ172" s="87" t="e">
        <f t="shared" si="265"/>
        <v>#NUM!</v>
      </c>
      <c r="AK172" s="87" t="e">
        <f t="shared" si="343"/>
        <v>#NUM!</v>
      </c>
      <c r="AL172" s="87" t="e">
        <f t="shared" si="344"/>
        <v>#NUM!</v>
      </c>
      <c r="AM172" s="87" t="e">
        <f t="shared" si="345"/>
        <v>#NUM!</v>
      </c>
      <c r="AN172" s="86">
        <f t="shared" si="266"/>
        <v>0</v>
      </c>
      <c r="AO172" s="87">
        <f t="shared" si="267"/>
        <v>0</v>
      </c>
      <c r="AP172" s="88">
        <f t="shared" si="268"/>
        <v>0</v>
      </c>
      <c r="AR172" s="91">
        <f t="shared" si="269"/>
        <v>0</v>
      </c>
      <c r="AS172" s="92">
        <f t="shared" si="270"/>
        <v>0</v>
      </c>
      <c r="AT172" s="87" t="str">
        <f t="shared" si="271"/>
        <v/>
      </c>
      <c r="AU172" s="87" t="str">
        <f t="shared" si="272"/>
        <v/>
      </c>
      <c r="AV172" s="86">
        <f t="shared" si="346"/>
        <v>0</v>
      </c>
      <c r="AW172" s="87">
        <f t="shared" si="347"/>
        <v>0</v>
      </c>
      <c r="AX172" s="87">
        <f t="shared" si="348"/>
        <v>0</v>
      </c>
      <c r="AY172" s="93"/>
      <c r="AZ172" s="87">
        <f t="shared" si="425"/>
        <v>0</v>
      </c>
      <c r="BA172" s="87">
        <f t="shared" si="349"/>
        <v>0</v>
      </c>
      <c r="BB172" s="87">
        <f t="shared" si="350"/>
        <v>0</v>
      </c>
      <c r="BC172" s="87">
        <f t="shared" si="416"/>
        <v>0</v>
      </c>
      <c r="BD172" s="86" t="e">
        <f t="shared" si="273"/>
        <v>#NUM!</v>
      </c>
      <c r="BE172" s="87" t="e">
        <f t="shared" si="247"/>
        <v>#NUM!</v>
      </c>
      <c r="BF172" s="88">
        <f t="shared" si="351"/>
        <v>0</v>
      </c>
      <c r="BH172" s="87" t="e">
        <f t="shared" si="274"/>
        <v>#NUM!</v>
      </c>
      <c r="BK172" s="95">
        <v>41658</v>
      </c>
      <c r="BL172" s="96">
        <v>93</v>
      </c>
      <c r="CY172" s="108" t="str">
        <f t="shared" si="275"/>
        <v/>
      </c>
      <c r="CZ172" s="109" t="str">
        <f t="shared" si="276"/>
        <v/>
      </c>
      <c r="DA172" s="109" t="str">
        <f t="shared" si="277"/>
        <v/>
      </c>
      <c r="DB172" s="110" t="str">
        <f t="shared" si="225"/>
        <v/>
      </c>
      <c r="DD172" s="108" t="str">
        <f t="shared" si="278"/>
        <v/>
      </c>
      <c r="DE172" s="109" t="str">
        <f t="shared" si="352"/>
        <v/>
      </c>
      <c r="DF172" s="109" t="str">
        <f t="shared" si="279"/>
        <v/>
      </c>
      <c r="DG172" s="110" t="str">
        <f t="shared" si="226"/>
        <v/>
      </c>
      <c r="DI172" s="108" t="str">
        <f t="shared" si="353"/>
        <v/>
      </c>
      <c r="DJ172" s="109" t="str">
        <f t="shared" si="354"/>
        <v/>
      </c>
      <c r="DK172" s="109" t="str">
        <f t="shared" si="280"/>
        <v/>
      </c>
      <c r="DL172" s="110" t="str">
        <f t="shared" si="227"/>
        <v/>
      </c>
      <c r="DN172" s="108" t="str">
        <f t="shared" si="281"/>
        <v/>
      </c>
      <c r="DO172" s="109" t="str">
        <f t="shared" si="282"/>
        <v/>
      </c>
      <c r="DP172" s="109" t="str">
        <f t="shared" si="283"/>
        <v/>
      </c>
      <c r="DQ172" s="110" t="str">
        <f t="shared" si="228"/>
        <v/>
      </c>
      <c r="DS172" s="108" t="str">
        <f t="shared" si="355"/>
        <v/>
      </c>
      <c r="DT172" s="109" t="str">
        <f t="shared" si="356"/>
        <v/>
      </c>
      <c r="DU172" s="109" t="str">
        <f t="shared" si="284"/>
        <v/>
      </c>
      <c r="DV172" s="110" t="str">
        <f t="shared" si="229"/>
        <v/>
      </c>
      <c r="DX172" s="108" t="str">
        <f t="shared" si="285"/>
        <v/>
      </c>
      <c r="DY172" s="109" t="str">
        <f t="shared" si="357"/>
        <v/>
      </c>
      <c r="DZ172" s="109" t="str">
        <f t="shared" si="286"/>
        <v/>
      </c>
      <c r="EA172" s="110" t="str">
        <f t="shared" si="230"/>
        <v/>
      </c>
      <c r="EC172" s="108" t="str">
        <f t="shared" si="358"/>
        <v/>
      </c>
      <c r="ED172" s="109" t="str">
        <f t="shared" si="359"/>
        <v/>
      </c>
      <c r="EE172" s="109" t="str">
        <f t="shared" si="287"/>
        <v/>
      </c>
      <c r="EF172" s="110" t="str">
        <f t="shared" si="231"/>
        <v/>
      </c>
      <c r="EH172" s="108" t="str">
        <f t="shared" si="288"/>
        <v/>
      </c>
      <c r="EI172" s="109" t="str">
        <f t="shared" si="360"/>
        <v/>
      </c>
      <c r="EJ172" s="109" t="str">
        <f t="shared" si="289"/>
        <v/>
      </c>
      <c r="EK172" s="110" t="str">
        <f t="shared" si="232"/>
        <v/>
      </c>
      <c r="EM172" s="108" t="str">
        <f t="shared" si="361"/>
        <v/>
      </c>
      <c r="EN172" s="109" t="str">
        <f t="shared" si="362"/>
        <v/>
      </c>
      <c r="EO172" s="109" t="str">
        <f t="shared" si="290"/>
        <v/>
      </c>
      <c r="EP172" s="110" t="str">
        <f t="shared" si="233"/>
        <v/>
      </c>
      <c r="ER172" s="108" t="str">
        <f t="shared" si="291"/>
        <v/>
      </c>
      <c r="ES172" s="109" t="str">
        <f t="shared" si="363"/>
        <v/>
      </c>
      <c r="ET172" s="109" t="str">
        <f t="shared" si="292"/>
        <v/>
      </c>
      <c r="EU172" s="110" t="str">
        <f t="shared" si="234"/>
        <v/>
      </c>
      <c r="EW172" s="108" t="str">
        <f t="shared" si="364"/>
        <v/>
      </c>
      <c r="EX172" s="109" t="str">
        <f t="shared" si="365"/>
        <v/>
      </c>
      <c r="EY172" s="109" t="str">
        <f t="shared" si="293"/>
        <v/>
      </c>
      <c r="EZ172" s="110" t="str">
        <f t="shared" si="235"/>
        <v/>
      </c>
      <c r="FB172" s="108" t="str">
        <f t="shared" si="294"/>
        <v/>
      </c>
      <c r="FC172" s="109" t="str">
        <f t="shared" si="366"/>
        <v/>
      </c>
      <c r="FD172" s="109" t="str">
        <f t="shared" si="295"/>
        <v/>
      </c>
      <c r="FE172" s="110" t="str">
        <f t="shared" si="236"/>
        <v/>
      </c>
      <c r="FG172" s="108" t="str">
        <f t="shared" si="367"/>
        <v/>
      </c>
      <c r="FH172" s="109" t="str">
        <f t="shared" si="368"/>
        <v/>
      </c>
      <c r="FI172" s="109" t="str">
        <f t="shared" si="296"/>
        <v/>
      </c>
      <c r="FJ172" s="110" t="str">
        <f t="shared" si="237"/>
        <v/>
      </c>
      <c r="FL172" s="108" t="str">
        <f t="shared" si="297"/>
        <v/>
      </c>
      <c r="FM172" s="109" t="str">
        <f t="shared" si="369"/>
        <v/>
      </c>
      <c r="FN172" s="109" t="str">
        <f t="shared" si="298"/>
        <v/>
      </c>
      <c r="FO172" s="110" t="str">
        <f t="shared" si="238"/>
        <v/>
      </c>
      <c r="FQ172" s="108" t="str">
        <f t="shared" si="370"/>
        <v/>
      </c>
      <c r="FR172" s="109" t="str">
        <f t="shared" si="371"/>
        <v/>
      </c>
      <c r="FS172" s="109" t="str">
        <f t="shared" si="299"/>
        <v/>
      </c>
      <c r="FT172" s="110" t="str">
        <f t="shared" si="239"/>
        <v/>
      </c>
      <c r="FV172" s="108" t="str">
        <f t="shared" si="300"/>
        <v/>
      </c>
      <c r="FW172" s="109" t="str">
        <f t="shared" si="372"/>
        <v/>
      </c>
      <c r="FX172" s="109" t="str">
        <f t="shared" si="301"/>
        <v/>
      </c>
      <c r="FY172" s="110" t="str">
        <f t="shared" si="240"/>
        <v/>
      </c>
      <c r="GA172" s="108" t="str">
        <f t="shared" si="373"/>
        <v/>
      </c>
      <c r="GB172" s="109" t="str">
        <f t="shared" si="374"/>
        <v/>
      </c>
      <c r="GC172" s="109" t="str">
        <f t="shared" si="302"/>
        <v/>
      </c>
      <c r="GD172" s="110" t="str">
        <f t="shared" si="241"/>
        <v/>
      </c>
      <c r="GF172" s="108" t="str">
        <f t="shared" si="303"/>
        <v/>
      </c>
      <c r="GG172" s="109" t="str">
        <f t="shared" si="375"/>
        <v/>
      </c>
      <c r="GH172" s="109" t="str">
        <f t="shared" si="304"/>
        <v/>
      </c>
      <c r="GI172" s="110" t="str">
        <f t="shared" si="242"/>
        <v/>
      </c>
      <c r="GK172" s="108" t="str">
        <f t="shared" si="376"/>
        <v/>
      </c>
      <c r="GL172" s="109" t="str">
        <f t="shared" si="377"/>
        <v/>
      </c>
      <c r="GM172" s="109" t="str">
        <f t="shared" si="378"/>
        <v/>
      </c>
      <c r="GN172" s="110" t="str">
        <f t="shared" si="243"/>
        <v/>
      </c>
      <c r="GR172" s="108" t="str">
        <f t="shared" si="305"/>
        <v/>
      </c>
      <c r="GS172" s="109" t="str">
        <f t="shared" si="306"/>
        <v/>
      </c>
      <c r="GT172" s="109" t="str">
        <f t="shared" si="307"/>
        <v/>
      </c>
      <c r="GU172" s="110" t="str">
        <f t="shared" si="308"/>
        <v/>
      </c>
      <c r="GV172" s="51"/>
      <c r="GW172" s="108" t="str">
        <f t="shared" si="309"/>
        <v/>
      </c>
      <c r="GX172" s="109" t="str">
        <f t="shared" si="379"/>
        <v/>
      </c>
      <c r="GY172" s="109" t="str">
        <f t="shared" si="310"/>
        <v/>
      </c>
      <c r="GZ172" s="110" t="str">
        <f t="shared" si="311"/>
        <v/>
      </c>
      <c r="HA172" s="51"/>
      <c r="HB172" s="108" t="str">
        <f t="shared" si="380"/>
        <v/>
      </c>
      <c r="HC172" s="109" t="str">
        <f t="shared" si="381"/>
        <v/>
      </c>
      <c r="HD172" s="109" t="str">
        <f t="shared" si="312"/>
        <v/>
      </c>
      <c r="HE172" s="110" t="str">
        <f t="shared" si="382"/>
        <v/>
      </c>
      <c r="HF172" s="51"/>
      <c r="HG172" s="108" t="str">
        <f t="shared" si="313"/>
        <v/>
      </c>
      <c r="HH172" s="109" t="str">
        <f t="shared" si="383"/>
        <v/>
      </c>
      <c r="HI172" s="109" t="str">
        <f t="shared" si="314"/>
        <v/>
      </c>
      <c r="HJ172" s="110" t="str">
        <f t="shared" si="417"/>
        <v/>
      </c>
      <c r="HK172" s="51"/>
      <c r="HL172" s="108" t="str">
        <f t="shared" si="384"/>
        <v/>
      </c>
      <c r="HM172" s="109" t="str">
        <f t="shared" si="385"/>
        <v/>
      </c>
      <c r="HN172" s="109" t="str">
        <f t="shared" si="315"/>
        <v/>
      </c>
      <c r="HO172" s="110" t="str">
        <f t="shared" si="386"/>
        <v/>
      </c>
      <c r="HP172" s="51"/>
      <c r="HQ172" s="108" t="str">
        <f t="shared" si="316"/>
        <v/>
      </c>
      <c r="HR172" s="109" t="str">
        <f t="shared" si="387"/>
        <v/>
      </c>
      <c r="HS172" s="109" t="str">
        <f t="shared" si="317"/>
        <v/>
      </c>
      <c r="HT172" s="110" t="str">
        <f t="shared" si="418"/>
        <v/>
      </c>
      <c r="HU172" s="51"/>
      <c r="HV172" s="108" t="str">
        <f t="shared" si="388"/>
        <v/>
      </c>
      <c r="HW172" s="109" t="str">
        <f t="shared" si="389"/>
        <v/>
      </c>
      <c r="HX172" s="109" t="str">
        <f t="shared" si="318"/>
        <v/>
      </c>
      <c r="HY172" s="110" t="str">
        <f t="shared" si="390"/>
        <v/>
      </c>
      <c r="HZ172" s="51"/>
      <c r="IA172" s="108" t="str">
        <f t="shared" si="319"/>
        <v/>
      </c>
      <c r="IB172" s="109" t="str">
        <f t="shared" si="391"/>
        <v/>
      </c>
      <c r="IC172" s="109" t="str">
        <f t="shared" si="320"/>
        <v/>
      </c>
      <c r="ID172" s="110" t="str">
        <f t="shared" si="419"/>
        <v/>
      </c>
      <c r="IE172" s="51"/>
      <c r="IF172" s="108" t="str">
        <f t="shared" si="392"/>
        <v/>
      </c>
      <c r="IG172" s="109" t="str">
        <f t="shared" si="393"/>
        <v/>
      </c>
      <c r="IH172" s="109" t="str">
        <f t="shared" si="321"/>
        <v/>
      </c>
      <c r="II172" s="110" t="str">
        <f t="shared" si="394"/>
        <v/>
      </c>
      <c r="IJ172" s="51"/>
      <c r="IK172" s="108" t="str">
        <f t="shared" si="322"/>
        <v/>
      </c>
      <c r="IL172" s="109" t="str">
        <f t="shared" si="395"/>
        <v/>
      </c>
      <c r="IM172" s="109" t="str">
        <f t="shared" si="323"/>
        <v/>
      </c>
      <c r="IN172" s="110" t="str">
        <f t="shared" si="420"/>
        <v/>
      </c>
      <c r="IO172" s="51"/>
      <c r="IP172" s="108" t="str">
        <f t="shared" si="396"/>
        <v/>
      </c>
      <c r="IQ172" s="109" t="str">
        <f t="shared" si="397"/>
        <v/>
      </c>
      <c r="IR172" s="109" t="str">
        <f t="shared" si="324"/>
        <v/>
      </c>
      <c r="IS172" s="110" t="str">
        <f t="shared" si="398"/>
        <v/>
      </c>
      <c r="IT172" s="51"/>
      <c r="IU172" s="108" t="str">
        <f t="shared" si="325"/>
        <v/>
      </c>
      <c r="IV172" s="109" t="str">
        <f t="shared" si="399"/>
        <v/>
      </c>
      <c r="IW172" s="109" t="str">
        <f t="shared" si="326"/>
        <v/>
      </c>
      <c r="IX172" s="110" t="str">
        <f t="shared" si="421"/>
        <v/>
      </c>
      <c r="IY172" s="51"/>
      <c r="IZ172" s="108" t="str">
        <f t="shared" si="400"/>
        <v/>
      </c>
      <c r="JA172" s="109" t="str">
        <f t="shared" si="401"/>
        <v/>
      </c>
      <c r="JB172" s="109" t="str">
        <f t="shared" si="327"/>
        <v/>
      </c>
      <c r="JC172" s="110" t="str">
        <f t="shared" si="402"/>
        <v/>
      </c>
      <c r="JD172" s="51"/>
      <c r="JE172" s="108" t="str">
        <f t="shared" si="328"/>
        <v/>
      </c>
      <c r="JF172" s="109" t="str">
        <f t="shared" si="403"/>
        <v/>
      </c>
      <c r="JG172" s="109" t="str">
        <f t="shared" si="329"/>
        <v/>
      </c>
      <c r="JH172" s="110" t="str">
        <f t="shared" si="422"/>
        <v/>
      </c>
      <c r="JI172" s="51"/>
      <c r="JJ172" s="108" t="str">
        <f t="shared" si="404"/>
        <v/>
      </c>
      <c r="JK172" s="109" t="str">
        <f t="shared" si="405"/>
        <v/>
      </c>
      <c r="JL172" s="109" t="str">
        <f t="shared" si="330"/>
        <v/>
      </c>
      <c r="JM172" s="110" t="str">
        <f t="shared" si="406"/>
        <v/>
      </c>
      <c r="JN172" s="51"/>
      <c r="JO172" s="108" t="str">
        <f t="shared" si="331"/>
        <v/>
      </c>
      <c r="JP172" s="109" t="str">
        <f t="shared" si="407"/>
        <v/>
      </c>
      <c r="JQ172" s="109" t="str">
        <f t="shared" si="332"/>
        <v/>
      </c>
      <c r="JR172" s="110" t="str">
        <f t="shared" si="423"/>
        <v/>
      </c>
      <c r="JS172" s="51"/>
      <c r="JT172" s="108" t="str">
        <f t="shared" si="408"/>
        <v/>
      </c>
      <c r="JU172" s="109" t="str">
        <f t="shared" si="409"/>
        <v/>
      </c>
      <c r="JV172" s="109" t="str">
        <f t="shared" si="333"/>
        <v/>
      </c>
      <c r="JW172" s="110" t="str">
        <f t="shared" si="410"/>
        <v/>
      </c>
      <c r="JX172" s="51"/>
      <c r="JY172" s="108" t="str">
        <f t="shared" si="334"/>
        <v/>
      </c>
      <c r="JZ172" s="109" t="str">
        <f t="shared" si="411"/>
        <v/>
      </c>
      <c r="KA172" s="109" t="str">
        <f t="shared" si="335"/>
        <v/>
      </c>
      <c r="KB172" s="110" t="str">
        <f t="shared" si="424"/>
        <v/>
      </c>
      <c r="KC172" s="51"/>
      <c r="KD172" s="108" t="str">
        <f t="shared" si="412"/>
        <v/>
      </c>
      <c r="KE172" s="109" t="str">
        <f t="shared" si="413"/>
        <v/>
      </c>
      <c r="KF172" s="109" t="str">
        <f t="shared" si="336"/>
        <v/>
      </c>
      <c r="KG172" s="110" t="str">
        <f t="shared" si="337"/>
        <v/>
      </c>
    </row>
    <row r="173" spans="1:293" ht="12" customHeight="1">
      <c r="A173" s="105">
        <f t="array" ref="A173">MAX(IF($J$80:J172&gt;0,$C$80:C172,0))</f>
        <v>43535</v>
      </c>
      <c r="B173" s="81" t="str">
        <f t="shared" si="248"/>
        <v/>
      </c>
      <c r="C173" s="82">
        <f t="shared" si="414"/>
        <v>0</v>
      </c>
      <c r="D173" s="83" t="str">
        <f t="shared" si="249"/>
        <v/>
      </c>
      <c r="E173" s="83" t="str">
        <f t="shared" si="338"/>
        <v/>
      </c>
      <c r="F173" s="83" t="str">
        <f t="shared" si="250"/>
        <v/>
      </c>
      <c r="G173" s="83" t="str">
        <f t="shared" si="251"/>
        <v/>
      </c>
      <c r="H173" s="83" t="str">
        <f t="shared" si="252"/>
        <v/>
      </c>
      <c r="I173" s="105">
        <f t="array" ref="I173">MAX(IF($R$80:R172&gt;0,$L$80:L172,0))</f>
        <v>0</v>
      </c>
      <c r="J173" s="106"/>
      <c r="K173" s="2" t="str">
        <f t="shared" si="253"/>
        <v/>
      </c>
      <c r="L173" s="82">
        <f t="shared" si="415"/>
        <v>0</v>
      </c>
      <c r="M173" s="83" t="str">
        <f t="shared" si="254"/>
        <v/>
      </c>
      <c r="N173" s="83" t="str">
        <f t="shared" si="255"/>
        <v/>
      </c>
      <c r="O173" s="83" t="str">
        <f t="shared" si="256"/>
        <v/>
      </c>
      <c r="P173" s="83" t="str">
        <f t="shared" si="257"/>
        <v/>
      </c>
      <c r="Q173" s="83" t="str">
        <f t="shared" si="258"/>
        <v/>
      </c>
      <c r="R173" s="106"/>
      <c r="S173" s="1"/>
      <c r="U173" s="85" t="e">
        <f t="shared" si="244"/>
        <v>#NUM!</v>
      </c>
      <c r="V173" s="86" t="e">
        <f t="shared" si="339"/>
        <v>#NUM!</v>
      </c>
      <c r="W173" s="87" t="e">
        <f t="shared" si="259"/>
        <v>#NUM!</v>
      </c>
      <c r="X173" s="87" t="e">
        <f t="shared" si="260"/>
        <v>#NUM!</v>
      </c>
      <c r="Y173" s="87" t="e">
        <f t="shared" si="261"/>
        <v>#NUM!</v>
      </c>
      <c r="Z173" s="88" t="e">
        <f t="shared" si="245"/>
        <v>#NUM!</v>
      </c>
      <c r="AA173" t="s">
        <v>282</v>
      </c>
      <c r="AB173" s="89">
        <f t="shared" si="340"/>
        <v>0</v>
      </c>
      <c r="AC173" s="87">
        <f t="shared" si="262"/>
        <v>0</v>
      </c>
      <c r="AD173" s="87" t="str">
        <f t="shared" si="263"/>
        <v/>
      </c>
      <c r="AE173" s="87" t="str">
        <f t="shared" si="264"/>
        <v/>
      </c>
      <c r="AF173" s="86">
        <f t="shared" si="341"/>
        <v>0</v>
      </c>
      <c r="AG173" s="87">
        <f t="shared" si="246"/>
        <v>0</v>
      </c>
      <c r="AH173" s="87">
        <f t="shared" si="342"/>
        <v>0</v>
      </c>
      <c r="AI173" s="90"/>
      <c r="AJ173" s="87" t="e">
        <f t="shared" si="265"/>
        <v>#NUM!</v>
      </c>
      <c r="AK173" s="87" t="e">
        <f t="shared" si="343"/>
        <v>#NUM!</v>
      </c>
      <c r="AL173" s="87" t="e">
        <f t="shared" si="344"/>
        <v>#NUM!</v>
      </c>
      <c r="AM173" s="87" t="e">
        <f t="shared" si="345"/>
        <v>#NUM!</v>
      </c>
      <c r="AN173" s="86">
        <f t="shared" si="266"/>
        <v>0</v>
      </c>
      <c r="AO173" s="87">
        <f t="shared" si="267"/>
        <v>0</v>
      </c>
      <c r="AP173" s="88">
        <f t="shared" si="268"/>
        <v>0</v>
      </c>
      <c r="AR173" s="91">
        <f t="shared" si="269"/>
        <v>0</v>
      </c>
      <c r="AS173" s="92">
        <f t="shared" si="270"/>
        <v>0</v>
      </c>
      <c r="AT173" s="87" t="str">
        <f t="shared" si="271"/>
        <v/>
      </c>
      <c r="AU173" s="87" t="str">
        <f t="shared" si="272"/>
        <v/>
      </c>
      <c r="AV173" s="86">
        <f t="shared" si="346"/>
        <v>0</v>
      </c>
      <c r="AW173" s="87">
        <f t="shared" si="347"/>
        <v>0</v>
      </c>
      <c r="AX173" s="87">
        <f t="shared" si="348"/>
        <v>0</v>
      </c>
      <c r="AY173" s="93"/>
      <c r="AZ173" s="87">
        <f t="shared" si="425"/>
        <v>0</v>
      </c>
      <c r="BA173" s="87">
        <f t="shared" si="349"/>
        <v>0</v>
      </c>
      <c r="BB173" s="87">
        <f t="shared" si="350"/>
        <v>0</v>
      </c>
      <c r="BC173" s="87">
        <f t="shared" si="416"/>
        <v>0</v>
      </c>
      <c r="BD173" s="86" t="e">
        <f t="shared" si="273"/>
        <v>#NUM!</v>
      </c>
      <c r="BE173" s="87" t="e">
        <f t="shared" si="247"/>
        <v>#NUM!</v>
      </c>
      <c r="BF173" s="88">
        <f t="shared" si="351"/>
        <v>0</v>
      </c>
      <c r="BH173" s="87" t="e">
        <f t="shared" si="274"/>
        <v>#NUM!</v>
      </c>
      <c r="BK173" s="95">
        <v>41701</v>
      </c>
      <c r="BL173" s="96">
        <v>94</v>
      </c>
      <c r="CY173" s="108" t="str">
        <f t="shared" si="275"/>
        <v/>
      </c>
      <c r="CZ173" s="109" t="str">
        <f t="shared" si="276"/>
        <v/>
      </c>
      <c r="DA173" s="109" t="str">
        <f t="shared" si="277"/>
        <v/>
      </c>
      <c r="DB173" s="110" t="str">
        <f t="shared" si="225"/>
        <v/>
      </c>
      <c r="DD173" s="108" t="str">
        <f t="shared" si="278"/>
        <v/>
      </c>
      <c r="DE173" s="109" t="str">
        <f t="shared" si="352"/>
        <v/>
      </c>
      <c r="DF173" s="109" t="str">
        <f t="shared" si="279"/>
        <v/>
      </c>
      <c r="DG173" s="110" t="str">
        <f t="shared" si="226"/>
        <v/>
      </c>
      <c r="DI173" s="108" t="str">
        <f t="shared" si="353"/>
        <v/>
      </c>
      <c r="DJ173" s="109" t="str">
        <f t="shared" si="354"/>
        <v/>
      </c>
      <c r="DK173" s="109" t="str">
        <f t="shared" si="280"/>
        <v/>
      </c>
      <c r="DL173" s="110" t="str">
        <f t="shared" si="227"/>
        <v/>
      </c>
      <c r="DN173" s="108" t="str">
        <f t="shared" si="281"/>
        <v/>
      </c>
      <c r="DO173" s="109" t="str">
        <f t="shared" si="282"/>
        <v/>
      </c>
      <c r="DP173" s="109" t="str">
        <f t="shared" si="283"/>
        <v/>
      </c>
      <c r="DQ173" s="110" t="str">
        <f t="shared" si="228"/>
        <v/>
      </c>
      <c r="DS173" s="108" t="str">
        <f t="shared" si="355"/>
        <v/>
      </c>
      <c r="DT173" s="109" t="str">
        <f t="shared" si="356"/>
        <v/>
      </c>
      <c r="DU173" s="109" t="str">
        <f t="shared" si="284"/>
        <v/>
      </c>
      <c r="DV173" s="110" t="str">
        <f t="shared" si="229"/>
        <v/>
      </c>
      <c r="DX173" s="108" t="str">
        <f t="shared" si="285"/>
        <v/>
      </c>
      <c r="DY173" s="109" t="str">
        <f t="shared" si="357"/>
        <v/>
      </c>
      <c r="DZ173" s="109" t="str">
        <f t="shared" si="286"/>
        <v/>
      </c>
      <c r="EA173" s="110" t="str">
        <f t="shared" si="230"/>
        <v/>
      </c>
      <c r="EC173" s="108" t="str">
        <f t="shared" si="358"/>
        <v/>
      </c>
      <c r="ED173" s="109" t="str">
        <f t="shared" si="359"/>
        <v/>
      </c>
      <c r="EE173" s="109" t="str">
        <f t="shared" si="287"/>
        <v/>
      </c>
      <c r="EF173" s="110" t="str">
        <f t="shared" si="231"/>
        <v/>
      </c>
      <c r="EH173" s="108" t="str">
        <f t="shared" si="288"/>
        <v/>
      </c>
      <c r="EI173" s="109" t="str">
        <f t="shared" si="360"/>
        <v/>
      </c>
      <c r="EJ173" s="109" t="str">
        <f t="shared" si="289"/>
        <v/>
      </c>
      <c r="EK173" s="110" t="str">
        <f t="shared" si="232"/>
        <v/>
      </c>
      <c r="EM173" s="108" t="str">
        <f t="shared" si="361"/>
        <v/>
      </c>
      <c r="EN173" s="109" t="str">
        <f t="shared" si="362"/>
        <v/>
      </c>
      <c r="EO173" s="109" t="str">
        <f t="shared" si="290"/>
        <v/>
      </c>
      <c r="EP173" s="110" t="str">
        <f t="shared" si="233"/>
        <v/>
      </c>
      <c r="ER173" s="108" t="str">
        <f t="shared" si="291"/>
        <v/>
      </c>
      <c r="ES173" s="109" t="str">
        <f t="shared" si="363"/>
        <v/>
      </c>
      <c r="ET173" s="109" t="str">
        <f t="shared" si="292"/>
        <v/>
      </c>
      <c r="EU173" s="110" t="str">
        <f t="shared" si="234"/>
        <v/>
      </c>
      <c r="EW173" s="108" t="str">
        <f t="shared" si="364"/>
        <v/>
      </c>
      <c r="EX173" s="109" t="str">
        <f t="shared" si="365"/>
        <v/>
      </c>
      <c r="EY173" s="109" t="str">
        <f t="shared" si="293"/>
        <v/>
      </c>
      <c r="EZ173" s="110" t="str">
        <f t="shared" si="235"/>
        <v/>
      </c>
      <c r="FB173" s="108" t="str">
        <f t="shared" si="294"/>
        <v/>
      </c>
      <c r="FC173" s="109" t="str">
        <f t="shared" si="366"/>
        <v/>
      </c>
      <c r="FD173" s="109" t="str">
        <f t="shared" si="295"/>
        <v/>
      </c>
      <c r="FE173" s="110" t="str">
        <f t="shared" si="236"/>
        <v/>
      </c>
      <c r="FG173" s="108" t="str">
        <f t="shared" si="367"/>
        <v/>
      </c>
      <c r="FH173" s="109" t="str">
        <f t="shared" si="368"/>
        <v/>
      </c>
      <c r="FI173" s="109" t="str">
        <f t="shared" si="296"/>
        <v/>
      </c>
      <c r="FJ173" s="110" t="str">
        <f t="shared" si="237"/>
        <v/>
      </c>
      <c r="FL173" s="108" t="str">
        <f t="shared" si="297"/>
        <v/>
      </c>
      <c r="FM173" s="109" t="str">
        <f t="shared" si="369"/>
        <v/>
      </c>
      <c r="FN173" s="109" t="str">
        <f t="shared" si="298"/>
        <v/>
      </c>
      <c r="FO173" s="110" t="str">
        <f t="shared" si="238"/>
        <v/>
      </c>
      <c r="FQ173" s="108" t="str">
        <f t="shared" si="370"/>
        <v/>
      </c>
      <c r="FR173" s="109" t="str">
        <f t="shared" si="371"/>
        <v/>
      </c>
      <c r="FS173" s="109" t="str">
        <f t="shared" si="299"/>
        <v/>
      </c>
      <c r="FT173" s="110" t="str">
        <f t="shared" si="239"/>
        <v/>
      </c>
      <c r="FV173" s="108" t="str">
        <f t="shared" si="300"/>
        <v/>
      </c>
      <c r="FW173" s="109" t="str">
        <f t="shared" si="372"/>
        <v/>
      </c>
      <c r="FX173" s="109" t="str">
        <f t="shared" si="301"/>
        <v/>
      </c>
      <c r="FY173" s="110" t="str">
        <f t="shared" si="240"/>
        <v/>
      </c>
      <c r="GA173" s="108" t="str">
        <f t="shared" si="373"/>
        <v/>
      </c>
      <c r="GB173" s="109" t="str">
        <f t="shared" si="374"/>
        <v/>
      </c>
      <c r="GC173" s="109" t="str">
        <f t="shared" si="302"/>
        <v/>
      </c>
      <c r="GD173" s="110" t="str">
        <f t="shared" si="241"/>
        <v/>
      </c>
      <c r="GF173" s="108" t="str">
        <f t="shared" si="303"/>
        <v/>
      </c>
      <c r="GG173" s="109" t="str">
        <f t="shared" si="375"/>
        <v/>
      </c>
      <c r="GH173" s="109" t="str">
        <f t="shared" si="304"/>
        <v/>
      </c>
      <c r="GI173" s="110" t="str">
        <f t="shared" si="242"/>
        <v/>
      </c>
      <c r="GK173" s="108" t="str">
        <f t="shared" si="376"/>
        <v/>
      </c>
      <c r="GL173" s="109" t="str">
        <f t="shared" si="377"/>
        <v/>
      </c>
      <c r="GM173" s="109" t="str">
        <f t="shared" si="378"/>
        <v/>
      </c>
      <c r="GN173" s="110" t="str">
        <f t="shared" si="243"/>
        <v/>
      </c>
      <c r="GR173" s="108" t="str">
        <f t="shared" si="305"/>
        <v/>
      </c>
      <c r="GS173" s="109" t="str">
        <f t="shared" si="306"/>
        <v/>
      </c>
      <c r="GT173" s="109" t="str">
        <f t="shared" si="307"/>
        <v/>
      </c>
      <c r="GU173" s="110" t="str">
        <f t="shared" si="308"/>
        <v/>
      </c>
      <c r="GV173" s="51"/>
      <c r="GW173" s="108" t="str">
        <f t="shared" si="309"/>
        <v/>
      </c>
      <c r="GX173" s="109" t="str">
        <f t="shared" si="379"/>
        <v/>
      </c>
      <c r="GY173" s="109" t="str">
        <f t="shared" si="310"/>
        <v/>
      </c>
      <c r="GZ173" s="110" t="str">
        <f t="shared" si="311"/>
        <v/>
      </c>
      <c r="HA173" s="51"/>
      <c r="HB173" s="108" t="str">
        <f t="shared" si="380"/>
        <v/>
      </c>
      <c r="HC173" s="109" t="str">
        <f t="shared" si="381"/>
        <v/>
      </c>
      <c r="HD173" s="109" t="str">
        <f t="shared" si="312"/>
        <v/>
      </c>
      <c r="HE173" s="110" t="str">
        <f t="shared" si="382"/>
        <v/>
      </c>
      <c r="HF173" s="51"/>
      <c r="HG173" s="108" t="str">
        <f t="shared" si="313"/>
        <v/>
      </c>
      <c r="HH173" s="109" t="str">
        <f t="shared" si="383"/>
        <v/>
      </c>
      <c r="HI173" s="109" t="str">
        <f t="shared" si="314"/>
        <v/>
      </c>
      <c r="HJ173" s="110" t="str">
        <f t="shared" si="417"/>
        <v/>
      </c>
      <c r="HK173" s="51"/>
      <c r="HL173" s="108" t="str">
        <f t="shared" si="384"/>
        <v/>
      </c>
      <c r="HM173" s="109" t="str">
        <f t="shared" si="385"/>
        <v/>
      </c>
      <c r="HN173" s="109" t="str">
        <f t="shared" si="315"/>
        <v/>
      </c>
      <c r="HO173" s="110" t="str">
        <f t="shared" si="386"/>
        <v/>
      </c>
      <c r="HP173" s="51"/>
      <c r="HQ173" s="108" t="str">
        <f t="shared" si="316"/>
        <v/>
      </c>
      <c r="HR173" s="109" t="str">
        <f t="shared" si="387"/>
        <v/>
      </c>
      <c r="HS173" s="109" t="str">
        <f t="shared" si="317"/>
        <v/>
      </c>
      <c r="HT173" s="110" t="str">
        <f t="shared" si="418"/>
        <v/>
      </c>
      <c r="HU173" s="51"/>
      <c r="HV173" s="108" t="str">
        <f t="shared" si="388"/>
        <v/>
      </c>
      <c r="HW173" s="109" t="str">
        <f t="shared" si="389"/>
        <v/>
      </c>
      <c r="HX173" s="109" t="str">
        <f t="shared" si="318"/>
        <v/>
      </c>
      <c r="HY173" s="110" t="str">
        <f t="shared" si="390"/>
        <v/>
      </c>
      <c r="HZ173" s="51"/>
      <c r="IA173" s="108" t="str">
        <f t="shared" si="319"/>
        <v/>
      </c>
      <c r="IB173" s="109" t="str">
        <f t="shared" si="391"/>
        <v/>
      </c>
      <c r="IC173" s="109" t="str">
        <f t="shared" si="320"/>
        <v/>
      </c>
      <c r="ID173" s="110" t="str">
        <f t="shared" si="419"/>
        <v/>
      </c>
      <c r="IE173" s="51"/>
      <c r="IF173" s="108" t="str">
        <f t="shared" si="392"/>
        <v/>
      </c>
      <c r="IG173" s="109" t="str">
        <f t="shared" si="393"/>
        <v/>
      </c>
      <c r="IH173" s="109" t="str">
        <f t="shared" si="321"/>
        <v/>
      </c>
      <c r="II173" s="110" t="str">
        <f t="shared" si="394"/>
        <v/>
      </c>
      <c r="IJ173" s="51"/>
      <c r="IK173" s="108" t="str">
        <f t="shared" si="322"/>
        <v/>
      </c>
      <c r="IL173" s="109" t="str">
        <f t="shared" si="395"/>
        <v/>
      </c>
      <c r="IM173" s="109" t="str">
        <f t="shared" si="323"/>
        <v/>
      </c>
      <c r="IN173" s="110" t="str">
        <f t="shared" si="420"/>
        <v/>
      </c>
      <c r="IO173" s="51"/>
      <c r="IP173" s="108" t="str">
        <f t="shared" si="396"/>
        <v/>
      </c>
      <c r="IQ173" s="109" t="str">
        <f t="shared" si="397"/>
        <v/>
      </c>
      <c r="IR173" s="109" t="str">
        <f t="shared" si="324"/>
        <v/>
      </c>
      <c r="IS173" s="110" t="str">
        <f t="shared" si="398"/>
        <v/>
      </c>
      <c r="IT173" s="51"/>
      <c r="IU173" s="108" t="str">
        <f t="shared" si="325"/>
        <v/>
      </c>
      <c r="IV173" s="109" t="str">
        <f t="shared" si="399"/>
        <v/>
      </c>
      <c r="IW173" s="109" t="str">
        <f t="shared" si="326"/>
        <v/>
      </c>
      <c r="IX173" s="110" t="str">
        <f t="shared" si="421"/>
        <v/>
      </c>
      <c r="IY173" s="51"/>
      <c r="IZ173" s="108" t="str">
        <f t="shared" si="400"/>
        <v/>
      </c>
      <c r="JA173" s="109" t="str">
        <f t="shared" si="401"/>
        <v/>
      </c>
      <c r="JB173" s="109" t="str">
        <f t="shared" si="327"/>
        <v/>
      </c>
      <c r="JC173" s="110" t="str">
        <f t="shared" si="402"/>
        <v/>
      </c>
      <c r="JD173" s="51"/>
      <c r="JE173" s="108" t="str">
        <f t="shared" si="328"/>
        <v/>
      </c>
      <c r="JF173" s="109" t="str">
        <f t="shared" si="403"/>
        <v/>
      </c>
      <c r="JG173" s="109" t="str">
        <f t="shared" si="329"/>
        <v/>
      </c>
      <c r="JH173" s="110" t="str">
        <f t="shared" si="422"/>
        <v/>
      </c>
      <c r="JI173" s="51"/>
      <c r="JJ173" s="108" t="str">
        <f t="shared" si="404"/>
        <v/>
      </c>
      <c r="JK173" s="109" t="str">
        <f t="shared" si="405"/>
        <v/>
      </c>
      <c r="JL173" s="109" t="str">
        <f t="shared" si="330"/>
        <v/>
      </c>
      <c r="JM173" s="110" t="str">
        <f t="shared" si="406"/>
        <v/>
      </c>
      <c r="JN173" s="51"/>
      <c r="JO173" s="108" t="str">
        <f t="shared" si="331"/>
        <v/>
      </c>
      <c r="JP173" s="109" t="str">
        <f t="shared" si="407"/>
        <v/>
      </c>
      <c r="JQ173" s="109" t="str">
        <f t="shared" si="332"/>
        <v/>
      </c>
      <c r="JR173" s="110" t="str">
        <f t="shared" si="423"/>
        <v/>
      </c>
      <c r="JS173" s="51"/>
      <c r="JT173" s="108" t="str">
        <f t="shared" si="408"/>
        <v/>
      </c>
      <c r="JU173" s="109" t="str">
        <f t="shared" si="409"/>
        <v/>
      </c>
      <c r="JV173" s="109" t="str">
        <f t="shared" si="333"/>
        <v/>
      </c>
      <c r="JW173" s="110" t="str">
        <f t="shared" si="410"/>
        <v/>
      </c>
      <c r="JX173" s="51"/>
      <c r="JY173" s="108" t="str">
        <f t="shared" si="334"/>
        <v/>
      </c>
      <c r="JZ173" s="109" t="str">
        <f t="shared" si="411"/>
        <v/>
      </c>
      <c r="KA173" s="109" t="str">
        <f t="shared" si="335"/>
        <v/>
      </c>
      <c r="KB173" s="110" t="str">
        <f t="shared" si="424"/>
        <v/>
      </c>
      <c r="KC173" s="51"/>
      <c r="KD173" s="108" t="str">
        <f t="shared" si="412"/>
        <v/>
      </c>
      <c r="KE173" s="109" t="str">
        <f t="shared" si="413"/>
        <v/>
      </c>
      <c r="KF173" s="109" t="str">
        <f t="shared" si="336"/>
        <v/>
      </c>
      <c r="KG173" s="110" t="str">
        <f t="shared" si="337"/>
        <v/>
      </c>
    </row>
    <row r="174" spans="1:293" ht="12" customHeight="1">
      <c r="A174" s="105">
        <f t="array" ref="A174">MAX(IF($J$80:J173&gt;0,$C$80:C173,0))</f>
        <v>43535</v>
      </c>
      <c r="B174" s="81" t="str">
        <f t="shared" si="248"/>
        <v/>
      </c>
      <c r="C174" s="82">
        <f t="shared" si="414"/>
        <v>0</v>
      </c>
      <c r="D174" s="83" t="str">
        <f t="shared" si="249"/>
        <v/>
      </c>
      <c r="E174" s="83" t="str">
        <f t="shared" si="338"/>
        <v/>
      </c>
      <c r="F174" s="83" t="str">
        <f t="shared" si="250"/>
        <v/>
      </c>
      <c r="G174" s="83" t="str">
        <f t="shared" si="251"/>
        <v/>
      </c>
      <c r="H174" s="83" t="str">
        <f t="shared" si="252"/>
        <v/>
      </c>
      <c r="I174" s="105">
        <f t="array" ref="I174">MAX(IF($R$80:R173&gt;0,$L$80:L173,0))</f>
        <v>0</v>
      </c>
      <c r="J174" s="106"/>
      <c r="K174" s="2" t="str">
        <f t="shared" si="253"/>
        <v/>
      </c>
      <c r="L174" s="82">
        <f t="shared" si="415"/>
        <v>0</v>
      </c>
      <c r="M174" s="83" t="str">
        <f t="shared" si="254"/>
        <v/>
      </c>
      <c r="N174" s="83" t="str">
        <f t="shared" si="255"/>
        <v/>
      </c>
      <c r="O174" s="83" t="str">
        <f t="shared" si="256"/>
        <v/>
      </c>
      <c r="P174" s="83" t="str">
        <f t="shared" si="257"/>
        <v/>
      </c>
      <c r="Q174" s="83" t="str">
        <f t="shared" si="258"/>
        <v/>
      </c>
      <c r="R174" s="106"/>
      <c r="S174" s="1"/>
      <c r="U174" s="85" t="e">
        <f t="shared" si="244"/>
        <v>#NUM!</v>
      </c>
      <c r="V174" s="86" t="e">
        <f t="shared" si="339"/>
        <v>#NUM!</v>
      </c>
      <c r="W174" s="87" t="e">
        <f t="shared" si="259"/>
        <v>#NUM!</v>
      </c>
      <c r="X174" s="87" t="e">
        <f t="shared" si="260"/>
        <v>#NUM!</v>
      </c>
      <c r="Y174" s="87" t="e">
        <f t="shared" si="261"/>
        <v>#NUM!</v>
      </c>
      <c r="Z174" s="88" t="e">
        <f t="shared" si="245"/>
        <v>#NUM!</v>
      </c>
      <c r="AA174" t="s">
        <v>282</v>
      </c>
      <c r="AB174" s="89">
        <f t="shared" si="340"/>
        <v>0</v>
      </c>
      <c r="AC174" s="87">
        <f t="shared" si="262"/>
        <v>0</v>
      </c>
      <c r="AD174" s="87" t="str">
        <f t="shared" si="263"/>
        <v/>
      </c>
      <c r="AE174" s="87" t="str">
        <f t="shared" si="264"/>
        <v/>
      </c>
      <c r="AF174" s="86">
        <f t="shared" si="341"/>
        <v>0</v>
      </c>
      <c r="AG174" s="87">
        <f t="shared" si="246"/>
        <v>0</v>
      </c>
      <c r="AH174" s="87">
        <f t="shared" si="342"/>
        <v>0</v>
      </c>
      <c r="AI174" s="90"/>
      <c r="AJ174" s="87" t="e">
        <f t="shared" si="265"/>
        <v>#NUM!</v>
      </c>
      <c r="AK174" s="87" t="e">
        <f t="shared" si="343"/>
        <v>#NUM!</v>
      </c>
      <c r="AL174" s="87" t="e">
        <f t="shared" si="344"/>
        <v>#NUM!</v>
      </c>
      <c r="AM174" s="87" t="e">
        <f t="shared" si="345"/>
        <v>#NUM!</v>
      </c>
      <c r="AN174" s="86">
        <f t="shared" si="266"/>
        <v>0</v>
      </c>
      <c r="AO174" s="87">
        <f t="shared" si="267"/>
        <v>0</v>
      </c>
      <c r="AP174" s="88">
        <f t="shared" si="268"/>
        <v>0</v>
      </c>
      <c r="AR174" s="91">
        <f t="shared" si="269"/>
        <v>0</v>
      </c>
      <c r="AS174" s="92">
        <f t="shared" si="270"/>
        <v>0</v>
      </c>
      <c r="AT174" s="87" t="str">
        <f t="shared" si="271"/>
        <v/>
      </c>
      <c r="AU174" s="87" t="str">
        <f t="shared" si="272"/>
        <v/>
      </c>
      <c r="AV174" s="86">
        <f t="shared" si="346"/>
        <v>0</v>
      </c>
      <c r="AW174" s="87">
        <f t="shared" si="347"/>
        <v>0</v>
      </c>
      <c r="AX174" s="87">
        <f t="shared" si="348"/>
        <v>0</v>
      </c>
      <c r="AY174" s="93"/>
      <c r="AZ174" s="87">
        <f t="shared" si="425"/>
        <v>0</v>
      </c>
      <c r="BA174" s="87">
        <f t="shared" si="349"/>
        <v>0</v>
      </c>
      <c r="BB174" s="87">
        <f t="shared" si="350"/>
        <v>0</v>
      </c>
      <c r="BC174" s="87">
        <f t="shared" si="416"/>
        <v>0</v>
      </c>
      <c r="BD174" s="86" t="e">
        <f t="shared" si="273"/>
        <v>#NUM!</v>
      </c>
      <c r="BE174" s="87" t="e">
        <f t="shared" si="247"/>
        <v>#NUM!</v>
      </c>
      <c r="BF174" s="88">
        <f t="shared" si="351"/>
        <v>0</v>
      </c>
      <c r="BH174" s="87" t="e">
        <f t="shared" si="274"/>
        <v>#NUM!</v>
      </c>
      <c r="BK174" s="95">
        <v>41706</v>
      </c>
      <c r="BL174" s="96">
        <v>95</v>
      </c>
      <c r="CY174" s="108" t="str">
        <f t="shared" si="275"/>
        <v/>
      </c>
      <c r="CZ174" s="109" t="str">
        <f t="shared" si="276"/>
        <v/>
      </c>
      <c r="DA174" s="109" t="str">
        <f t="shared" si="277"/>
        <v/>
      </c>
      <c r="DB174" s="110" t="str">
        <f t="shared" si="225"/>
        <v/>
      </c>
      <c r="DD174" s="108" t="str">
        <f t="shared" si="278"/>
        <v/>
      </c>
      <c r="DE174" s="109" t="str">
        <f t="shared" si="352"/>
        <v/>
      </c>
      <c r="DF174" s="109" t="str">
        <f t="shared" si="279"/>
        <v/>
      </c>
      <c r="DG174" s="110" t="str">
        <f t="shared" si="226"/>
        <v/>
      </c>
      <c r="DI174" s="108" t="str">
        <f t="shared" si="353"/>
        <v/>
      </c>
      <c r="DJ174" s="109" t="str">
        <f t="shared" si="354"/>
        <v/>
      </c>
      <c r="DK174" s="109" t="str">
        <f t="shared" si="280"/>
        <v/>
      </c>
      <c r="DL174" s="110" t="str">
        <f t="shared" si="227"/>
        <v/>
      </c>
      <c r="DN174" s="108" t="str">
        <f t="shared" si="281"/>
        <v/>
      </c>
      <c r="DO174" s="109" t="str">
        <f t="shared" si="282"/>
        <v/>
      </c>
      <c r="DP174" s="109" t="str">
        <f t="shared" si="283"/>
        <v/>
      </c>
      <c r="DQ174" s="110" t="str">
        <f t="shared" si="228"/>
        <v/>
      </c>
      <c r="DS174" s="108" t="str">
        <f t="shared" si="355"/>
        <v/>
      </c>
      <c r="DT174" s="109" t="str">
        <f t="shared" si="356"/>
        <v/>
      </c>
      <c r="DU174" s="109" t="str">
        <f t="shared" si="284"/>
        <v/>
      </c>
      <c r="DV174" s="110" t="str">
        <f t="shared" si="229"/>
        <v/>
      </c>
      <c r="DX174" s="108" t="str">
        <f t="shared" si="285"/>
        <v/>
      </c>
      <c r="DY174" s="109" t="str">
        <f t="shared" si="357"/>
        <v/>
      </c>
      <c r="DZ174" s="109" t="str">
        <f t="shared" si="286"/>
        <v/>
      </c>
      <c r="EA174" s="110" t="str">
        <f t="shared" si="230"/>
        <v/>
      </c>
      <c r="EC174" s="108" t="str">
        <f t="shared" si="358"/>
        <v/>
      </c>
      <c r="ED174" s="109" t="str">
        <f t="shared" si="359"/>
        <v/>
      </c>
      <c r="EE174" s="109" t="str">
        <f t="shared" si="287"/>
        <v/>
      </c>
      <c r="EF174" s="110" t="str">
        <f t="shared" si="231"/>
        <v/>
      </c>
      <c r="EH174" s="108" t="str">
        <f t="shared" si="288"/>
        <v/>
      </c>
      <c r="EI174" s="109" t="str">
        <f t="shared" si="360"/>
        <v/>
      </c>
      <c r="EJ174" s="109" t="str">
        <f t="shared" si="289"/>
        <v/>
      </c>
      <c r="EK174" s="110" t="str">
        <f t="shared" si="232"/>
        <v/>
      </c>
      <c r="EM174" s="108" t="str">
        <f t="shared" si="361"/>
        <v/>
      </c>
      <c r="EN174" s="109" t="str">
        <f t="shared" si="362"/>
        <v/>
      </c>
      <c r="EO174" s="109" t="str">
        <f t="shared" si="290"/>
        <v/>
      </c>
      <c r="EP174" s="110" t="str">
        <f t="shared" si="233"/>
        <v/>
      </c>
      <c r="ER174" s="108" t="str">
        <f t="shared" si="291"/>
        <v/>
      </c>
      <c r="ES174" s="109" t="str">
        <f t="shared" si="363"/>
        <v/>
      </c>
      <c r="ET174" s="109" t="str">
        <f t="shared" si="292"/>
        <v/>
      </c>
      <c r="EU174" s="110" t="str">
        <f t="shared" si="234"/>
        <v/>
      </c>
      <c r="EW174" s="108" t="str">
        <f t="shared" si="364"/>
        <v/>
      </c>
      <c r="EX174" s="109" t="str">
        <f t="shared" si="365"/>
        <v/>
      </c>
      <c r="EY174" s="109" t="str">
        <f t="shared" si="293"/>
        <v/>
      </c>
      <c r="EZ174" s="110" t="str">
        <f t="shared" si="235"/>
        <v/>
      </c>
      <c r="FB174" s="108" t="str">
        <f t="shared" si="294"/>
        <v/>
      </c>
      <c r="FC174" s="109" t="str">
        <f t="shared" si="366"/>
        <v/>
      </c>
      <c r="FD174" s="109" t="str">
        <f t="shared" si="295"/>
        <v/>
      </c>
      <c r="FE174" s="110" t="str">
        <f t="shared" si="236"/>
        <v/>
      </c>
      <c r="FG174" s="108" t="str">
        <f t="shared" si="367"/>
        <v/>
      </c>
      <c r="FH174" s="109" t="str">
        <f t="shared" si="368"/>
        <v/>
      </c>
      <c r="FI174" s="109" t="str">
        <f t="shared" si="296"/>
        <v/>
      </c>
      <c r="FJ174" s="110" t="str">
        <f t="shared" si="237"/>
        <v/>
      </c>
      <c r="FL174" s="108" t="str">
        <f t="shared" si="297"/>
        <v/>
      </c>
      <c r="FM174" s="109" t="str">
        <f t="shared" si="369"/>
        <v/>
      </c>
      <c r="FN174" s="109" t="str">
        <f t="shared" si="298"/>
        <v/>
      </c>
      <c r="FO174" s="110" t="str">
        <f t="shared" si="238"/>
        <v/>
      </c>
      <c r="FQ174" s="108" t="str">
        <f t="shared" si="370"/>
        <v/>
      </c>
      <c r="FR174" s="109" t="str">
        <f t="shared" si="371"/>
        <v/>
      </c>
      <c r="FS174" s="109" t="str">
        <f t="shared" si="299"/>
        <v/>
      </c>
      <c r="FT174" s="110" t="str">
        <f t="shared" si="239"/>
        <v/>
      </c>
      <c r="FV174" s="108" t="str">
        <f t="shared" si="300"/>
        <v/>
      </c>
      <c r="FW174" s="109" t="str">
        <f t="shared" si="372"/>
        <v/>
      </c>
      <c r="FX174" s="109" t="str">
        <f t="shared" si="301"/>
        <v/>
      </c>
      <c r="FY174" s="110" t="str">
        <f t="shared" si="240"/>
        <v/>
      </c>
      <c r="GA174" s="108" t="str">
        <f t="shared" si="373"/>
        <v/>
      </c>
      <c r="GB174" s="109" t="str">
        <f t="shared" si="374"/>
        <v/>
      </c>
      <c r="GC174" s="109" t="str">
        <f t="shared" si="302"/>
        <v/>
      </c>
      <c r="GD174" s="110" t="str">
        <f t="shared" si="241"/>
        <v/>
      </c>
      <c r="GF174" s="108" t="str">
        <f t="shared" si="303"/>
        <v/>
      </c>
      <c r="GG174" s="109" t="str">
        <f t="shared" si="375"/>
        <v/>
      </c>
      <c r="GH174" s="109" t="str">
        <f t="shared" si="304"/>
        <v/>
      </c>
      <c r="GI174" s="110" t="str">
        <f t="shared" si="242"/>
        <v/>
      </c>
      <c r="GK174" s="108" t="str">
        <f t="shared" si="376"/>
        <v/>
      </c>
      <c r="GL174" s="109" t="str">
        <f t="shared" si="377"/>
        <v/>
      </c>
      <c r="GM174" s="109" t="str">
        <f t="shared" si="378"/>
        <v/>
      </c>
      <c r="GN174" s="110" t="str">
        <f t="shared" si="243"/>
        <v/>
      </c>
      <c r="GR174" s="108" t="str">
        <f t="shared" si="305"/>
        <v/>
      </c>
      <c r="GS174" s="109" t="str">
        <f t="shared" si="306"/>
        <v/>
      </c>
      <c r="GT174" s="109" t="str">
        <f t="shared" si="307"/>
        <v/>
      </c>
      <c r="GU174" s="110" t="str">
        <f t="shared" si="308"/>
        <v/>
      </c>
      <c r="GV174" s="51"/>
      <c r="GW174" s="108" t="str">
        <f t="shared" si="309"/>
        <v/>
      </c>
      <c r="GX174" s="109" t="str">
        <f t="shared" si="379"/>
        <v/>
      </c>
      <c r="GY174" s="109" t="str">
        <f t="shared" si="310"/>
        <v/>
      </c>
      <c r="GZ174" s="110" t="str">
        <f t="shared" si="311"/>
        <v/>
      </c>
      <c r="HA174" s="51"/>
      <c r="HB174" s="108" t="str">
        <f t="shared" si="380"/>
        <v/>
      </c>
      <c r="HC174" s="109" t="str">
        <f t="shared" si="381"/>
        <v/>
      </c>
      <c r="HD174" s="109" t="str">
        <f t="shared" si="312"/>
        <v/>
      </c>
      <c r="HE174" s="110" t="str">
        <f t="shared" si="382"/>
        <v/>
      </c>
      <c r="HF174" s="51"/>
      <c r="HG174" s="108" t="str">
        <f t="shared" si="313"/>
        <v/>
      </c>
      <c r="HH174" s="109" t="str">
        <f t="shared" si="383"/>
        <v/>
      </c>
      <c r="HI174" s="109" t="str">
        <f t="shared" si="314"/>
        <v/>
      </c>
      <c r="HJ174" s="110" t="str">
        <f t="shared" si="417"/>
        <v/>
      </c>
      <c r="HK174" s="51"/>
      <c r="HL174" s="108" t="str">
        <f t="shared" si="384"/>
        <v/>
      </c>
      <c r="HM174" s="109" t="str">
        <f t="shared" si="385"/>
        <v/>
      </c>
      <c r="HN174" s="109" t="str">
        <f t="shared" si="315"/>
        <v/>
      </c>
      <c r="HO174" s="110" t="str">
        <f t="shared" si="386"/>
        <v/>
      </c>
      <c r="HP174" s="51"/>
      <c r="HQ174" s="108" t="str">
        <f t="shared" si="316"/>
        <v/>
      </c>
      <c r="HR174" s="109" t="str">
        <f t="shared" si="387"/>
        <v/>
      </c>
      <c r="HS174" s="109" t="str">
        <f t="shared" si="317"/>
        <v/>
      </c>
      <c r="HT174" s="110" t="str">
        <f t="shared" si="418"/>
        <v/>
      </c>
      <c r="HU174" s="51"/>
      <c r="HV174" s="108" t="str">
        <f t="shared" si="388"/>
        <v/>
      </c>
      <c r="HW174" s="109" t="str">
        <f t="shared" si="389"/>
        <v/>
      </c>
      <c r="HX174" s="109" t="str">
        <f t="shared" si="318"/>
        <v/>
      </c>
      <c r="HY174" s="110" t="str">
        <f t="shared" si="390"/>
        <v/>
      </c>
      <c r="HZ174" s="51"/>
      <c r="IA174" s="108" t="str">
        <f t="shared" si="319"/>
        <v/>
      </c>
      <c r="IB174" s="109" t="str">
        <f t="shared" si="391"/>
        <v/>
      </c>
      <c r="IC174" s="109" t="str">
        <f t="shared" si="320"/>
        <v/>
      </c>
      <c r="ID174" s="110" t="str">
        <f t="shared" si="419"/>
        <v/>
      </c>
      <c r="IE174" s="51"/>
      <c r="IF174" s="108" t="str">
        <f t="shared" si="392"/>
        <v/>
      </c>
      <c r="IG174" s="109" t="str">
        <f t="shared" si="393"/>
        <v/>
      </c>
      <c r="IH174" s="109" t="str">
        <f t="shared" si="321"/>
        <v/>
      </c>
      <c r="II174" s="110" t="str">
        <f t="shared" si="394"/>
        <v/>
      </c>
      <c r="IJ174" s="51"/>
      <c r="IK174" s="108" t="str">
        <f t="shared" si="322"/>
        <v/>
      </c>
      <c r="IL174" s="109" t="str">
        <f t="shared" si="395"/>
        <v/>
      </c>
      <c r="IM174" s="109" t="str">
        <f t="shared" si="323"/>
        <v/>
      </c>
      <c r="IN174" s="110" t="str">
        <f t="shared" si="420"/>
        <v/>
      </c>
      <c r="IO174" s="51"/>
      <c r="IP174" s="108" t="str">
        <f t="shared" si="396"/>
        <v/>
      </c>
      <c r="IQ174" s="109" t="str">
        <f t="shared" si="397"/>
        <v/>
      </c>
      <c r="IR174" s="109" t="str">
        <f t="shared" si="324"/>
        <v/>
      </c>
      <c r="IS174" s="110" t="str">
        <f t="shared" si="398"/>
        <v/>
      </c>
      <c r="IT174" s="51"/>
      <c r="IU174" s="108" t="str">
        <f t="shared" si="325"/>
        <v/>
      </c>
      <c r="IV174" s="109" t="str">
        <f t="shared" si="399"/>
        <v/>
      </c>
      <c r="IW174" s="109" t="str">
        <f t="shared" si="326"/>
        <v/>
      </c>
      <c r="IX174" s="110" t="str">
        <f t="shared" si="421"/>
        <v/>
      </c>
      <c r="IY174" s="51"/>
      <c r="IZ174" s="108" t="str">
        <f t="shared" si="400"/>
        <v/>
      </c>
      <c r="JA174" s="109" t="str">
        <f t="shared" si="401"/>
        <v/>
      </c>
      <c r="JB174" s="109" t="str">
        <f t="shared" si="327"/>
        <v/>
      </c>
      <c r="JC174" s="110" t="str">
        <f t="shared" si="402"/>
        <v/>
      </c>
      <c r="JD174" s="51"/>
      <c r="JE174" s="108" t="str">
        <f t="shared" si="328"/>
        <v/>
      </c>
      <c r="JF174" s="109" t="str">
        <f t="shared" si="403"/>
        <v/>
      </c>
      <c r="JG174" s="109" t="str">
        <f t="shared" si="329"/>
        <v/>
      </c>
      <c r="JH174" s="110" t="str">
        <f t="shared" si="422"/>
        <v/>
      </c>
      <c r="JI174" s="51"/>
      <c r="JJ174" s="108" t="str">
        <f t="shared" si="404"/>
        <v/>
      </c>
      <c r="JK174" s="109" t="str">
        <f t="shared" si="405"/>
        <v/>
      </c>
      <c r="JL174" s="109" t="str">
        <f t="shared" si="330"/>
        <v/>
      </c>
      <c r="JM174" s="110" t="str">
        <f t="shared" si="406"/>
        <v/>
      </c>
      <c r="JN174" s="51"/>
      <c r="JO174" s="108" t="str">
        <f t="shared" si="331"/>
        <v/>
      </c>
      <c r="JP174" s="109" t="str">
        <f t="shared" si="407"/>
        <v/>
      </c>
      <c r="JQ174" s="109" t="str">
        <f t="shared" si="332"/>
        <v/>
      </c>
      <c r="JR174" s="110" t="str">
        <f t="shared" si="423"/>
        <v/>
      </c>
      <c r="JS174" s="51"/>
      <c r="JT174" s="108" t="str">
        <f t="shared" si="408"/>
        <v/>
      </c>
      <c r="JU174" s="109" t="str">
        <f t="shared" si="409"/>
        <v/>
      </c>
      <c r="JV174" s="109" t="str">
        <f t="shared" si="333"/>
        <v/>
      </c>
      <c r="JW174" s="110" t="str">
        <f t="shared" si="410"/>
        <v/>
      </c>
      <c r="JX174" s="51"/>
      <c r="JY174" s="108" t="str">
        <f t="shared" si="334"/>
        <v/>
      </c>
      <c r="JZ174" s="109" t="str">
        <f t="shared" si="411"/>
        <v/>
      </c>
      <c r="KA174" s="109" t="str">
        <f t="shared" si="335"/>
        <v/>
      </c>
      <c r="KB174" s="110" t="str">
        <f t="shared" si="424"/>
        <v/>
      </c>
      <c r="KC174" s="51"/>
      <c r="KD174" s="108" t="str">
        <f t="shared" si="412"/>
        <v/>
      </c>
      <c r="KE174" s="109" t="str">
        <f t="shared" si="413"/>
        <v/>
      </c>
      <c r="KF174" s="109" t="str">
        <f t="shared" si="336"/>
        <v/>
      </c>
      <c r="KG174" s="110" t="str">
        <f t="shared" si="337"/>
        <v/>
      </c>
    </row>
    <row r="175" spans="1:293" ht="12" customHeight="1">
      <c r="A175" s="105">
        <f t="array" ref="A175">MAX(IF($J$80:J174&gt;0,$C$80:C174,0))</f>
        <v>43535</v>
      </c>
      <c r="B175" s="81" t="str">
        <f t="shared" si="248"/>
        <v/>
      </c>
      <c r="C175" s="82">
        <f t="shared" si="414"/>
        <v>0</v>
      </c>
      <c r="D175" s="83" t="str">
        <f t="shared" si="249"/>
        <v/>
      </c>
      <c r="E175" s="83" t="str">
        <f t="shared" si="338"/>
        <v/>
      </c>
      <c r="F175" s="83" t="str">
        <f t="shared" si="250"/>
        <v/>
      </c>
      <c r="G175" s="83" t="str">
        <f t="shared" si="251"/>
        <v/>
      </c>
      <c r="H175" s="83" t="str">
        <f t="shared" si="252"/>
        <v/>
      </c>
      <c r="I175" s="105">
        <f t="array" ref="I175">MAX(IF($R$80:R174&gt;0,$L$80:L174,0))</f>
        <v>0</v>
      </c>
      <c r="J175" s="106"/>
      <c r="K175" s="2" t="str">
        <f t="shared" si="253"/>
        <v/>
      </c>
      <c r="L175" s="82">
        <f t="shared" si="415"/>
        <v>0</v>
      </c>
      <c r="M175" s="83" t="str">
        <f t="shared" si="254"/>
        <v/>
      </c>
      <c r="N175" s="83" t="str">
        <f t="shared" si="255"/>
        <v/>
      </c>
      <c r="O175" s="83" t="str">
        <f t="shared" si="256"/>
        <v/>
      </c>
      <c r="P175" s="83" t="str">
        <f t="shared" si="257"/>
        <v/>
      </c>
      <c r="Q175" s="83" t="str">
        <f t="shared" si="258"/>
        <v/>
      </c>
      <c r="R175" s="106"/>
      <c r="S175" s="1"/>
      <c r="U175" s="85" t="e">
        <f t="shared" si="244"/>
        <v>#NUM!</v>
      </c>
      <c r="V175" s="86" t="e">
        <f t="shared" si="339"/>
        <v>#NUM!</v>
      </c>
      <c r="W175" s="87" t="e">
        <f t="shared" si="259"/>
        <v>#NUM!</v>
      </c>
      <c r="X175" s="87" t="e">
        <f t="shared" si="260"/>
        <v>#NUM!</v>
      </c>
      <c r="Y175" s="87" t="e">
        <f t="shared" si="261"/>
        <v>#NUM!</v>
      </c>
      <c r="Z175" s="88" t="e">
        <f t="shared" si="245"/>
        <v>#NUM!</v>
      </c>
      <c r="AA175" t="s">
        <v>282</v>
      </c>
      <c r="AB175" s="89">
        <f t="shared" si="340"/>
        <v>0</v>
      </c>
      <c r="AC175" s="87">
        <f t="shared" si="262"/>
        <v>0</v>
      </c>
      <c r="AD175" s="87" t="str">
        <f t="shared" si="263"/>
        <v/>
      </c>
      <c r="AE175" s="87" t="str">
        <f t="shared" si="264"/>
        <v/>
      </c>
      <c r="AF175" s="86">
        <f t="shared" si="341"/>
        <v>0</v>
      </c>
      <c r="AG175" s="87">
        <f t="shared" si="246"/>
        <v>0</v>
      </c>
      <c r="AH175" s="87">
        <f t="shared" si="342"/>
        <v>0</v>
      </c>
      <c r="AI175" s="90"/>
      <c r="AJ175" s="87" t="e">
        <f t="shared" si="265"/>
        <v>#NUM!</v>
      </c>
      <c r="AK175" s="87" t="e">
        <f t="shared" si="343"/>
        <v>#NUM!</v>
      </c>
      <c r="AL175" s="87" t="e">
        <f t="shared" si="344"/>
        <v>#NUM!</v>
      </c>
      <c r="AM175" s="87" t="e">
        <f t="shared" si="345"/>
        <v>#NUM!</v>
      </c>
      <c r="AN175" s="86">
        <f t="shared" si="266"/>
        <v>0</v>
      </c>
      <c r="AO175" s="87">
        <f t="shared" si="267"/>
        <v>0</v>
      </c>
      <c r="AP175" s="88">
        <f t="shared" si="268"/>
        <v>0</v>
      </c>
      <c r="AR175" s="91">
        <f t="shared" si="269"/>
        <v>0</v>
      </c>
      <c r="AS175" s="92">
        <f t="shared" si="270"/>
        <v>0</v>
      </c>
      <c r="AT175" s="87" t="str">
        <f t="shared" si="271"/>
        <v/>
      </c>
      <c r="AU175" s="87" t="str">
        <f t="shared" si="272"/>
        <v/>
      </c>
      <c r="AV175" s="86">
        <f t="shared" si="346"/>
        <v>0</v>
      </c>
      <c r="AW175" s="87">
        <f t="shared" si="347"/>
        <v>0</v>
      </c>
      <c r="AX175" s="87">
        <f t="shared" si="348"/>
        <v>0</v>
      </c>
      <c r="AY175" s="93"/>
      <c r="AZ175" s="87">
        <f t="shared" si="425"/>
        <v>0</v>
      </c>
      <c r="BA175" s="87">
        <f t="shared" si="349"/>
        <v>0</v>
      </c>
      <c r="BB175" s="87">
        <f t="shared" si="350"/>
        <v>0</v>
      </c>
      <c r="BC175" s="87">
        <f t="shared" si="416"/>
        <v>0</v>
      </c>
      <c r="BD175" s="86" t="e">
        <f t="shared" si="273"/>
        <v>#NUM!</v>
      </c>
      <c r="BE175" s="87" t="e">
        <f t="shared" si="247"/>
        <v>#NUM!</v>
      </c>
      <c r="BF175" s="88">
        <f t="shared" si="351"/>
        <v>0</v>
      </c>
      <c r="BH175" s="87" t="e">
        <f t="shared" si="274"/>
        <v>#NUM!</v>
      </c>
      <c r="BK175" s="95">
        <v>41738</v>
      </c>
      <c r="BL175" s="96">
        <v>96</v>
      </c>
      <c r="CY175" s="108" t="str">
        <f t="shared" si="275"/>
        <v/>
      </c>
      <c r="CZ175" s="109" t="str">
        <f t="shared" si="276"/>
        <v/>
      </c>
      <c r="DA175" s="109" t="str">
        <f t="shared" si="277"/>
        <v/>
      </c>
      <c r="DB175" s="110" t="str">
        <f t="shared" si="225"/>
        <v/>
      </c>
      <c r="DD175" s="108" t="str">
        <f t="shared" si="278"/>
        <v/>
      </c>
      <c r="DE175" s="109" t="str">
        <f t="shared" si="352"/>
        <v/>
      </c>
      <c r="DF175" s="109" t="str">
        <f t="shared" si="279"/>
        <v/>
      </c>
      <c r="DG175" s="110" t="str">
        <f t="shared" si="226"/>
        <v/>
      </c>
      <c r="DI175" s="108" t="str">
        <f t="shared" si="353"/>
        <v/>
      </c>
      <c r="DJ175" s="109" t="str">
        <f t="shared" si="354"/>
        <v/>
      </c>
      <c r="DK175" s="109" t="str">
        <f t="shared" si="280"/>
        <v/>
      </c>
      <c r="DL175" s="110" t="str">
        <f t="shared" si="227"/>
        <v/>
      </c>
      <c r="DN175" s="108" t="str">
        <f t="shared" si="281"/>
        <v/>
      </c>
      <c r="DO175" s="109" t="str">
        <f t="shared" si="282"/>
        <v/>
      </c>
      <c r="DP175" s="109" t="str">
        <f t="shared" si="283"/>
        <v/>
      </c>
      <c r="DQ175" s="110" t="str">
        <f t="shared" si="228"/>
        <v/>
      </c>
      <c r="DS175" s="108" t="str">
        <f t="shared" si="355"/>
        <v/>
      </c>
      <c r="DT175" s="109" t="str">
        <f t="shared" si="356"/>
        <v/>
      </c>
      <c r="DU175" s="109" t="str">
        <f t="shared" si="284"/>
        <v/>
      </c>
      <c r="DV175" s="110" t="str">
        <f t="shared" si="229"/>
        <v/>
      </c>
      <c r="DX175" s="108" t="str">
        <f t="shared" si="285"/>
        <v/>
      </c>
      <c r="DY175" s="109" t="str">
        <f t="shared" si="357"/>
        <v/>
      </c>
      <c r="DZ175" s="109" t="str">
        <f t="shared" si="286"/>
        <v/>
      </c>
      <c r="EA175" s="110" t="str">
        <f t="shared" si="230"/>
        <v/>
      </c>
      <c r="EC175" s="108" t="str">
        <f t="shared" si="358"/>
        <v/>
      </c>
      <c r="ED175" s="109" t="str">
        <f t="shared" si="359"/>
        <v/>
      </c>
      <c r="EE175" s="109" t="str">
        <f t="shared" si="287"/>
        <v/>
      </c>
      <c r="EF175" s="110" t="str">
        <f t="shared" si="231"/>
        <v/>
      </c>
      <c r="EH175" s="108" t="str">
        <f t="shared" si="288"/>
        <v/>
      </c>
      <c r="EI175" s="109" t="str">
        <f t="shared" si="360"/>
        <v/>
      </c>
      <c r="EJ175" s="109" t="str">
        <f t="shared" si="289"/>
        <v/>
      </c>
      <c r="EK175" s="110" t="str">
        <f t="shared" si="232"/>
        <v/>
      </c>
      <c r="EM175" s="108" t="str">
        <f t="shared" si="361"/>
        <v/>
      </c>
      <c r="EN175" s="109" t="str">
        <f t="shared" si="362"/>
        <v/>
      </c>
      <c r="EO175" s="109" t="str">
        <f t="shared" si="290"/>
        <v/>
      </c>
      <c r="EP175" s="110" t="str">
        <f t="shared" si="233"/>
        <v/>
      </c>
      <c r="ER175" s="108" t="str">
        <f t="shared" si="291"/>
        <v/>
      </c>
      <c r="ES175" s="109" t="str">
        <f t="shared" si="363"/>
        <v/>
      </c>
      <c r="ET175" s="109" t="str">
        <f t="shared" si="292"/>
        <v/>
      </c>
      <c r="EU175" s="110" t="str">
        <f t="shared" si="234"/>
        <v/>
      </c>
      <c r="EW175" s="108" t="str">
        <f t="shared" si="364"/>
        <v/>
      </c>
      <c r="EX175" s="109" t="str">
        <f t="shared" si="365"/>
        <v/>
      </c>
      <c r="EY175" s="109" t="str">
        <f t="shared" si="293"/>
        <v/>
      </c>
      <c r="EZ175" s="110" t="str">
        <f t="shared" si="235"/>
        <v/>
      </c>
      <c r="FB175" s="108" t="str">
        <f t="shared" si="294"/>
        <v/>
      </c>
      <c r="FC175" s="109" t="str">
        <f t="shared" si="366"/>
        <v/>
      </c>
      <c r="FD175" s="109" t="str">
        <f t="shared" si="295"/>
        <v/>
      </c>
      <c r="FE175" s="110" t="str">
        <f t="shared" si="236"/>
        <v/>
      </c>
      <c r="FG175" s="108" t="str">
        <f t="shared" si="367"/>
        <v/>
      </c>
      <c r="FH175" s="109" t="str">
        <f t="shared" si="368"/>
        <v/>
      </c>
      <c r="FI175" s="109" t="str">
        <f t="shared" si="296"/>
        <v/>
      </c>
      <c r="FJ175" s="110" t="str">
        <f t="shared" si="237"/>
        <v/>
      </c>
      <c r="FL175" s="108" t="str">
        <f t="shared" si="297"/>
        <v/>
      </c>
      <c r="FM175" s="109" t="str">
        <f t="shared" si="369"/>
        <v/>
      </c>
      <c r="FN175" s="109" t="str">
        <f t="shared" si="298"/>
        <v/>
      </c>
      <c r="FO175" s="110" t="str">
        <f t="shared" si="238"/>
        <v/>
      </c>
      <c r="FQ175" s="108" t="str">
        <f t="shared" si="370"/>
        <v/>
      </c>
      <c r="FR175" s="109" t="str">
        <f t="shared" si="371"/>
        <v/>
      </c>
      <c r="FS175" s="109" t="str">
        <f t="shared" si="299"/>
        <v/>
      </c>
      <c r="FT175" s="110" t="str">
        <f t="shared" si="239"/>
        <v/>
      </c>
      <c r="FV175" s="108" t="str">
        <f t="shared" si="300"/>
        <v/>
      </c>
      <c r="FW175" s="109" t="str">
        <f t="shared" si="372"/>
        <v/>
      </c>
      <c r="FX175" s="109" t="str">
        <f t="shared" si="301"/>
        <v/>
      </c>
      <c r="FY175" s="110" t="str">
        <f t="shared" si="240"/>
        <v/>
      </c>
      <c r="GA175" s="108" t="str">
        <f t="shared" si="373"/>
        <v/>
      </c>
      <c r="GB175" s="109" t="str">
        <f t="shared" si="374"/>
        <v/>
      </c>
      <c r="GC175" s="109" t="str">
        <f t="shared" si="302"/>
        <v/>
      </c>
      <c r="GD175" s="110" t="str">
        <f t="shared" si="241"/>
        <v/>
      </c>
      <c r="GF175" s="108" t="str">
        <f t="shared" si="303"/>
        <v/>
      </c>
      <c r="GG175" s="109" t="str">
        <f t="shared" si="375"/>
        <v/>
      </c>
      <c r="GH175" s="109" t="str">
        <f t="shared" si="304"/>
        <v/>
      </c>
      <c r="GI175" s="110" t="str">
        <f t="shared" si="242"/>
        <v/>
      </c>
      <c r="GK175" s="108" t="str">
        <f t="shared" si="376"/>
        <v/>
      </c>
      <c r="GL175" s="109" t="str">
        <f t="shared" si="377"/>
        <v/>
      </c>
      <c r="GM175" s="109" t="str">
        <f t="shared" si="378"/>
        <v/>
      </c>
      <c r="GN175" s="110" t="str">
        <f t="shared" si="243"/>
        <v/>
      </c>
      <c r="GR175" s="108" t="str">
        <f t="shared" si="305"/>
        <v/>
      </c>
      <c r="GS175" s="109" t="str">
        <f t="shared" si="306"/>
        <v/>
      </c>
      <c r="GT175" s="109" t="str">
        <f t="shared" si="307"/>
        <v/>
      </c>
      <c r="GU175" s="110" t="str">
        <f t="shared" si="308"/>
        <v/>
      </c>
      <c r="GV175" s="51"/>
      <c r="GW175" s="108" t="str">
        <f t="shared" si="309"/>
        <v/>
      </c>
      <c r="GX175" s="109" t="str">
        <f t="shared" si="379"/>
        <v/>
      </c>
      <c r="GY175" s="109" t="str">
        <f t="shared" si="310"/>
        <v/>
      </c>
      <c r="GZ175" s="110" t="str">
        <f t="shared" si="311"/>
        <v/>
      </c>
      <c r="HA175" s="51"/>
      <c r="HB175" s="108" t="str">
        <f t="shared" si="380"/>
        <v/>
      </c>
      <c r="HC175" s="109" t="str">
        <f t="shared" si="381"/>
        <v/>
      </c>
      <c r="HD175" s="109" t="str">
        <f t="shared" si="312"/>
        <v/>
      </c>
      <c r="HE175" s="110" t="str">
        <f t="shared" si="382"/>
        <v/>
      </c>
      <c r="HF175" s="51"/>
      <c r="HG175" s="108" t="str">
        <f t="shared" si="313"/>
        <v/>
      </c>
      <c r="HH175" s="109" t="str">
        <f t="shared" si="383"/>
        <v/>
      </c>
      <c r="HI175" s="109" t="str">
        <f t="shared" si="314"/>
        <v/>
      </c>
      <c r="HJ175" s="110" t="str">
        <f t="shared" si="417"/>
        <v/>
      </c>
      <c r="HK175" s="51"/>
      <c r="HL175" s="108" t="str">
        <f t="shared" si="384"/>
        <v/>
      </c>
      <c r="HM175" s="109" t="str">
        <f t="shared" si="385"/>
        <v/>
      </c>
      <c r="HN175" s="109" t="str">
        <f t="shared" si="315"/>
        <v/>
      </c>
      <c r="HO175" s="110" t="str">
        <f t="shared" si="386"/>
        <v/>
      </c>
      <c r="HP175" s="51"/>
      <c r="HQ175" s="108" t="str">
        <f t="shared" si="316"/>
        <v/>
      </c>
      <c r="HR175" s="109" t="str">
        <f t="shared" si="387"/>
        <v/>
      </c>
      <c r="HS175" s="109" t="str">
        <f t="shared" si="317"/>
        <v/>
      </c>
      <c r="HT175" s="110" t="str">
        <f t="shared" si="418"/>
        <v/>
      </c>
      <c r="HU175" s="51"/>
      <c r="HV175" s="108" t="str">
        <f t="shared" si="388"/>
        <v/>
      </c>
      <c r="HW175" s="109" t="str">
        <f t="shared" si="389"/>
        <v/>
      </c>
      <c r="HX175" s="109" t="str">
        <f t="shared" si="318"/>
        <v/>
      </c>
      <c r="HY175" s="110" t="str">
        <f t="shared" si="390"/>
        <v/>
      </c>
      <c r="HZ175" s="51"/>
      <c r="IA175" s="108" t="str">
        <f t="shared" si="319"/>
        <v/>
      </c>
      <c r="IB175" s="109" t="str">
        <f t="shared" si="391"/>
        <v/>
      </c>
      <c r="IC175" s="109" t="str">
        <f t="shared" si="320"/>
        <v/>
      </c>
      <c r="ID175" s="110" t="str">
        <f t="shared" si="419"/>
        <v/>
      </c>
      <c r="IE175" s="51"/>
      <c r="IF175" s="108" t="str">
        <f t="shared" si="392"/>
        <v/>
      </c>
      <c r="IG175" s="109" t="str">
        <f t="shared" si="393"/>
        <v/>
      </c>
      <c r="IH175" s="109" t="str">
        <f t="shared" si="321"/>
        <v/>
      </c>
      <c r="II175" s="110" t="str">
        <f t="shared" si="394"/>
        <v/>
      </c>
      <c r="IJ175" s="51"/>
      <c r="IK175" s="108" t="str">
        <f t="shared" si="322"/>
        <v/>
      </c>
      <c r="IL175" s="109" t="str">
        <f t="shared" si="395"/>
        <v/>
      </c>
      <c r="IM175" s="109" t="str">
        <f t="shared" si="323"/>
        <v/>
      </c>
      <c r="IN175" s="110" t="str">
        <f t="shared" si="420"/>
        <v/>
      </c>
      <c r="IO175" s="51"/>
      <c r="IP175" s="108" t="str">
        <f t="shared" si="396"/>
        <v/>
      </c>
      <c r="IQ175" s="109" t="str">
        <f t="shared" si="397"/>
        <v/>
      </c>
      <c r="IR175" s="109" t="str">
        <f t="shared" si="324"/>
        <v/>
      </c>
      <c r="IS175" s="110" t="str">
        <f t="shared" si="398"/>
        <v/>
      </c>
      <c r="IT175" s="51"/>
      <c r="IU175" s="108" t="str">
        <f t="shared" si="325"/>
        <v/>
      </c>
      <c r="IV175" s="109" t="str">
        <f t="shared" si="399"/>
        <v/>
      </c>
      <c r="IW175" s="109" t="str">
        <f t="shared" si="326"/>
        <v/>
      </c>
      <c r="IX175" s="110" t="str">
        <f t="shared" si="421"/>
        <v/>
      </c>
      <c r="IY175" s="51"/>
      <c r="IZ175" s="108" t="str">
        <f t="shared" si="400"/>
        <v/>
      </c>
      <c r="JA175" s="109" t="str">
        <f t="shared" si="401"/>
        <v/>
      </c>
      <c r="JB175" s="109" t="str">
        <f t="shared" si="327"/>
        <v/>
      </c>
      <c r="JC175" s="110" t="str">
        <f t="shared" si="402"/>
        <v/>
      </c>
      <c r="JD175" s="51"/>
      <c r="JE175" s="108" t="str">
        <f t="shared" si="328"/>
        <v/>
      </c>
      <c r="JF175" s="109" t="str">
        <f t="shared" si="403"/>
        <v/>
      </c>
      <c r="JG175" s="109" t="str">
        <f t="shared" si="329"/>
        <v/>
      </c>
      <c r="JH175" s="110" t="str">
        <f t="shared" si="422"/>
        <v/>
      </c>
      <c r="JI175" s="51"/>
      <c r="JJ175" s="108" t="str">
        <f t="shared" si="404"/>
        <v/>
      </c>
      <c r="JK175" s="109" t="str">
        <f t="shared" si="405"/>
        <v/>
      </c>
      <c r="JL175" s="109" t="str">
        <f t="shared" si="330"/>
        <v/>
      </c>
      <c r="JM175" s="110" t="str">
        <f t="shared" si="406"/>
        <v/>
      </c>
      <c r="JN175" s="51"/>
      <c r="JO175" s="108" t="str">
        <f t="shared" si="331"/>
        <v/>
      </c>
      <c r="JP175" s="109" t="str">
        <f t="shared" si="407"/>
        <v/>
      </c>
      <c r="JQ175" s="109" t="str">
        <f t="shared" si="332"/>
        <v/>
      </c>
      <c r="JR175" s="110" t="str">
        <f t="shared" si="423"/>
        <v/>
      </c>
      <c r="JS175" s="51"/>
      <c r="JT175" s="108" t="str">
        <f t="shared" si="408"/>
        <v/>
      </c>
      <c r="JU175" s="109" t="str">
        <f t="shared" si="409"/>
        <v/>
      </c>
      <c r="JV175" s="109" t="str">
        <f t="shared" si="333"/>
        <v/>
      </c>
      <c r="JW175" s="110" t="str">
        <f t="shared" si="410"/>
        <v/>
      </c>
      <c r="JX175" s="51"/>
      <c r="JY175" s="108" t="str">
        <f t="shared" si="334"/>
        <v/>
      </c>
      <c r="JZ175" s="109" t="str">
        <f t="shared" si="411"/>
        <v/>
      </c>
      <c r="KA175" s="109" t="str">
        <f t="shared" si="335"/>
        <v/>
      </c>
      <c r="KB175" s="110" t="str">
        <f t="shared" si="424"/>
        <v/>
      </c>
      <c r="KC175" s="51"/>
      <c r="KD175" s="108" t="str">
        <f t="shared" si="412"/>
        <v/>
      </c>
      <c r="KE175" s="109" t="str">
        <f t="shared" si="413"/>
        <v/>
      </c>
      <c r="KF175" s="109" t="str">
        <f t="shared" si="336"/>
        <v/>
      </c>
      <c r="KG175" s="110" t="str">
        <f t="shared" si="337"/>
        <v/>
      </c>
    </row>
    <row r="176" spans="1:293" ht="12" customHeight="1">
      <c r="A176" s="105">
        <f t="array" ref="A176">MAX(IF($J$80:J175&gt;0,$C$80:C175,0))</f>
        <v>43535</v>
      </c>
      <c r="B176" s="81" t="str">
        <f t="shared" si="248"/>
        <v/>
      </c>
      <c r="C176" s="82">
        <f t="shared" si="414"/>
        <v>0</v>
      </c>
      <c r="D176" s="83" t="str">
        <f t="shared" si="249"/>
        <v/>
      </c>
      <c r="E176" s="83" t="str">
        <f t="shared" si="338"/>
        <v/>
      </c>
      <c r="F176" s="83" t="str">
        <f t="shared" si="250"/>
        <v/>
      </c>
      <c r="G176" s="83" t="str">
        <f t="shared" si="251"/>
        <v/>
      </c>
      <c r="H176" s="83" t="str">
        <f t="shared" si="252"/>
        <v/>
      </c>
      <c r="I176" s="105">
        <f t="array" ref="I176">MAX(IF($R$80:R175&gt;0,$L$80:L175,0))</f>
        <v>0</v>
      </c>
      <c r="J176" s="106"/>
      <c r="K176" s="2" t="str">
        <f t="shared" si="253"/>
        <v/>
      </c>
      <c r="L176" s="82">
        <f t="shared" si="415"/>
        <v>0</v>
      </c>
      <c r="M176" s="83" t="str">
        <f t="shared" si="254"/>
        <v/>
      </c>
      <c r="N176" s="83" t="str">
        <f t="shared" si="255"/>
        <v/>
      </c>
      <c r="O176" s="83" t="str">
        <f t="shared" si="256"/>
        <v/>
      </c>
      <c r="P176" s="83" t="str">
        <f t="shared" si="257"/>
        <v/>
      </c>
      <c r="Q176" s="83" t="str">
        <f t="shared" si="258"/>
        <v/>
      </c>
      <c r="R176" s="106"/>
      <c r="S176" s="1"/>
      <c r="U176" s="85" t="e">
        <f t="shared" si="244"/>
        <v>#NUM!</v>
      </c>
      <c r="V176" s="86" t="e">
        <f t="shared" si="339"/>
        <v>#NUM!</v>
      </c>
      <c r="W176" s="87" t="e">
        <f t="shared" si="259"/>
        <v>#NUM!</v>
      </c>
      <c r="X176" s="87" t="e">
        <f t="shared" si="260"/>
        <v>#NUM!</v>
      </c>
      <c r="Y176" s="87" t="e">
        <f t="shared" si="261"/>
        <v>#NUM!</v>
      </c>
      <c r="Z176" s="88" t="e">
        <f t="shared" si="245"/>
        <v>#NUM!</v>
      </c>
      <c r="AA176" t="s">
        <v>282</v>
      </c>
      <c r="AB176" s="89">
        <f t="shared" si="340"/>
        <v>0</v>
      </c>
      <c r="AC176" s="87">
        <f t="shared" si="262"/>
        <v>0</v>
      </c>
      <c r="AD176" s="87" t="str">
        <f t="shared" si="263"/>
        <v/>
      </c>
      <c r="AE176" s="87" t="str">
        <f t="shared" si="264"/>
        <v/>
      </c>
      <c r="AF176" s="86">
        <f t="shared" si="341"/>
        <v>0</v>
      </c>
      <c r="AG176" s="87">
        <f t="shared" si="246"/>
        <v>0</v>
      </c>
      <c r="AH176" s="87">
        <f t="shared" si="342"/>
        <v>0</v>
      </c>
      <c r="AI176" s="90"/>
      <c r="AJ176" s="87" t="e">
        <f t="shared" si="265"/>
        <v>#NUM!</v>
      </c>
      <c r="AK176" s="87" t="e">
        <f t="shared" si="343"/>
        <v>#NUM!</v>
      </c>
      <c r="AL176" s="87" t="e">
        <f t="shared" si="344"/>
        <v>#NUM!</v>
      </c>
      <c r="AM176" s="87" t="e">
        <f t="shared" si="345"/>
        <v>#NUM!</v>
      </c>
      <c r="AN176" s="86">
        <f t="shared" si="266"/>
        <v>0</v>
      </c>
      <c r="AO176" s="87">
        <f t="shared" si="267"/>
        <v>0</v>
      </c>
      <c r="AP176" s="88">
        <f t="shared" si="268"/>
        <v>0</v>
      </c>
      <c r="AR176" s="91">
        <f t="shared" si="269"/>
        <v>0</v>
      </c>
      <c r="AS176" s="92">
        <f t="shared" si="270"/>
        <v>0</v>
      </c>
      <c r="AT176" s="87" t="str">
        <f t="shared" si="271"/>
        <v/>
      </c>
      <c r="AU176" s="87" t="str">
        <f t="shared" si="272"/>
        <v/>
      </c>
      <c r="AV176" s="86">
        <f t="shared" si="346"/>
        <v>0</v>
      </c>
      <c r="AW176" s="87">
        <f t="shared" si="347"/>
        <v>0</v>
      </c>
      <c r="AX176" s="87">
        <f t="shared" si="348"/>
        <v>0</v>
      </c>
      <c r="AY176" s="93"/>
      <c r="AZ176" s="87">
        <f t="shared" si="425"/>
        <v>0</v>
      </c>
      <c r="BA176" s="87">
        <f t="shared" si="349"/>
        <v>0</v>
      </c>
      <c r="BB176" s="87">
        <f t="shared" si="350"/>
        <v>0</v>
      </c>
      <c r="BC176" s="87">
        <f t="shared" si="416"/>
        <v>0</v>
      </c>
      <c r="BD176" s="86" t="e">
        <f t="shared" si="273"/>
        <v>#NUM!</v>
      </c>
      <c r="BE176" s="87" t="e">
        <f t="shared" si="247"/>
        <v>#NUM!</v>
      </c>
      <c r="BF176" s="88">
        <f t="shared" si="351"/>
        <v>0</v>
      </c>
      <c r="BH176" s="87" t="e">
        <f t="shared" si="274"/>
        <v>#NUM!</v>
      </c>
      <c r="BK176" s="95">
        <v>41747</v>
      </c>
      <c r="BL176" s="96">
        <v>97</v>
      </c>
      <c r="CY176" s="108" t="str">
        <f t="shared" si="275"/>
        <v/>
      </c>
      <c r="CZ176" s="109" t="str">
        <f t="shared" si="276"/>
        <v/>
      </c>
      <c r="DA176" s="109" t="str">
        <f t="shared" si="277"/>
        <v/>
      </c>
      <c r="DB176" s="110" t="str">
        <f t="shared" si="225"/>
        <v/>
      </c>
      <c r="DD176" s="108" t="str">
        <f t="shared" si="278"/>
        <v/>
      </c>
      <c r="DE176" s="109" t="str">
        <f t="shared" si="352"/>
        <v/>
      </c>
      <c r="DF176" s="109" t="str">
        <f t="shared" si="279"/>
        <v/>
      </c>
      <c r="DG176" s="110" t="str">
        <f t="shared" si="226"/>
        <v/>
      </c>
      <c r="DI176" s="108" t="str">
        <f t="shared" si="353"/>
        <v/>
      </c>
      <c r="DJ176" s="109" t="str">
        <f t="shared" si="354"/>
        <v/>
      </c>
      <c r="DK176" s="109" t="str">
        <f t="shared" si="280"/>
        <v/>
      </c>
      <c r="DL176" s="110" t="str">
        <f t="shared" si="227"/>
        <v/>
      </c>
      <c r="DN176" s="108" t="str">
        <f t="shared" si="281"/>
        <v/>
      </c>
      <c r="DO176" s="109" t="str">
        <f t="shared" si="282"/>
        <v/>
      </c>
      <c r="DP176" s="109" t="str">
        <f t="shared" si="283"/>
        <v/>
      </c>
      <c r="DQ176" s="110" t="str">
        <f t="shared" si="228"/>
        <v/>
      </c>
      <c r="DS176" s="108" t="str">
        <f t="shared" si="355"/>
        <v/>
      </c>
      <c r="DT176" s="109" t="str">
        <f t="shared" si="356"/>
        <v/>
      </c>
      <c r="DU176" s="109" t="str">
        <f t="shared" si="284"/>
        <v/>
      </c>
      <c r="DV176" s="110" t="str">
        <f t="shared" si="229"/>
        <v/>
      </c>
      <c r="DX176" s="108" t="str">
        <f t="shared" si="285"/>
        <v/>
      </c>
      <c r="DY176" s="109" t="str">
        <f t="shared" si="357"/>
        <v/>
      </c>
      <c r="DZ176" s="109" t="str">
        <f t="shared" si="286"/>
        <v/>
      </c>
      <c r="EA176" s="110" t="str">
        <f t="shared" si="230"/>
        <v/>
      </c>
      <c r="EC176" s="108" t="str">
        <f t="shared" si="358"/>
        <v/>
      </c>
      <c r="ED176" s="109" t="str">
        <f t="shared" si="359"/>
        <v/>
      </c>
      <c r="EE176" s="109" t="str">
        <f t="shared" si="287"/>
        <v/>
      </c>
      <c r="EF176" s="110" t="str">
        <f t="shared" si="231"/>
        <v/>
      </c>
      <c r="EH176" s="108" t="str">
        <f t="shared" si="288"/>
        <v/>
      </c>
      <c r="EI176" s="109" t="str">
        <f t="shared" si="360"/>
        <v/>
      </c>
      <c r="EJ176" s="109" t="str">
        <f t="shared" si="289"/>
        <v/>
      </c>
      <c r="EK176" s="110" t="str">
        <f t="shared" si="232"/>
        <v/>
      </c>
      <c r="EM176" s="108" t="str">
        <f t="shared" si="361"/>
        <v/>
      </c>
      <c r="EN176" s="109" t="str">
        <f t="shared" si="362"/>
        <v/>
      </c>
      <c r="EO176" s="109" t="str">
        <f t="shared" si="290"/>
        <v/>
      </c>
      <c r="EP176" s="110" t="str">
        <f t="shared" si="233"/>
        <v/>
      </c>
      <c r="ER176" s="108" t="str">
        <f t="shared" si="291"/>
        <v/>
      </c>
      <c r="ES176" s="109" t="str">
        <f t="shared" si="363"/>
        <v/>
      </c>
      <c r="ET176" s="109" t="str">
        <f t="shared" si="292"/>
        <v/>
      </c>
      <c r="EU176" s="110" t="str">
        <f t="shared" si="234"/>
        <v/>
      </c>
      <c r="EW176" s="108" t="str">
        <f t="shared" si="364"/>
        <v/>
      </c>
      <c r="EX176" s="109" t="str">
        <f t="shared" si="365"/>
        <v/>
      </c>
      <c r="EY176" s="109" t="str">
        <f t="shared" si="293"/>
        <v/>
      </c>
      <c r="EZ176" s="110" t="str">
        <f t="shared" si="235"/>
        <v/>
      </c>
      <c r="FB176" s="108" t="str">
        <f t="shared" si="294"/>
        <v/>
      </c>
      <c r="FC176" s="109" t="str">
        <f t="shared" si="366"/>
        <v/>
      </c>
      <c r="FD176" s="109" t="str">
        <f t="shared" si="295"/>
        <v/>
      </c>
      <c r="FE176" s="110" t="str">
        <f t="shared" si="236"/>
        <v/>
      </c>
      <c r="FG176" s="108" t="str">
        <f t="shared" si="367"/>
        <v/>
      </c>
      <c r="FH176" s="109" t="str">
        <f t="shared" si="368"/>
        <v/>
      </c>
      <c r="FI176" s="109" t="str">
        <f t="shared" si="296"/>
        <v/>
      </c>
      <c r="FJ176" s="110" t="str">
        <f t="shared" si="237"/>
        <v/>
      </c>
      <c r="FL176" s="108" t="str">
        <f t="shared" si="297"/>
        <v/>
      </c>
      <c r="FM176" s="109" t="str">
        <f t="shared" si="369"/>
        <v/>
      </c>
      <c r="FN176" s="109" t="str">
        <f t="shared" si="298"/>
        <v/>
      </c>
      <c r="FO176" s="110" t="str">
        <f t="shared" si="238"/>
        <v/>
      </c>
      <c r="FQ176" s="108" t="str">
        <f t="shared" si="370"/>
        <v/>
      </c>
      <c r="FR176" s="109" t="str">
        <f t="shared" si="371"/>
        <v/>
      </c>
      <c r="FS176" s="109" t="str">
        <f t="shared" si="299"/>
        <v/>
      </c>
      <c r="FT176" s="110" t="str">
        <f t="shared" si="239"/>
        <v/>
      </c>
      <c r="FV176" s="108" t="str">
        <f t="shared" si="300"/>
        <v/>
      </c>
      <c r="FW176" s="109" t="str">
        <f t="shared" si="372"/>
        <v/>
      </c>
      <c r="FX176" s="109" t="str">
        <f t="shared" si="301"/>
        <v/>
      </c>
      <c r="FY176" s="110" t="str">
        <f t="shared" si="240"/>
        <v/>
      </c>
      <c r="GA176" s="108" t="str">
        <f t="shared" si="373"/>
        <v/>
      </c>
      <c r="GB176" s="109" t="str">
        <f t="shared" si="374"/>
        <v/>
      </c>
      <c r="GC176" s="109" t="str">
        <f t="shared" si="302"/>
        <v/>
      </c>
      <c r="GD176" s="110" t="str">
        <f t="shared" si="241"/>
        <v/>
      </c>
      <c r="GF176" s="108" t="str">
        <f t="shared" si="303"/>
        <v/>
      </c>
      <c r="GG176" s="109" t="str">
        <f t="shared" si="375"/>
        <v/>
      </c>
      <c r="GH176" s="109" t="str">
        <f t="shared" si="304"/>
        <v/>
      </c>
      <c r="GI176" s="110" t="str">
        <f t="shared" si="242"/>
        <v/>
      </c>
      <c r="GK176" s="108" t="str">
        <f t="shared" si="376"/>
        <v/>
      </c>
      <c r="GL176" s="109" t="str">
        <f t="shared" si="377"/>
        <v/>
      </c>
      <c r="GM176" s="109" t="str">
        <f t="shared" si="378"/>
        <v/>
      </c>
      <c r="GN176" s="110" t="str">
        <f t="shared" si="243"/>
        <v/>
      </c>
      <c r="GR176" s="108" t="str">
        <f t="shared" si="305"/>
        <v/>
      </c>
      <c r="GS176" s="109" t="str">
        <f t="shared" si="306"/>
        <v/>
      </c>
      <c r="GT176" s="109" t="str">
        <f t="shared" si="307"/>
        <v/>
      </c>
      <c r="GU176" s="110" t="str">
        <f t="shared" si="308"/>
        <v/>
      </c>
      <c r="GV176" s="51"/>
      <c r="GW176" s="108" t="str">
        <f t="shared" si="309"/>
        <v/>
      </c>
      <c r="GX176" s="109" t="str">
        <f t="shared" si="379"/>
        <v/>
      </c>
      <c r="GY176" s="109" t="str">
        <f t="shared" si="310"/>
        <v/>
      </c>
      <c r="GZ176" s="110" t="str">
        <f t="shared" si="311"/>
        <v/>
      </c>
      <c r="HA176" s="51"/>
      <c r="HB176" s="108" t="str">
        <f t="shared" si="380"/>
        <v/>
      </c>
      <c r="HC176" s="109" t="str">
        <f t="shared" si="381"/>
        <v/>
      </c>
      <c r="HD176" s="109" t="str">
        <f t="shared" si="312"/>
        <v/>
      </c>
      <c r="HE176" s="110" t="str">
        <f t="shared" si="382"/>
        <v/>
      </c>
      <c r="HF176" s="51"/>
      <c r="HG176" s="108" t="str">
        <f t="shared" si="313"/>
        <v/>
      </c>
      <c r="HH176" s="109" t="str">
        <f t="shared" si="383"/>
        <v/>
      </c>
      <c r="HI176" s="109" t="str">
        <f t="shared" si="314"/>
        <v/>
      </c>
      <c r="HJ176" s="110" t="str">
        <f t="shared" si="417"/>
        <v/>
      </c>
      <c r="HK176" s="51"/>
      <c r="HL176" s="108" t="str">
        <f t="shared" si="384"/>
        <v/>
      </c>
      <c r="HM176" s="109" t="str">
        <f t="shared" si="385"/>
        <v/>
      </c>
      <c r="HN176" s="109" t="str">
        <f t="shared" si="315"/>
        <v/>
      </c>
      <c r="HO176" s="110" t="str">
        <f t="shared" si="386"/>
        <v/>
      </c>
      <c r="HP176" s="51"/>
      <c r="HQ176" s="108" t="str">
        <f t="shared" si="316"/>
        <v/>
      </c>
      <c r="HR176" s="109" t="str">
        <f t="shared" si="387"/>
        <v/>
      </c>
      <c r="HS176" s="109" t="str">
        <f t="shared" si="317"/>
        <v/>
      </c>
      <c r="HT176" s="110" t="str">
        <f t="shared" si="418"/>
        <v/>
      </c>
      <c r="HU176" s="51"/>
      <c r="HV176" s="108" t="str">
        <f t="shared" si="388"/>
        <v/>
      </c>
      <c r="HW176" s="109" t="str">
        <f t="shared" si="389"/>
        <v/>
      </c>
      <c r="HX176" s="109" t="str">
        <f t="shared" si="318"/>
        <v/>
      </c>
      <c r="HY176" s="110" t="str">
        <f t="shared" si="390"/>
        <v/>
      </c>
      <c r="HZ176" s="51"/>
      <c r="IA176" s="108" t="str">
        <f t="shared" si="319"/>
        <v/>
      </c>
      <c r="IB176" s="109" t="str">
        <f t="shared" si="391"/>
        <v/>
      </c>
      <c r="IC176" s="109" t="str">
        <f t="shared" si="320"/>
        <v/>
      </c>
      <c r="ID176" s="110" t="str">
        <f t="shared" si="419"/>
        <v/>
      </c>
      <c r="IE176" s="51"/>
      <c r="IF176" s="108" t="str">
        <f t="shared" si="392"/>
        <v/>
      </c>
      <c r="IG176" s="109" t="str">
        <f t="shared" si="393"/>
        <v/>
      </c>
      <c r="IH176" s="109" t="str">
        <f t="shared" si="321"/>
        <v/>
      </c>
      <c r="II176" s="110" t="str">
        <f t="shared" si="394"/>
        <v/>
      </c>
      <c r="IJ176" s="51"/>
      <c r="IK176" s="108" t="str">
        <f t="shared" si="322"/>
        <v/>
      </c>
      <c r="IL176" s="109" t="str">
        <f t="shared" si="395"/>
        <v/>
      </c>
      <c r="IM176" s="109" t="str">
        <f t="shared" si="323"/>
        <v/>
      </c>
      <c r="IN176" s="110" t="str">
        <f t="shared" si="420"/>
        <v/>
      </c>
      <c r="IO176" s="51"/>
      <c r="IP176" s="108" t="str">
        <f t="shared" si="396"/>
        <v/>
      </c>
      <c r="IQ176" s="109" t="str">
        <f t="shared" si="397"/>
        <v/>
      </c>
      <c r="IR176" s="109" t="str">
        <f t="shared" si="324"/>
        <v/>
      </c>
      <c r="IS176" s="110" t="str">
        <f t="shared" si="398"/>
        <v/>
      </c>
      <c r="IT176" s="51"/>
      <c r="IU176" s="108" t="str">
        <f t="shared" si="325"/>
        <v/>
      </c>
      <c r="IV176" s="109" t="str">
        <f t="shared" si="399"/>
        <v/>
      </c>
      <c r="IW176" s="109" t="str">
        <f t="shared" si="326"/>
        <v/>
      </c>
      <c r="IX176" s="110" t="str">
        <f t="shared" si="421"/>
        <v/>
      </c>
      <c r="IY176" s="51"/>
      <c r="IZ176" s="108" t="str">
        <f t="shared" si="400"/>
        <v/>
      </c>
      <c r="JA176" s="109" t="str">
        <f t="shared" si="401"/>
        <v/>
      </c>
      <c r="JB176" s="109" t="str">
        <f t="shared" si="327"/>
        <v/>
      </c>
      <c r="JC176" s="110" t="str">
        <f t="shared" si="402"/>
        <v/>
      </c>
      <c r="JD176" s="51"/>
      <c r="JE176" s="108" t="str">
        <f t="shared" si="328"/>
        <v/>
      </c>
      <c r="JF176" s="109" t="str">
        <f t="shared" si="403"/>
        <v/>
      </c>
      <c r="JG176" s="109" t="str">
        <f t="shared" si="329"/>
        <v/>
      </c>
      <c r="JH176" s="110" t="str">
        <f t="shared" si="422"/>
        <v/>
      </c>
      <c r="JI176" s="51"/>
      <c r="JJ176" s="108" t="str">
        <f t="shared" si="404"/>
        <v/>
      </c>
      <c r="JK176" s="109" t="str">
        <f t="shared" si="405"/>
        <v/>
      </c>
      <c r="JL176" s="109" t="str">
        <f t="shared" si="330"/>
        <v/>
      </c>
      <c r="JM176" s="110" t="str">
        <f t="shared" si="406"/>
        <v/>
      </c>
      <c r="JN176" s="51"/>
      <c r="JO176" s="108" t="str">
        <f t="shared" si="331"/>
        <v/>
      </c>
      <c r="JP176" s="109" t="str">
        <f t="shared" si="407"/>
        <v/>
      </c>
      <c r="JQ176" s="109" t="str">
        <f t="shared" si="332"/>
        <v/>
      </c>
      <c r="JR176" s="110" t="str">
        <f t="shared" si="423"/>
        <v/>
      </c>
      <c r="JS176" s="51"/>
      <c r="JT176" s="108" t="str">
        <f t="shared" si="408"/>
        <v/>
      </c>
      <c r="JU176" s="109" t="str">
        <f t="shared" si="409"/>
        <v/>
      </c>
      <c r="JV176" s="109" t="str">
        <f t="shared" si="333"/>
        <v/>
      </c>
      <c r="JW176" s="110" t="str">
        <f t="shared" si="410"/>
        <v/>
      </c>
      <c r="JX176" s="51"/>
      <c r="JY176" s="108" t="str">
        <f t="shared" si="334"/>
        <v/>
      </c>
      <c r="JZ176" s="109" t="str">
        <f t="shared" si="411"/>
        <v/>
      </c>
      <c r="KA176" s="109" t="str">
        <f t="shared" si="335"/>
        <v/>
      </c>
      <c r="KB176" s="110" t="str">
        <f t="shared" si="424"/>
        <v/>
      </c>
      <c r="KC176" s="51"/>
      <c r="KD176" s="108" t="str">
        <f t="shared" si="412"/>
        <v/>
      </c>
      <c r="KE176" s="109" t="str">
        <f t="shared" si="413"/>
        <v/>
      </c>
      <c r="KF176" s="109" t="str">
        <f t="shared" si="336"/>
        <v/>
      </c>
      <c r="KG176" s="110" t="str">
        <f t="shared" si="337"/>
        <v/>
      </c>
    </row>
    <row r="177" spans="1:293" ht="12" customHeight="1">
      <c r="A177" s="105">
        <f t="array" ref="A177">MAX(IF($J$80:J176&gt;0,$C$80:C176,0))</f>
        <v>43535</v>
      </c>
      <c r="B177" s="81" t="str">
        <f t="shared" si="248"/>
        <v/>
      </c>
      <c r="C177" s="82">
        <f t="shared" si="414"/>
        <v>0</v>
      </c>
      <c r="D177" s="83" t="str">
        <f t="shared" si="249"/>
        <v/>
      </c>
      <c r="E177" s="83" t="str">
        <f t="shared" si="338"/>
        <v/>
      </c>
      <c r="F177" s="83" t="str">
        <f t="shared" si="250"/>
        <v/>
      </c>
      <c r="G177" s="83" t="str">
        <f t="shared" si="251"/>
        <v/>
      </c>
      <c r="H177" s="83" t="str">
        <f t="shared" si="252"/>
        <v/>
      </c>
      <c r="I177" s="105">
        <f t="array" ref="I177">MAX(IF($R$80:R176&gt;0,$L$80:L176,0))</f>
        <v>0</v>
      </c>
      <c r="J177" s="106"/>
      <c r="K177" s="2" t="str">
        <f t="shared" si="253"/>
        <v/>
      </c>
      <c r="L177" s="82">
        <f t="shared" si="415"/>
        <v>0</v>
      </c>
      <c r="M177" s="83" t="str">
        <f t="shared" si="254"/>
        <v/>
      </c>
      <c r="N177" s="83" t="str">
        <f t="shared" si="255"/>
        <v/>
      </c>
      <c r="O177" s="83" t="str">
        <f t="shared" si="256"/>
        <v/>
      </c>
      <c r="P177" s="83" t="str">
        <f t="shared" si="257"/>
        <v/>
      </c>
      <c r="Q177" s="83" t="str">
        <f t="shared" si="258"/>
        <v/>
      </c>
      <c r="R177" s="106"/>
      <c r="S177" s="1"/>
      <c r="U177" s="85" t="e">
        <f t="shared" si="244"/>
        <v>#NUM!</v>
      </c>
      <c r="V177" s="86" t="e">
        <f t="shared" si="339"/>
        <v>#NUM!</v>
      </c>
      <c r="W177" s="87" t="e">
        <f t="shared" si="259"/>
        <v>#NUM!</v>
      </c>
      <c r="X177" s="87" t="e">
        <f t="shared" si="260"/>
        <v>#NUM!</v>
      </c>
      <c r="Y177" s="87" t="e">
        <f t="shared" si="261"/>
        <v>#NUM!</v>
      </c>
      <c r="Z177" s="88" t="e">
        <f t="shared" si="245"/>
        <v>#NUM!</v>
      </c>
      <c r="AA177" t="s">
        <v>282</v>
      </c>
      <c r="AB177" s="89">
        <f t="shared" si="340"/>
        <v>0</v>
      </c>
      <c r="AC177" s="87">
        <f t="shared" si="262"/>
        <v>0</v>
      </c>
      <c r="AD177" s="87" t="str">
        <f t="shared" si="263"/>
        <v/>
      </c>
      <c r="AE177" s="87" t="str">
        <f t="shared" si="264"/>
        <v/>
      </c>
      <c r="AF177" s="86">
        <f t="shared" si="341"/>
        <v>0</v>
      </c>
      <c r="AG177" s="87">
        <f t="shared" si="246"/>
        <v>0</v>
      </c>
      <c r="AH177" s="87">
        <f t="shared" si="342"/>
        <v>0</v>
      </c>
      <c r="AI177" s="90"/>
      <c r="AJ177" s="87" t="e">
        <f t="shared" si="265"/>
        <v>#NUM!</v>
      </c>
      <c r="AK177" s="87" t="e">
        <f t="shared" si="343"/>
        <v>#NUM!</v>
      </c>
      <c r="AL177" s="87" t="e">
        <f t="shared" si="344"/>
        <v>#NUM!</v>
      </c>
      <c r="AM177" s="87" t="e">
        <f t="shared" si="345"/>
        <v>#NUM!</v>
      </c>
      <c r="AN177" s="86">
        <f t="shared" si="266"/>
        <v>0</v>
      </c>
      <c r="AO177" s="87">
        <f t="shared" si="267"/>
        <v>0</v>
      </c>
      <c r="AP177" s="88">
        <f t="shared" si="268"/>
        <v>0</v>
      </c>
      <c r="AR177" s="91">
        <f t="shared" si="269"/>
        <v>0</v>
      </c>
      <c r="AS177" s="92">
        <f t="shared" si="270"/>
        <v>0</v>
      </c>
      <c r="AT177" s="87" t="str">
        <f t="shared" si="271"/>
        <v/>
      </c>
      <c r="AU177" s="87" t="str">
        <f t="shared" si="272"/>
        <v/>
      </c>
      <c r="AV177" s="86">
        <f t="shared" si="346"/>
        <v>0</v>
      </c>
      <c r="AW177" s="87">
        <f t="shared" si="347"/>
        <v>0</v>
      </c>
      <c r="AX177" s="87">
        <f t="shared" si="348"/>
        <v>0</v>
      </c>
      <c r="AY177" s="93"/>
      <c r="AZ177" s="87">
        <f t="shared" si="425"/>
        <v>0</v>
      </c>
      <c r="BA177" s="87">
        <f t="shared" si="349"/>
        <v>0</v>
      </c>
      <c r="BB177" s="87">
        <f t="shared" si="350"/>
        <v>0</v>
      </c>
      <c r="BC177" s="87">
        <f t="shared" si="416"/>
        <v>0</v>
      </c>
      <c r="BD177" s="86" t="e">
        <f t="shared" si="273"/>
        <v>#NUM!</v>
      </c>
      <c r="BE177" s="87" t="e">
        <f t="shared" si="247"/>
        <v>#NUM!</v>
      </c>
      <c r="BF177" s="88">
        <f t="shared" si="351"/>
        <v>0</v>
      </c>
      <c r="BH177" s="87" t="e">
        <f t="shared" si="274"/>
        <v>#NUM!</v>
      </c>
      <c r="BK177" s="95">
        <v>41750</v>
      </c>
      <c r="BL177" s="96">
        <v>98</v>
      </c>
      <c r="CY177" s="108" t="str">
        <f t="shared" si="275"/>
        <v/>
      </c>
      <c r="CZ177" s="109" t="str">
        <f t="shared" si="276"/>
        <v/>
      </c>
      <c r="DA177" s="109" t="str">
        <f t="shared" si="277"/>
        <v/>
      </c>
      <c r="DB177" s="110" t="str">
        <f t="shared" si="225"/>
        <v/>
      </c>
      <c r="DD177" s="108" t="str">
        <f t="shared" si="278"/>
        <v/>
      </c>
      <c r="DE177" s="109" t="str">
        <f t="shared" si="352"/>
        <v/>
      </c>
      <c r="DF177" s="109" t="str">
        <f t="shared" si="279"/>
        <v/>
      </c>
      <c r="DG177" s="110" t="str">
        <f t="shared" si="226"/>
        <v/>
      </c>
      <c r="DI177" s="108" t="str">
        <f t="shared" si="353"/>
        <v/>
      </c>
      <c r="DJ177" s="109" t="str">
        <f t="shared" si="354"/>
        <v/>
      </c>
      <c r="DK177" s="109" t="str">
        <f t="shared" si="280"/>
        <v/>
      </c>
      <c r="DL177" s="110" t="str">
        <f t="shared" si="227"/>
        <v/>
      </c>
      <c r="DN177" s="108" t="str">
        <f t="shared" si="281"/>
        <v/>
      </c>
      <c r="DO177" s="109" t="str">
        <f t="shared" si="282"/>
        <v/>
      </c>
      <c r="DP177" s="109" t="str">
        <f t="shared" si="283"/>
        <v/>
      </c>
      <c r="DQ177" s="110" t="str">
        <f t="shared" si="228"/>
        <v/>
      </c>
      <c r="DS177" s="108" t="str">
        <f t="shared" si="355"/>
        <v/>
      </c>
      <c r="DT177" s="109" t="str">
        <f t="shared" si="356"/>
        <v/>
      </c>
      <c r="DU177" s="109" t="str">
        <f t="shared" si="284"/>
        <v/>
      </c>
      <c r="DV177" s="110" t="str">
        <f t="shared" si="229"/>
        <v/>
      </c>
      <c r="DX177" s="108" t="str">
        <f t="shared" si="285"/>
        <v/>
      </c>
      <c r="DY177" s="109" t="str">
        <f t="shared" si="357"/>
        <v/>
      </c>
      <c r="DZ177" s="109" t="str">
        <f t="shared" si="286"/>
        <v/>
      </c>
      <c r="EA177" s="110" t="str">
        <f t="shared" si="230"/>
        <v/>
      </c>
      <c r="EC177" s="108" t="str">
        <f t="shared" si="358"/>
        <v/>
      </c>
      <c r="ED177" s="109" t="str">
        <f t="shared" si="359"/>
        <v/>
      </c>
      <c r="EE177" s="109" t="str">
        <f t="shared" si="287"/>
        <v/>
      </c>
      <c r="EF177" s="110" t="str">
        <f t="shared" si="231"/>
        <v/>
      </c>
      <c r="EH177" s="108" t="str">
        <f t="shared" si="288"/>
        <v/>
      </c>
      <c r="EI177" s="109" t="str">
        <f t="shared" si="360"/>
        <v/>
      </c>
      <c r="EJ177" s="109" t="str">
        <f t="shared" si="289"/>
        <v/>
      </c>
      <c r="EK177" s="110" t="str">
        <f t="shared" si="232"/>
        <v/>
      </c>
      <c r="EM177" s="108" t="str">
        <f t="shared" si="361"/>
        <v/>
      </c>
      <c r="EN177" s="109" t="str">
        <f t="shared" si="362"/>
        <v/>
      </c>
      <c r="EO177" s="109" t="str">
        <f t="shared" si="290"/>
        <v/>
      </c>
      <c r="EP177" s="110" t="str">
        <f t="shared" si="233"/>
        <v/>
      </c>
      <c r="ER177" s="108" t="str">
        <f t="shared" si="291"/>
        <v/>
      </c>
      <c r="ES177" s="109" t="str">
        <f t="shared" si="363"/>
        <v/>
      </c>
      <c r="ET177" s="109" t="str">
        <f t="shared" si="292"/>
        <v/>
      </c>
      <c r="EU177" s="110" t="str">
        <f t="shared" si="234"/>
        <v/>
      </c>
      <c r="EW177" s="108" t="str">
        <f t="shared" si="364"/>
        <v/>
      </c>
      <c r="EX177" s="109" t="str">
        <f t="shared" si="365"/>
        <v/>
      </c>
      <c r="EY177" s="109" t="str">
        <f t="shared" si="293"/>
        <v/>
      </c>
      <c r="EZ177" s="110" t="str">
        <f t="shared" si="235"/>
        <v/>
      </c>
      <c r="FB177" s="108" t="str">
        <f t="shared" si="294"/>
        <v/>
      </c>
      <c r="FC177" s="109" t="str">
        <f t="shared" si="366"/>
        <v/>
      </c>
      <c r="FD177" s="109" t="str">
        <f t="shared" si="295"/>
        <v/>
      </c>
      <c r="FE177" s="110" t="str">
        <f t="shared" si="236"/>
        <v/>
      </c>
      <c r="FG177" s="108" t="str">
        <f t="shared" si="367"/>
        <v/>
      </c>
      <c r="FH177" s="109" t="str">
        <f t="shared" si="368"/>
        <v/>
      </c>
      <c r="FI177" s="109" t="str">
        <f t="shared" si="296"/>
        <v/>
      </c>
      <c r="FJ177" s="110" t="str">
        <f t="shared" si="237"/>
        <v/>
      </c>
      <c r="FL177" s="108" t="str">
        <f t="shared" si="297"/>
        <v/>
      </c>
      <c r="FM177" s="109" t="str">
        <f t="shared" si="369"/>
        <v/>
      </c>
      <c r="FN177" s="109" t="str">
        <f t="shared" si="298"/>
        <v/>
      </c>
      <c r="FO177" s="110" t="str">
        <f t="shared" si="238"/>
        <v/>
      </c>
      <c r="FQ177" s="108" t="str">
        <f t="shared" si="370"/>
        <v/>
      </c>
      <c r="FR177" s="109" t="str">
        <f t="shared" si="371"/>
        <v/>
      </c>
      <c r="FS177" s="109" t="str">
        <f t="shared" si="299"/>
        <v/>
      </c>
      <c r="FT177" s="110" t="str">
        <f t="shared" si="239"/>
        <v/>
      </c>
      <c r="FV177" s="108" t="str">
        <f t="shared" si="300"/>
        <v/>
      </c>
      <c r="FW177" s="109" t="str">
        <f t="shared" si="372"/>
        <v/>
      </c>
      <c r="FX177" s="109" t="str">
        <f t="shared" si="301"/>
        <v/>
      </c>
      <c r="FY177" s="110" t="str">
        <f t="shared" si="240"/>
        <v/>
      </c>
      <c r="GA177" s="108" t="str">
        <f t="shared" si="373"/>
        <v/>
      </c>
      <c r="GB177" s="109" t="str">
        <f t="shared" si="374"/>
        <v/>
      </c>
      <c r="GC177" s="109" t="str">
        <f t="shared" si="302"/>
        <v/>
      </c>
      <c r="GD177" s="110" t="str">
        <f t="shared" si="241"/>
        <v/>
      </c>
      <c r="GF177" s="108" t="str">
        <f t="shared" si="303"/>
        <v/>
      </c>
      <c r="GG177" s="109" t="str">
        <f t="shared" si="375"/>
        <v/>
      </c>
      <c r="GH177" s="109" t="str">
        <f t="shared" si="304"/>
        <v/>
      </c>
      <c r="GI177" s="110" t="str">
        <f t="shared" si="242"/>
        <v/>
      </c>
      <c r="GK177" s="108" t="str">
        <f t="shared" si="376"/>
        <v/>
      </c>
      <c r="GL177" s="109" t="str">
        <f t="shared" si="377"/>
        <v/>
      </c>
      <c r="GM177" s="109" t="str">
        <f t="shared" si="378"/>
        <v/>
      </c>
      <c r="GN177" s="110" t="str">
        <f t="shared" si="243"/>
        <v/>
      </c>
      <c r="GR177" s="108" t="str">
        <f t="shared" si="305"/>
        <v/>
      </c>
      <c r="GS177" s="109" t="str">
        <f t="shared" si="306"/>
        <v/>
      </c>
      <c r="GT177" s="109" t="str">
        <f t="shared" si="307"/>
        <v/>
      </c>
      <c r="GU177" s="110" t="str">
        <f t="shared" si="308"/>
        <v/>
      </c>
      <c r="GV177" s="51"/>
      <c r="GW177" s="108" t="str">
        <f t="shared" si="309"/>
        <v/>
      </c>
      <c r="GX177" s="109" t="str">
        <f t="shared" si="379"/>
        <v/>
      </c>
      <c r="GY177" s="109" t="str">
        <f t="shared" si="310"/>
        <v/>
      </c>
      <c r="GZ177" s="110" t="str">
        <f t="shared" si="311"/>
        <v/>
      </c>
      <c r="HA177" s="51"/>
      <c r="HB177" s="108" t="str">
        <f t="shared" si="380"/>
        <v/>
      </c>
      <c r="HC177" s="109" t="str">
        <f t="shared" si="381"/>
        <v/>
      </c>
      <c r="HD177" s="109" t="str">
        <f t="shared" si="312"/>
        <v/>
      </c>
      <c r="HE177" s="110" t="str">
        <f t="shared" si="382"/>
        <v/>
      </c>
      <c r="HF177" s="51"/>
      <c r="HG177" s="108" t="str">
        <f t="shared" si="313"/>
        <v/>
      </c>
      <c r="HH177" s="109" t="str">
        <f t="shared" si="383"/>
        <v/>
      </c>
      <c r="HI177" s="109" t="str">
        <f t="shared" si="314"/>
        <v/>
      </c>
      <c r="HJ177" s="110" t="str">
        <f t="shared" si="417"/>
        <v/>
      </c>
      <c r="HK177" s="51"/>
      <c r="HL177" s="108" t="str">
        <f t="shared" si="384"/>
        <v/>
      </c>
      <c r="HM177" s="109" t="str">
        <f t="shared" si="385"/>
        <v/>
      </c>
      <c r="HN177" s="109" t="str">
        <f t="shared" si="315"/>
        <v/>
      </c>
      <c r="HO177" s="110" t="str">
        <f t="shared" si="386"/>
        <v/>
      </c>
      <c r="HP177" s="51"/>
      <c r="HQ177" s="108" t="str">
        <f t="shared" si="316"/>
        <v/>
      </c>
      <c r="HR177" s="109" t="str">
        <f t="shared" si="387"/>
        <v/>
      </c>
      <c r="HS177" s="109" t="str">
        <f t="shared" si="317"/>
        <v/>
      </c>
      <c r="HT177" s="110" t="str">
        <f t="shared" si="418"/>
        <v/>
      </c>
      <c r="HU177" s="51"/>
      <c r="HV177" s="108" t="str">
        <f t="shared" si="388"/>
        <v/>
      </c>
      <c r="HW177" s="109" t="str">
        <f t="shared" si="389"/>
        <v/>
      </c>
      <c r="HX177" s="109" t="str">
        <f t="shared" si="318"/>
        <v/>
      </c>
      <c r="HY177" s="110" t="str">
        <f t="shared" si="390"/>
        <v/>
      </c>
      <c r="HZ177" s="51"/>
      <c r="IA177" s="108" t="str">
        <f t="shared" si="319"/>
        <v/>
      </c>
      <c r="IB177" s="109" t="str">
        <f t="shared" si="391"/>
        <v/>
      </c>
      <c r="IC177" s="109" t="str">
        <f t="shared" si="320"/>
        <v/>
      </c>
      <c r="ID177" s="110" t="str">
        <f t="shared" si="419"/>
        <v/>
      </c>
      <c r="IE177" s="51"/>
      <c r="IF177" s="108" t="str">
        <f t="shared" si="392"/>
        <v/>
      </c>
      <c r="IG177" s="109" t="str">
        <f t="shared" si="393"/>
        <v/>
      </c>
      <c r="IH177" s="109" t="str">
        <f t="shared" si="321"/>
        <v/>
      </c>
      <c r="II177" s="110" t="str">
        <f t="shared" si="394"/>
        <v/>
      </c>
      <c r="IJ177" s="51"/>
      <c r="IK177" s="108" t="str">
        <f t="shared" si="322"/>
        <v/>
      </c>
      <c r="IL177" s="109" t="str">
        <f t="shared" si="395"/>
        <v/>
      </c>
      <c r="IM177" s="109" t="str">
        <f t="shared" si="323"/>
        <v/>
      </c>
      <c r="IN177" s="110" t="str">
        <f t="shared" si="420"/>
        <v/>
      </c>
      <c r="IO177" s="51"/>
      <c r="IP177" s="108" t="str">
        <f t="shared" si="396"/>
        <v/>
      </c>
      <c r="IQ177" s="109" t="str">
        <f t="shared" si="397"/>
        <v/>
      </c>
      <c r="IR177" s="109" t="str">
        <f t="shared" si="324"/>
        <v/>
      </c>
      <c r="IS177" s="110" t="str">
        <f t="shared" si="398"/>
        <v/>
      </c>
      <c r="IT177" s="51"/>
      <c r="IU177" s="108" t="str">
        <f t="shared" si="325"/>
        <v/>
      </c>
      <c r="IV177" s="109" t="str">
        <f t="shared" si="399"/>
        <v/>
      </c>
      <c r="IW177" s="109" t="str">
        <f t="shared" si="326"/>
        <v/>
      </c>
      <c r="IX177" s="110" t="str">
        <f t="shared" si="421"/>
        <v/>
      </c>
      <c r="IY177" s="51"/>
      <c r="IZ177" s="108" t="str">
        <f t="shared" si="400"/>
        <v/>
      </c>
      <c r="JA177" s="109" t="str">
        <f t="shared" si="401"/>
        <v/>
      </c>
      <c r="JB177" s="109" t="str">
        <f t="shared" si="327"/>
        <v/>
      </c>
      <c r="JC177" s="110" t="str">
        <f t="shared" si="402"/>
        <v/>
      </c>
      <c r="JD177" s="51"/>
      <c r="JE177" s="108" t="str">
        <f t="shared" si="328"/>
        <v/>
      </c>
      <c r="JF177" s="109" t="str">
        <f t="shared" si="403"/>
        <v/>
      </c>
      <c r="JG177" s="109" t="str">
        <f t="shared" si="329"/>
        <v/>
      </c>
      <c r="JH177" s="110" t="str">
        <f t="shared" si="422"/>
        <v/>
      </c>
      <c r="JI177" s="51"/>
      <c r="JJ177" s="108" t="str">
        <f t="shared" si="404"/>
        <v/>
      </c>
      <c r="JK177" s="109" t="str">
        <f t="shared" si="405"/>
        <v/>
      </c>
      <c r="JL177" s="109" t="str">
        <f t="shared" si="330"/>
        <v/>
      </c>
      <c r="JM177" s="110" t="str">
        <f t="shared" si="406"/>
        <v/>
      </c>
      <c r="JN177" s="51"/>
      <c r="JO177" s="108" t="str">
        <f t="shared" si="331"/>
        <v/>
      </c>
      <c r="JP177" s="109" t="str">
        <f t="shared" si="407"/>
        <v/>
      </c>
      <c r="JQ177" s="109" t="str">
        <f t="shared" si="332"/>
        <v/>
      </c>
      <c r="JR177" s="110" t="str">
        <f t="shared" si="423"/>
        <v/>
      </c>
      <c r="JS177" s="51"/>
      <c r="JT177" s="108" t="str">
        <f t="shared" si="408"/>
        <v/>
      </c>
      <c r="JU177" s="109" t="str">
        <f t="shared" si="409"/>
        <v/>
      </c>
      <c r="JV177" s="109" t="str">
        <f t="shared" si="333"/>
        <v/>
      </c>
      <c r="JW177" s="110" t="str">
        <f t="shared" si="410"/>
        <v/>
      </c>
      <c r="JX177" s="51"/>
      <c r="JY177" s="108" t="str">
        <f t="shared" si="334"/>
        <v/>
      </c>
      <c r="JZ177" s="109" t="str">
        <f t="shared" si="411"/>
        <v/>
      </c>
      <c r="KA177" s="109" t="str">
        <f t="shared" si="335"/>
        <v/>
      </c>
      <c r="KB177" s="110" t="str">
        <f t="shared" si="424"/>
        <v/>
      </c>
      <c r="KC177" s="51"/>
      <c r="KD177" s="108" t="str">
        <f t="shared" si="412"/>
        <v/>
      </c>
      <c r="KE177" s="109" t="str">
        <f t="shared" si="413"/>
        <v/>
      </c>
      <c r="KF177" s="109" t="str">
        <f t="shared" si="336"/>
        <v/>
      </c>
      <c r="KG177" s="110" t="str">
        <f t="shared" si="337"/>
        <v/>
      </c>
    </row>
    <row r="178" spans="1:293" ht="12" customHeight="1">
      <c r="A178" s="105">
        <f t="array" ref="A178">MAX(IF($J$80:J177&gt;0,$C$80:C177,0))</f>
        <v>43535</v>
      </c>
      <c r="B178" s="81" t="str">
        <f t="shared" si="248"/>
        <v/>
      </c>
      <c r="C178" s="82">
        <f t="shared" si="414"/>
        <v>0</v>
      </c>
      <c r="D178" s="83" t="str">
        <f t="shared" si="249"/>
        <v/>
      </c>
      <c r="E178" s="83" t="str">
        <f t="shared" si="338"/>
        <v/>
      </c>
      <c r="F178" s="83" t="str">
        <f t="shared" si="250"/>
        <v/>
      </c>
      <c r="G178" s="83" t="str">
        <f t="shared" si="251"/>
        <v/>
      </c>
      <c r="H178" s="83" t="str">
        <f t="shared" si="252"/>
        <v/>
      </c>
      <c r="I178" s="105">
        <f t="array" ref="I178">MAX(IF($R$80:R177&gt;0,$L$80:L177,0))</f>
        <v>0</v>
      </c>
      <c r="J178" s="106"/>
      <c r="K178" s="2" t="str">
        <f t="shared" si="253"/>
        <v/>
      </c>
      <c r="L178" s="82">
        <f t="shared" si="415"/>
        <v>0</v>
      </c>
      <c r="M178" s="83" t="str">
        <f t="shared" si="254"/>
        <v/>
      </c>
      <c r="N178" s="83" t="str">
        <f t="shared" si="255"/>
        <v/>
      </c>
      <c r="O178" s="83" t="str">
        <f t="shared" si="256"/>
        <v/>
      </c>
      <c r="P178" s="83" t="str">
        <f t="shared" si="257"/>
        <v/>
      </c>
      <c r="Q178" s="83" t="str">
        <f t="shared" si="258"/>
        <v/>
      </c>
      <c r="R178" s="106"/>
      <c r="S178" s="1"/>
      <c r="U178" s="85" t="e">
        <f t="shared" si="244"/>
        <v>#NUM!</v>
      </c>
      <c r="V178" s="86" t="e">
        <f t="shared" si="339"/>
        <v>#NUM!</v>
      </c>
      <c r="W178" s="87" t="e">
        <f t="shared" si="259"/>
        <v>#NUM!</v>
      </c>
      <c r="X178" s="87" t="e">
        <f t="shared" si="260"/>
        <v>#NUM!</v>
      </c>
      <c r="Y178" s="87" t="e">
        <f t="shared" si="261"/>
        <v>#NUM!</v>
      </c>
      <c r="Z178" s="88" t="e">
        <f t="shared" si="245"/>
        <v>#NUM!</v>
      </c>
      <c r="AA178" t="s">
        <v>282</v>
      </c>
      <c r="AB178" s="89">
        <f t="shared" si="340"/>
        <v>0</v>
      </c>
      <c r="AC178" s="87">
        <f t="shared" si="262"/>
        <v>0</v>
      </c>
      <c r="AD178" s="87" t="str">
        <f t="shared" si="263"/>
        <v/>
      </c>
      <c r="AE178" s="87" t="str">
        <f t="shared" si="264"/>
        <v/>
      </c>
      <c r="AF178" s="86">
        <f t="shared" si="341"/>
        <v>0</v>
      </c>
      <c r="AG178" s="87">
        <f t="shared" si="246"/>
        <v>0</v>
      </c>
      <c r="AH178" s="87">
        <f t="shared" si="342"/>
        <v>0</v>
      </c>
      <c r="AI178" s="90"/>
      <c r="AJ178" s="87" t="e">
        <f t="shared" si="265"/>
        <v>#NUM!</v>
      </c>
      <c r="AK178" s="87" t="e">
        <f t="shared" si="343"/>
        <v>#NUM!</v>
      </c>
      <c r="AL178" s="87" t="e">
        <f t="shared" si="344"/>
        <v>#NUM!</v>
      </c>
      <c r="AM178" s="87" t="e">
        <f t="shared" si="345"/>
        <v>#NUM!</v>
      </c>
      <c r="AN178" s="86">
        <f t="shared" si="266"/>
        <v>0</v>
      </c>
      <c r="AO178" s="87">
        <f t="shared" si="267"/>
        <v>0</v>
      </c>
      <c r="AP178" s="88">
        <f t="shared" si="268"/>
        <v>0</v>
      </c>
      <c r="AR178" s="91">
        <f t="shared" si="269"/>
        <v>0</v>
      </c>
      <c r="AS178" s="92">
        <f t="shared" si="270"/>
        <v>0</v>
      </c>
      <c r="AT178" s="87" t="str">
        <f t="shared" si="271"/>
        <v/>
      </c>
      <c r="AU178" s="87" t="str">
        <f t="shared" si="272"/>
        <v/>
      </c>
      <c r="AV178" s="86">
        <f t="shared" si="346"/>
        <v>0</v>
      </c>
      <c r="AW178" s="87">
        <f t="shared" si="347"/>
        <v>0</v>
      </c>
      <c r="AX178" s="87">
        <f t="shared" si="348"/>
        <v>0</v>
      </c>
      <c r="AY178" s="93"/>
      <c r="AZ178" s="87">
        <f t="shared" si="425"/>
        <v>0</v>
      </c>
      <c r="BA178" s="87">
        <f t="shared" si="349"/>
        <v>0</v>
      </c>
      <c r="BB178" s="87">
        <f t="shared" si="350"/>
        <v>0</v>
      </c>
      <c r="BC178" s="87">
        <f t="shared" si="416"/>
        <v>0</v>
      </c>
      <c r="BD178" s="86" t="e">
        <f t="shared" si="273"/>
        <v>#NUM!</v>
      </c>
      <c r="BE178" s="87" t="e">
        <f t="shared" si="247"/>
        <v>#NUM!</v>
      </c>
      <c r="BF178" s="88">
        <f t="shared" si="351"/>
        <v>0</v>
      </c>
      <c r="BH178" s="87" t="e">
        <f t="shared" si="274"/>
        <v>#NUM!</v>
      </c>
      <c r="BK178" s="95">
        <v>41768</v>
      </c>
      <c r="BL178" s="96">
        <v>99</v>
      </c>
      <c r="CY178" s="108" t="str">
        <f t="shared" si="275"/>
        <v/>
      </c>
      <c r="CZ178" s="109" t="str">
        <f t="shared" si="276"/>
        <v/>
      </c>
      <c r="DA178" s="109" t="str">
        <f t="shared" si="277"/>
        <v/>
      </c>
      <c r="DB178" s="110" t="str">
        <f t="shared" si="225"/>
        <v/>
      </c>
      <c r="DD178" s="108" t="str">
        <f t="shared" si="278"/>
        <v/>
      </c>
      <c r="DE178" s="109" t="str">
        <f t="shared" si="352"/>
        <v/>
      </c>
      <c r="DF178" s="109" t="str">
        <f t="shared" si="279"/>
        <v/>
      </c>
      <c r="DG178" s="110" t="str">
        <f t="shared" si="226"/>
        <v/>
      </c>
      <c r="DI178" s="108" t="str">
        <f t="shared" si="353"/>
        <v/>
      </c>
      <c r="DJ178" s="109" t="str">
        <f t="shared" si="354"/>
        <v/>
      </c>
      <c r="DK178" s="109" t="str">
        <f t="shared" si="280"/>
        <v/>
      </c>
      <c r="DL178" s="110" t="str">
        <f t="shared" si="227"/>
        <v/>
      </c>
      <c r="DN178" s="108" t="str">
        <f t="shared" si="281"/>
        <v/>
      </c>
      <c r="DO178" s="109" t="str">
        <f t="shared" si="282"/>
        <v/>
      </c>
      <c r="DP178" s="109" t="str">
        <f t="shared" si="283"/>
        <v/>
      </c>
      <c r="DQ178" s="110" t="str">
        <f t="shared" si="228"/>
        <v/>
      </c>
      <c r="DS178" s="108" t="str">
        <f t="shared" si="355"/>
        <v/>
      </c>
      <c r="DT178" s="109" t="str">
        <f t="shared" si="356"/>
        <v/>
      </c>
      <c r="DU178" s="109" t="str">
        <f t="shared" si="284"/>
        <v/>
      </c>
      <c r="DV178" s="110" t="str">
        <f t="shared" si="229"/>
        <v/>
      </c>
      <c r="DX178" s="108" t="str">
        <f t="shared" si="285"/>
        <v/>
      </c>
      <c r="DY178" s="109" t="str">
        <f t="shared" si="357"/>
        <v/>
      </c>
      <c r="DZ178" s="109" t="str">
        <f t="shared" si="286"/>
        <v/>
      </c>
      <c r="EA178" s="110" t="str">
        <f t="shared" si="230"/>
        <v/>
      </c>
      <c r="EC178" s="108" t="str">
        <f t="shared" si="358"/>
        <v/>
      </c>
      <c r="ED178" s="109" t="str">
        <f t="shared" si="359"/>
        <v/>
      </c>
      <c r="EE178" s="109" t="str">
        <f t="shared" si="287"/>
        <v/>
      </c>
      <c r="EF178" s="110" t="str">
        <f t="shared" si="231"/>
        <v/>
      </c>
      <c r="EH178" s="108" t="str">
        <f t="shared" si="288"/>
        <v/>
      </c>
      <c r="EI178" s="109" t="str">
        <f t="shared" si="360"/>
        <v/>
      </c>
      <c r="EJ178" s="109" t="str">
        <f t="shared" si="289"/>
        <v/>
      </c>
      <c r="EK178" s="110" t="str">
        <f t="shared" si="232"/>
        <v/>
      </c>
      <c r="EM178" s="108" t="str">
        <f t="shared" si="361"/>
        <v/>
      </c>
      <c r="EN178" s="109" t="str">
        <f t="shared" si="362"/>
        <v/>
      </c>
      <c r="EO178" s="109" t="str">
        <f t="shared" si="290"/>
        <v/>
      </c>
      <c r="EP178" s="110" t="str">
        <f t="shared" si="233"/>
        <v/>
      </c>
      <c r="ER178" s="108" t="str">
        <f t="shared" si="291"/>
        <v/>
      </c>
      <c r="ES178" s="109" t="str">
        <f t="shared" si="363"/>
        <v/>
      </c>
      <c r="ET178" s="109" t="str">
        <f t="shared" si="292"/>
        <v/>
      </c>
      <c r="EU178" s="110" t="str">
        <f t="shared" si="234"/>
        <v/>
      </c>
      <c r="EW178" s="108" t="str">
        <f t="shared" si="364"/>
        <v/>
      </c>
      <c r="EX178" s="109" t="str">
        <f t="shared" si="365"/>
        <v/>
      </c>
      <c r="EY178" s="109" t="str">
        <f t="shared" si="293"/>
        <v/>
      </c>
      <c r="EZ178" s="110" t="str">
        <f t="shared" si="235"/>
        <v/>
      </c>
      <c r="FB178" s="108" t="str">
        <f t="shared" si="294"/>
        <v/>
      </c>
      <c r="FC178" s="109" t="str">
        <f t="shared" si="366"/>
        <v/>
      </c>
      <c r="FD178" s="109" t="str">
        <f t="shared" si="295"/>
        <v/>
      </c>
      <c r="FE178" s="110" t="str">
        <f t="shared" si="236"/>
        <v/>
      </c>
      <c r="FG178" s="108" t="str">
        <f t="shared" si="367"/>
        <v/>
      </c>
      <c r="FH178" s="109" t="str">
        <f t="shared" si="368"/>
        <v/>
      </c>
      <c r="FI178" s="109" t="str">
        <f t="shared" si="296"/>
        <v/>
      </c>
      <c r="FJ178" s="110" t="str">
        <f t="shared" si="237"/>
        <v/>
      </c>
      <c r="FL178" s="108" t="str">
        <f t="shared" si="297"/>
        <v/>
      </c>
      <c r="FM178" s="109" t="str">
        <f t="shared" si="369"/>
        <v/>
      </c>
      <c r="FN178" s="109" t="str">
        <f t="shared" si="298"/>
        <v/>
      </c>
      <c r="FO178" s="110" t="str">
        <f t="shared" si="238"/>
        <v/>
      </c>
      <c r="FQ178" s="108" t="str">
        <f t="shared" si="370"/>
        <v/>
      </c>
      <c r="FR178" s="109" t="str">
        <f t="shared" si="371"/>
        <v/>
      </c>
      <c r="FS178" s="109" t="str">
        <f t="shared" si="299"/>
        <v/>
      </c>
      <c r="FT178" s="110" t="str">
        <f t="shared" si="239"/>
        <v/>
      </c>
      <c r="FV178" s="108" t="str">
        <f t="shared" si="300"/>
        <v/>
      </c>
      <c r="FW178" s="109" t="str">
        <f t="shared" si="372"/>
        <v/>
      </c>
      <c r="FX178" s="109" t="str">
        <f t="shared" si="301"/>
        <v/>
      </c>
      <c r="FY178" s="110" t="str">
        <f t="shared" si="240"/>
        <v/>
      </c>
      <c r="GA178" s="108" t="str">
        <f t="shared" si="373"/>
        <v/>
      </c>
      <c r="GB178" s="109" t="str">
        <f t="shared" si="374"/>
        <v/>
      </c>
      <c r="GC178" s="109" t="str">
        <f t="shared" si="302"/>
        <v/>
      </c>
      <c r="GD178" s="110" t="str">
        <f t="shared" si="241"/>
        <v/>
      </c>
      <c r="GF178" s="108" t="str">
        <f t="shared" si="303"/>
        <v/>
      </c>
      <c r="GG178" s="109" t="str">
        <f t="shared" si="375"/>
        <v/>
      </c>
      <c r="GH178" s="109" t="str">
        <f t="shared" si="304"/>
        <v/>
      </c>
      <c r="GI178" s="110" t="str">
        <f t="shared" si="242"/>
        <v/>
      </c>
      <c r="GK178" s="108" t="str">
        <f t="shared" si="376"/>
        <v/>
      </c>
      <c r="GL178" s="109" t="str">
        <f t="shared" si="377"/>
        <v/>
      </c>
      <c r="GM178" s="109" t="str">
        <f t="shared" si="378"/>
        <v/>
      </c>
      <c r="GN178" s="110" t="str">
        <f t="shared" si="243"/>
        <v/>
      </c>
      <c r="GR178" s="108" t="str">
        <f t="shared" si="305"/>
        <v/>
      </c>
      <c r="GS178" s="109" t="str">
        <f t="shared" si="306"/>
        <v/>
      </c>
      <c r="GT178" s="109" t="str">
        <f t="shared" si="307"/>
        <v/>
      </c>
      <c r="GU178" s="110" t="str">
        <f t="shared" si="308"/>
        <v/>
      </c>
      <c r="GV178" s="51"/>
      <c r="GW178" s="108" t="str">
        <f t="shared" si="309"/>
        <v/>
      </c>
      <c r="GX178" s="109" t="str">
        <f t="shared" si="379"/>
        <v/>
      </c>
      <c r="GY178" s="109" t="str">
        <f t="shared" si="310"/>
        <v/>
      </c>
      <c r="GZ178" s="110" t="str">
        <f t="shared" si="311"/>
        <v/>
      </c>
      <c r="HA178" s="51"/>
      <c r="HB178" s="108" t="str">
        <f t="shared" si="380"/>
        <v/>
      </c>
      <c r="HC178" s="109" t="str">
        <f t="shared" si="381"/>
        <v/>
      </c>
      <c r="HD178" s="109" t="str">
        <f t="shared" si="312"/>
        <v/>
      </c>
      <c r="HE178" s="110" t="str">
        <f t="shared" si="382"/>
        <v/>
      </c>
      <c r="HF178" s="51"/>
      <c r="HG178" s="108" t="str">
        <f t="shared" si="313"/>
        <v/>
      </c>
      <c r="HH178" s="109" t="str">
        <f t="shared" si="383"/>
        <v/>
      </c>
      <c r="HI178" s="109" t="str">
        <f t="shared" si="314"/>
        <v/>
      </c>
      <c r="HJ178" s="110" t="str">
        <f t="shared" si="417"/>
        <v/>
      </c>
      <c r="HK178" s="51"/>
      <c r="HL178" s="108" t="str">
        <f t="shared" si="384"/>
        <v/>
      </c>
      <c r="HM178" s="109" t="str">
        <f t="shared" si="385"/>
        <v/>
      </c>
      <c r="HN178" s="109" t="str">
        <f t="shared" si="315"/>
        <v/>
      </c>
      <c r="HO178" s="110" t="str">
        <f t="shared" si="386"/>
        <v/>
      </c>
      <c r="HP178" s="51"/>
      <c r="HQ178" s="108" t="str">
        <f t="shared" si="316"/>
        <v/>
      </c>
      <c r="HR178" s="109" t="str">
        <f t="shared" si="387"/>
        <v/>
      </c>
      <c r="HS178" s="109" t="str">
        <f t="shared" si="317"/>
        <v/>
      </c>
      <c r="HT178" s="110" t="str">
        <f t="shared" si="418"/>
        <v/>
      </c>
      <c r="HU178" s="51"/>
      <c r="HV178" s="108" t="str">
        <f t="shared" si="388"/>
        <v/>
      </c>
      <c r="HW178" s="109" t="str">
        <f t="shared" si="389"/>
        <v/>
      </c>
      <c r="HX178" s="109" t="str">
        <f t="shared" si="318"/>
        <v/>
      </c>
      <c r="HY178" s="110" t="str">
        <f t="shared" si="390"/>
        <v/>
      </c>
      <c r="HZ178" s="51"/>
      <c r="IA178" s="108" t="str">
        <f t="shared" si="319"/>
        <v/>
      </c>
      <c r="IB178" s="109" t="str">
        <f t="shared" si="391"/>
        <v/>
      </c>
      <c r="IC178" s="109" t="str">
        <f t="shared" si="320"/>
        <v/>
      </c>
      <c r="ID178" s="110" t="str">
        <f t="shared" si="419"/>
        <v/>
      </c>
      <c r="IE178" s="51"/>
      <c r="IF178" s="108" t="str">
        <f t="shared" si="392"/>
        <v/>
      </c>
      <c r="IG178" s="109" t="str">
        <f t="shared" si="393"/>
        <v/>
      </c>
      <c r="IH178" s="109" t="str">
        <f t="shared" si="321"/>
        <v/>
      </c>
      <c r="II178" s="110" t="str">
        <f t="shared" si="394"/>
        <v/>
      </c>
      <c r="IJ178" s="51"/>
      <c r="IK178" s="108" t="str">
        <f t="shared" si="322"/>
        <v/>
      </c>
      <c r="IL178" s="109" t="str">
        <f t="shared" si="395"/>
        <v/>
      </c>
      <c r="IM178" s="109" t="str">
        <f t="shared" si="323"/>
        <v/>
      </c>
      <c r="IN178" s="110" t="str">
        <f t="shared" si="420"/>
        <v/>
      </c>
      <c r="IO178" s="51"/>
      <c r="IP178" s="108" t="str">
        <f t="shared" si="396"/>
        <v/>
      </c>
      <c r="IQ178" s="109" t="str">
        <f t="shared" si="397"/>
        <v/>
      </c>
      <c r="IR178" s="109" t="str">
        <f t="shared" si="324"/>
        <v/>
      </c>
      <c r="IS178" s="110" t="str">
        <f t="shared" si="398"/>
        <v/>
      </c>
      <c r="IT178" s="51"/>
      <c r="IU178" s="108" t="str">
        <f t="shared" si="325"/>
        <v/>
      </c>
      <c r="IV178" s="109" t="str">
        <f t="shared" si="399"/>
        <v/>
      </c>
      <c r="IW178" s="109" t="str">
        <f t="shared" si="326"/>
        <v/>
      </c>
      <c r="IX178" s="110" t="str">
        <f t="shared" si="421"/>
        <v/>
      </c>
      <c r="IY178" s="51"/>
      <c r="IZ178" s="108" t="str">
        <f t="shared" si="400"/>
        <v/>
      </c>
      <c r="JA178" s="109" t="str">
        <f t="shared" si="401"/>
        <v/>
      </c>
      <c r="JB178" s="109" t="str">
        <f t="shared" si="327"/>
        <v/>
      </c>
      <c r="JC178" s="110" t="str">
        <f t="shared" si="402"/>
        <v/>
      </c>
      <c r="JD178" s="51"/>
      <c r="JE178" s="108" t="str">
        <f t="shared" si="328"/>
        <v/>
      </c>
      <c r="JF178" s="109" t="str">
        <f t="shared" si="403"/>
        <v/>
      </c>
      <c r="JG178" s="109" t="str">
        <f t="shared" si="329"/>
        <v/>
      </c>
      <c r="JH178" s="110" t="str">
        <f t="shared" si="422"/>
        <v/>
      </c>
      <c r="JI178" s="51"/>
      <c r="JJ178" s="108" t="str">
        <f t="shared" si="404"/>
        <v/>
      </c>
      <c r="JK178" s="109" t="str">
        <f t="shared" si="405"/>
        <v/>
      </c>
      <c r="JL178" s="109" t="str">
        <f t="shared" si="330"/>
        <v/>
      </c>
      <c r="JM178" s="110" t="str">
        <f t="shared" si="406"/>
        <v/>
      </c>
      <c r="JN178" s="51"/>
      <c r="JO178" s="108" t="str">
        <f t="shared" si="331"/>
        <v/>
      </c>
      <c r="JP178" s="109" t="str">
        <f t="shared" si="407"/>
        <v/>
      </c>
      <c r="JQ178" s="109" t="str">
        <f t="shared" si="332"/>
        <v/>
      </c>
      <c r="JR178" s="110" t="str">
        <f t="shared" si="423"/>
        <v/>
      </c>
      <c r="JS178" s="51"/>
      <c r="JT178" s="108" t="str">
        <f t="shared" si="408"/>
        <v/>
      </c>
      <c r="JU178" s="109" t="str">
        <f t="shared" si="409"/>
        <v/>
      </c>
      <c r="JV178" s="109" t="str">
        <f t="shared" si="333"/>
        <v/>
      </c>
      <c r="JW178" s="110" t="str">
        <f t="shared" si="410"/>
        <v/>
      </c>
      <c r="JX178" s="51"/>
      <c r="JY178" s="108" t="str">
        <f t="shared" si="334"/>
        <v/>
      </c>
      <c r="JZ178" s="109" t="str">
        <f t="shared" si="411"/>
        <v/>
      </c>
      <c r="KA178" s="109" t="str">
        <f t="shared" si="335"/>
        <v/>
      </c>
      <c r="KB178" s="110" t="str">
        <f t="shared" si="424"/>
        <v/>
      </c>
      <c r="KC178" s="51"/>
      <c r="KD178" s="108" t="str">
        <f t="shared" si="412"/>
        <v/>
      </c>
      <c r="KE178" s="109" t="str">
        <f t="shared" si="413"/>
        <v/>
      </c>
      <c r="KF178" s="109" t="str">
        <f t="shared" si="336"/>
        <v/>
      </c>
      <c r="KG178" s="110" t="str">
        <f t="shared" si="337"/>
        <v/>
      </c>
    </row>
    <row r="179" spans="1:293" ht="12" customHeight="1">
      <c r="A179" s="105">
        <f t="array" ref="A179">MAX(IF($J$80:J178&gt;0,$C$80:C178,0))</f>
        <v>43535</v>
      </c>
      <c r="B179" s="81" t="str">
        <f t="shared" si="248"/>
        <v/>
      </c>
      <c r="C179" s="82">
        <f t="shared" si="414"/>
        <v>0</v>
      </c>
      <c r="D179" s="83" t="str">
        <f t="shared" si="249"/>
        <v/>
      </c>
      <c r="E179" s="83" t="str">
        <f t="shared" si="338"/>
        <v/>
      </c>
      <c r="F179" s="83" t="str">
        <f t="shared" si="250"/>
        <v/>
      </c>
      <c r="G179" s="83" t="str">
        <f t="shared" si="251"/>
        <v/>
      </c>
      <c r="H179" s="83" t="str">
        <f t="shared" si="252"/>
        <v/>
      </c>
      <c r="I179" s="105">
        <f t="array" ref="I179">MAX(IF($R$80:R178&gt;0,$L$80:L178,0))</f>
        <v>0</v>
      </c>
      <c r="J179" s="106"/>
      <c r="K179" s="2" t="str">
        <f t="shared" si="253"/>
        <v/>
      </c>
      <c r="L179" s="82">
        <f t="shared" si="415"/>
        <v>0</v>
      </c>
      <c r="M179" s="83" t="str">
        <f t="shared" si="254"/>
        <v/>
      </c>
      <c r="N179" s="83" t="str">
        <f t="shared" si="255"/>
        <v/>
      </c>
      <c r="O179" s="83" t="str">
        <f t="shared" si="256"/>
        <v/>
      </c>
      <c r="P179" s="83" t="str">
        <f t="shared" si="257"/>
        <v/>
      </c>
      <c r="Q179" s="83" t="str">
        <f t="shared" si="258"/>
        <v/>
      </c>
      <c r="R179" s="106"/>
      <c r="S179" s="1"/>
      <c r="U179" s="85" t="e">
        <f t="shared" si="244"/>
        <v>#NUM!</v>
      </c>
      <c r="V179" s="86" t="e">
        <f t="shared" si="339"/>
        <v>#NUM!</v>
      </c>
      <c r="W179" s="87" t="e">
        <f t="shared" si="259"/>
        <v>#NUM!</v>
      </c>
      <c r="X179" s="87" t="e">
        <f t="shared" si="260"/>
        <v>#NUM!</v>
      </c>
      <c r="Y179" s="87" t="e">
        <f t="shared" si="261"/>
        <v>#NUM!</v>
      </c>
      <c r="Z179" s="88" t="e">
        <f t="shared" si="245"/>
        <v>#NUM!</v>
      </c>
      <c r="AA179" t="s">
        <v>282</v>
      </c>
      <c r="AB179" s="89">
        <f t="shared" si="340"/>
        <v>0</v>
      </c>
      <c r="AC179" s="87">
        <f t="shared" si="262"/>
        <v>0</v>
      </c>
      <c r="AD179" s="87" t="str">
        <f t="shared" si="263"/>
        <v/>
      </c>
      <c r="AE179" s="87" t="str">
        <f t="shared" si="264"/>
        <v/>
      </c>
      <c r="AF179" s="86">
        <f t="shared" si="341"/>
        <v>0</v>
      </c>
      <c r="AG179" s="87">
        <f t="shared" si="246"/>
        <v>0</v>
      </c>
      <c r="AH179" s="87">
        <f t="shared" si="342"/>
        <v>0</v>
      </c>
      <c r="AI179" s="90"/>
      <c r="AJ179" s="87" t="e">
        <f t="shared" si="265"/>
        <v>#NUM!</v>
      </c>
      <c r="AK179" s="87" t="e">
        <f t="shared" si="343"/>
        <v>#NUM!</v>
      </c>
      <c r="AL179" s="87" t="e">
        <f t="shared" si="344"/>
        <v>#NUM!</v>
      </c>
      <c r="AM179" s="87" t="e">
        <f t="shared" si="345"/>
        <v>#NUM!</v>
      </c>
      <c r="AN179" s="86">
        <f t="shared" si="266"/>
        <v>0</v>
      </c>
      <c r="AO179" s="87">
        <f t="shared" si="267"/>
        <v>0</v>
      </c>
      <c r="AP179" s="88">
        <f t="shared" si="268"/>
        <v>0</v>
      </c>
      <c r="AR179" s="91">
        <f t="shared" si="269"/>
        <v>0</v>
      </c>
      <c r="AS179" s="92">
        <f t="shared" si="270"/>
        <v>0</v>
      </c>
      <c r="AT179" s="87" t="str">
        <f t="shared" si="271"/>
        <v/>
      </c>
      <c r="AU179" s="87" t="str">
        <f t="shared" si="272"/>
        <v/>
      </c>
      <c r="AV179" s="86">
        <f t="shared" si="346"/>
        <v>0</v>
      </c>
      <c r="AW179" s="87">
        <f t="shared" si="347"/>
        <v>0</v>
      </c>
      <c r="AX179" s="87">
        <f t="shared" si="348"/>
        <v>0</v>
      </c>
      <c r="AY179" s="93"/>
      <c r="AZ179" s="87">
        <f t="shared" si="425"/>
        <v>0</v>
      </c>
      <c r="BA179" s="87">
        <f t="shared" si="349"/>
        <v>0</v>
      </c>
      <c r="BB179" s="87">
        <f t="shared" si="350"/>
        <v>0</v>
      </c>
      <c r="BC179" s="87">
        <f t="shared" si="416"/>
        <v>0</v>
      </c>
      <c r="BD179" s="86" t="e">
        <f t="shared" si="273"/>
        <v>#NUM!</v>
      </c>
      <c r="BE179" s="87" t="e">
        <f t="shared" si="247"/>
        <v>#NUM!</v>
      </c>
      <c r="BF179" s="88">
        <f t="shared" si="351"/>
        <v>0</v>
      </c>
      <c r="BH179" s="87" t="e">
        <f t="shared" si="274"/>
        <v>#NUM!</v>
      </c>
      <c r="BK179" s="95">
        <v>41771</v>
      </c>
      <c r="BL179" s="96">
        <v>100</v>
      </c>
      <c r="CY179" s="108" t="str">
        <f t="shared" si="275"/>
        <v/>
      </c>
      <c r="CZ179" s="109" t="str">
        <f t="shared" si="276"/>
        <v/>
      </c>
      <c r="DA179" s="109" t="str">
        <f t="shared" si="277"/>
        <v/>
      </c>
      <c r="DB179" s="110" t="str">
        <f t="shared" si="225"/>
        <v/>
      </c>
      <c r="DD179" s="108" t="str">
        <f t="shared" si="278"/>
        <v/>
      </c>
      <c r="DE179" s="109" t="str">
        <f t="shared" si="352"/>
        <v/>
      </c>
      <c r="DF179" s="109" t="str">
        <f t="shared" si="279"/>
        <v/>
      </c>
      <c r="DG179" s="110" t="str">
        <f t="shared" si="226"/>
        <v/>
      </c>
      <c r="DI179" s="108" t="str">
        <f t="shared" si="353"/>
        <v/>
      </c>
      <c r="DJ179" s="109" t="str">
        <f t="shared" si="354"/>
        <v/>
      </c>
      <c r="DK179" s="109" t="str">
        <f t="shared" si="280"/>
        <v/>
      </c>
      <c r="DL179" s="110" t="str">
        <f t="shared" si="227"/>
        <v/>
      </c>
      <c r="DN179" s="108" t="str">
        <f t="shared" si="281"/>
        <v/>
      </c>
      <c r="DO179" s="109" t="str">
        <f t="shared" si="282"/>
        <v/>
      </c>
      <c r="DP179" s="109" t="str">
        <f t="shared" si="283"/>
        <v/>
      </c>
      <c r="DQ179" s="110" t="str">
        <f t="shared" si="228"/>
        <v/>
      </c>
      <c r="DS179" s="108" t="str">
        <f t="shared" si="355"/>
        <v/>
      </c>
      <c r="DT179" s="109" t="str">
        <f t="shared" si="356"/>
        <v/>
      </c>
      <c r="DU179" s="109" t="str">
        <f t="shared" si="284"/>
        <v/>
      </c>
      <c r="DV179" s="110" t="str">
        <f t="shared" si="229"/>
        <v/>
      </c>
      <c r="DX179" s="108" t="str">
        <f t="shared" si="285"/>
        <v/>
      </c>
      <c r="DY179" s="109" t="str">
        <f t="shared" si="357"/>
        <v/>
      </c>
      <c r="DZ179" s="109" t="str">
        <f t="shared" si="286"/>
        <v/>
      </c>
      <c r="EA179" s="110" t="str">
        <f t="shared" si="230"/>
        <v/>
      </c>
      <c r="EC179" s="108" t="str">
        <f t="shared" si="358"/>
        <v/>
      </c>
      <c r="ED179" s="109" t="str">
        <f t="shared" si="359"/>
        <v/>
      </c>
      <c r="EE179" s="109" t="str">
        <f t="shared" si="287"/>
        <v/>
      </c>
      <c r="EF179" s="110" t="str">
        <f t="shared" si="231"/>
        <v/>
      </c>
      <c r="EH179" s="108" t="str">
        <f t="shared" si="288"/>
        <v/>
      </c>
      <c r="EI179" s="109" t="str">
        <f t="shared" si="360"/>
        <v/>
      </c>
      <c r="EJ179" s="109" t="str">
        <f t="shared" si="289"/>
        <v/>
      </c>
      <c r="EK179" s="110" t="str">
        <f t="shared" si="232"/>
        <v/>
      </c>
      <c r="EM179" s="108" t="str">
        <f t="shared" si="361"/>
        <v/>
      </c>
      <c r="EN179" s="109" t="str">
        <f t="shared" si="362"/>
        <v/>
      </c>
      <c r="EO179" s="109" t="str">
        <f t="shared" si="290"/>
        <v/>
      </c>
      <c r="EP179" s="110" t="str">
        <f t="shared" si="233"/>
        <v/>
      </c>
      <c r="ER179" s="108" t="str">
        <f t="shared" si="291"/>
        <v/>
      </c>
      <c r="ES179" s="109" t="str">
        <f t="shared" si="363"/>
        <v/>
      </c>
      <c r="ET179" s="109" t="str">
        <f t="shared" si="292"/>
        <v/>
      </c>
      <c r="EU179" s="110" t="str">
        <f t="shared" si="234"/>
        <v/>
      </c>
      <c r="EW179" s="108" t="str">
        <f t="shared" si="364"/>
        <v/>
      </c>
      <c r="EX179" s="109" t="str">
        <f t="shared" si="365"/>
        <v/>
      </c>
      <c r="EY179" s="109" t="str">
        <f t="shared" si="293"/>
        <v/>
      </c>
      <c r="EZ179" s="110" t="str">
        <f t="shared" si="235"/>
        <v/>
      </c>
      <c r="FB179" s="108" t="str">
        <f t="shared" si="294"/>
        <v/>
      </c>
      <c r="FC179" s="109" t="str">
        <f t="shared" si="366"/>
        <v/>
      </c>
      <c r="FD179" s="109" t="str">
        <f t="shared" si="295"/>
        <v/>
      </c>
      <c r="FE179" s="110" t="str">
        <f t="shared" si="236"/>
        <v/>
      </c>
      <c r="FG179" s="108" t="str">
        <f t="shared" si="367"/>
        <v/>
      </c>
      <c r="FH179" s="109" t="str">
        <f t="shared" si="368"/>
        <v/>
      </c>
      <c r="FI179" s="109" t="str">
        <f t="shared" si="296"/>
        <v/>
      </c>
      <c r="FJ179" s="110" t="str">
        <f t="shared" si="237"/>
        <v/>
      </c>
      <c r="FL179" s="108" t="str">
        <f t="shared" si="297"/>
        <v/>
      </c>
      <c r="FM179" s="109" t="str">
        <f t="shared" si="369"/>
        <v/>
      </c>
      <c r="FN179" s="109" t="str">
        <f t="shared" si="298"/>
        <v/>
      </c>
      <c r="FO179" s="110" t="str">
        <f t="shared" si="238"/>
        <v/>
      </c>
      <c r="FQ179" s="108" t="str">
        <f t="shared" si="370"/>
        <v/>
      </c>
      <c r="FR179" s="109" t="str">
        <f t="shared" si="371"/>
        <v/>
      </c>
      <c r="FS179" s="109" t="str">
        <f t="shared" si="299"/>
        <v/>
      </c>
      <c r="FT179" s="110" t="str">
        <f t="shared" si="239"/>
        <v/>
      </c>
      <c r="FV179" s="108" t="str">
        <f t="shared" si="300"/>
        <v/>
      </c>
      <c r="FW179" s="109" t="str">
        <f t="shared" si="372"/>
        <v/>
      </c>
      <c r="FX179" s="109" t="str">
        <f t="shared" si="301"/>
        <v/>
      </c>
      <c r="FY179" s="110" t="str">
        <f t="shared" si="240"/>
        <v/>
      </c>
      <c r="GA179" s="108" t="str">
        <f t="shared" si="373"/>
        <v/>
      </c>
      <c r="GB179" s="109" t="str">
        <f t="shared" si="374"/>
        <v/>
      </c>
      <c r="GC179" s="109" t="str">
        <f t="shared" si="302"/>
        <v/>
      </c>
      <c r="GD179" s="110" t="str">
        <f t="shared" si="241"/>
        <v/>
      </c>
      <c r="GF179" s="108" t="str">
        <f t="shared" si="303"/>
        <v/>
      </c>
      <c r="GG179" s="109" t="str">
        <f t="shared" si="375"/>
        <v/>
      </c>
      <c r="GH179" s="109" t="str">
        <f t="shared" si="304"/>
        <v/>
      </c>
      <c r="GI179" s="110" t="str">
        <f t="shared" si="242"/>
        <v/>
      </c>
      <c r="GK179" s="108" t="str">
        <f t="shared" si="376"/>
        <v/>
      </c>
      <c r="GL179" s="109" t="str">
        <f t="shared" si="377"/>
        <v/>
      </c>
      <c r="GM179" s="109" t="str">
        <f t="shared" si="378"/>
        <v/>
      </c>
      <c r="GN179" s="110" t="str">
        <f t="shared" si="243"/>
        <v/>
      </c>
      <c r="GR179" s="108" t="str">
        <f t="shared" si="305"/>
        <v/>
      </c>
      <c r="GS179" s="109" t="str">
        <f t="shared" si="306"/>
        <v/>
      </c>
      <c r="GT179" s="109" t="str">
        <f t="shared" si="307"/>
        <v/>
      </c>
      <c r="GU179" s="110" t="str">
        <f t="shared" si="308"/>
        <v/>
      </c>
      <c r="GV179" s="51"/>
      <c r="GW179" s="108" t="str">
        <f t="shared" si="309"/>
        <v/>
      </c>
      <c r="GX179" s="109" t="str">
        <f t="shared" si="379"/>
        <v/>
      </c>
      <c r="GY179" s="109" t="str">
        <f t="shared" si="310"/>
        <v/>
      </c>
      <c r="GZ179" s="110" t="str">
        <f t="shared" si="311"/>
        <v/>
      </c>
      <c r="HA179" s="51"/>
      <c r="HB179" s="108" t="str">
        <f t="shared" si="380"/>
        <v/>
      </c>
      <c r="HC179" s="109" t="str">
        <f t="shared" si="381"/>
        <v/>
      </c>
      <c r="HD179" s="109" t="str">
        <f t="shared" si="312"/>
        <v/>
      </c>
      <c r="HE179" s="110" t="str">
        <f t="shared" si="382"/>
        <v/>
      </c>
      <c r="HF179" s="51"/>
      <c r="HG179" s="108" t="str">
        <f t="shared" si="313"/>
        <v/>
      </c>
      <c r="HH179" s="109" t="str">
        <f t="shared" si="383"/>
        <v/>
      </c>
      <c r="HI179" s="109" t="str">
        <f t="shared" si="314"/>
        <v/>
      </c>
      <c r="HJ179" s="110" t="str">
        <f t="shared" si="417"/>
        <v/>
      </c>
      <c r="HK179" s="51"/>
      <c r="HL179" s="108" t="str">
        <f t="shared" si="384"/>
        <v/>
      </c>
      <c r="HM179" s="109" t="str">
        <f t="shared" si="385"/>
        <v/>
      </c>
      <c r="HN179" s="109" t="str">
        <f t="shared" si="315"/>
        <v/>
      </c>
      <c r="HO179" s="110" t="str">
        <f t="shared" si="386"/>
        <v/>
      </c>
      <c r="HP179" s="51"/>
      <c r="HQ179" s="108" t="str">
        <f t="shared" si="316"/>
        <v/>
      </c>
      <c r="HR179" s="109" t="str">
        <f t="shared" si="387"/>
        <v/>
      </c>
      <c r="HS179" s="109" t="str">
        <f t="shared" si="317"/>
        <v/>
      </c>
      <c r="HT179" s="110" t="str">
        <f t="shared" si="418"/>
        <v/>
      </c>
      <c r="HU179" s="51"/>
      <c r="HV179" s="108" t="str">
        <f t="shared" si="388"/>
        <v/>
      </c>
      <c r="HW179" s="109" t="str">
        <f t="shared" si="389"/>
        <v/>
      </c>
      <c r="HX179" s="109" t="str">
        <f t="shared" si="318"/>
        <v/>
      </c>
      <c r="HY179" s="110" t="str">
        <f t="shared" si="390"/>
        <v/>
      </c>
      <c r="HZ179" s="51"/>
      <c r="IA179" s="108" t="str">
        <f t="shared" si="319"/>
        <v/>
      </c>
      <c r="IB179" s="109" t="str">
        <f t="shared" si="391"/>
        <v/>
      </c>
      <c r="IC179" s="109" t="str">
        <f t="shared" si="320"/>
        <v/>
      </c>
      <c r="ID179" s="110" t="str">
        <f t="shared" si="419"/>
        <v/>
      </c>
      <c r="IE179" s="51"/>
      <c r="IF179" s="108" t="str">
        <f t="shared" si="392"/>
        <v/>
      </c>
      <c r="IG179" s="109" t="str">
        <f t="shared" si="393"/>
        <v/>
      </c>
      <c r="IH179" s="109" t="str">
        <f t="shared" si="321"/>
        <v/>
      </c>
      <c r="II179" s="110" t="str">
        <f t="shared" si="394"/>
        <v/>
      </c>
      <c r="IJ179" s="51"/>
      <c r="IK179" s="108" t="str">
        <f t="shared" si="322"/>
        <v/>
      </c>
      <c r="IL179" s="109" t="str">
        <f t="shared" si="395"/>
        <v/>
      </c>
      <c r="IM179" s="109" t="str">
        <f t="shared" si="323"/>
        <v/>
      </c>
      <c r="IN179" s="110" t="str">
        <f t="shared" si="420"/>
        <v/>
      </c>
      <c r="IO179" s="51"/>
      <c r="IP179" s="108" t="str">
        <f t="shared" si="396"/>
        <v/>
      </c>
      <c r="IQ179" s="109" t="str">
        <f t="shared" si="397"/>
        <v/>
      </c>
      <c r="IR179" s="109" t="str">
        <f t="shared" si="324"/>
        <v/>
      </c>
      <c r="IS179" s="110" t="str">
        <f t="shared" si="398"/>
        <v/>
      </c>
      <c r="IT179" s="51"/>
      <c r="IU179" s="108" t="str">
        <f t="shared" si="325"/>
        <v/>
      </c>
      <c r="IV179" s="109" t="str">
        <f t="shared" si="399"/>
        <v/>
      </c>
      <c r="IW179" s="109" t="str">
        <f t="shared" si="326"/>
        <v/>
      </c>
      <c r="IX179" s="110" t="str">
        <f t="shared" si="421"/>
        <v/>
      </c>
      <c r="IY179" s="51"/>
      <c r="IZ179" s="108" t="str">
        <f t="shared" si="400"/>
        <v/>
      </c>
      <c r="JA179" s="109" t="str">
        <f t="shared" si="401"/>
        <v/>
      </c>
      <c r="JB179" s="109" t="str">
        <f t="shared" si="327"/>
        <v/>
      </c>
      <c r="JC179" s="110" t="str">
        <f t="shared" si="402"/>
        <v/>
      </c>
      <c r="JD179" s="51"/>
      <c r="JE179" s="108" t="str">
        <f t="shared" si="328"/>
        <v/>
      </c>
      <c r="JF179" s="109" t="str">
        <f t="shared" si="403"/>
        <v/>
      </c>
      <c r="JG179" s="109" t="str">
        <f t="shared" si="329"/>
        <v/>
      </c>
      <c r="JH179" s="110" t="str">
        <f t="shared" si="422"/>
        <v/>
      </c>
      <c r="JI179" s="51"/>
      <c r="JJ179" s="108" t="str">
        <f t="shared" si="404"/>
        <v/>
      </c>
      <c r="JK179" s="109" t="str">
        <f t="shared" si="405"/>
        <v/>
      </c>
      <c r="JL179" s="109" t="str">
        <f t="shared" si="330"/>
        <v/>
      </c>
      <c r="JM179" s="110" t="str">
        <f t="shared" si="406"/>
        <v/>
      </c>
      <c r="JN179" s="51"/>
      <c r="JO179" s="108" t="str">
        <f t="shared" si="331"/>
        <v/>
      </c>
      <c r="JP179" s="109" t="str">
        <f t="shared" si="407"/>
        <v/>
      </c>
      <c r="JQ179" s="109" t="str">
        <f t="shared" si="332"/>
        <v/>
      </c>
      <c r="JR179" s="110" t="str">
        <f t="shared" si="423"/>
        <v/>
      </c>
      <c r="JS179" s="51"/>
      <c r="JT179" s="108" t="str">
        <f t="shared" si="408"/>
        <v/>
      </c>
      <c r="JU179" s="109" t="str">
        <f t="shared" si="409"/>
        <v/>
      </c>
      <c r="JV179" s="109" t="str">
        <f t="shared" si="333"/>
        <v/>
      </c>
      <c r="JW179" s="110" t="str">
        <f t="shared" si="410"/>
        <v/>
      </c>
      <c r="JX179" s="51"/>
      <c r="JY179" s="108" t="str">
        <f t="shared" si="334"/>
        <v/>
      </c>
      <c r="JZ179" s="109" t="str">
        <f t="shared" si="411"/>
        <v/>
      </c>
      <c r="KA179" s="109" t="str">
        <f t="shared" si="335"/>
        <v/>
      </c>
      <c r="KB179" s="110" t="str">
        <f t="shared" si="424"/>
        <v/>
      </c>
      <c r="KC179" s="51"/>
      <c r="KD179" s="108" t="str">
        <f t="shared" si="412"/>
        <v/>
      </c>
      <c r="KE179" s="109" t="str">
        <f t="shared" si="413"/>
        <v/>
      </c>
      <c r="KF179" s="109" t="str">
        <f t="shared" si="336"/>
        <v/>
      </c>
      <c r="KG179" s="110" t="str">
        <f t="shared" si="337"/>
        <v/>
      </c>
    </row>
    <row r="180" spans="1:293" ht="12" customHeight="1">
      <c r="A180" s="105">
        <f t="array" ref="A180">MAX(IF($J$80:J179&gt;0,$C$80:C179,0))</f>
        <v>43535</v>
      </c>
      <c r="B180" s="81" t="str">
        <f t="shared" si="248"/>
        <v/>
      </c>
      <c r="C180" s="82">
        <f t="shared" si="414"/>
        <v>0</v>
      </c>
      <c r="D180" s="83" t="str">
        <f t="shared" si="249"/>
        <v/>
      </c>
      <c r="E180" s="83" t="str">
        <f t="shared" si="338"/>
        <v/>
      </c>
      <c r="F180" s="83" t="str">
        <f t="shared" si="250"/>
        <v/>
      </c>
      <c r="G180" s="83" t="str">
        <f t="shared" si="251"/>
        <v/>
      </c>
      <c r="H180" s="83" t="str">
        <f t="shared" si="252"/>
        <v/>
      </c>
      <c r="I180" s="105">
        <f t="array" ref="I180">MAX(IF($R$80:R179&gt;0,$L$80:L179,0))</f>
        <v>0</v>
      </c>
      <c r="J180" s="106"/>
      <c r="K180" s="2" t="str">
        <f t="shared" si="253"/>
        <v/>
      </c>
      <c r="L180" s="82">
        <f t="shared" si="415"/>
        <v>0</v>
      </c>
      <c r="M180" s="83" t="str">
        <f t="shared" si="254"/>
        <v/>
      </c>
      <c r="N180" s="83" t="str">
        <f t="shared" si="255"/>
        <v/>
      </c>
      <c r="O180" s="83" t="str">
        <f t="shared" si="256"/>
        <v/>
      </c>
      <c r="P180" s="83" t="str">
        <f t="shared" si="257"/>
        <v/>
      </c>
      <c r="Q180" s="83" t="str">
        <f t="shared" si="258"/>
        <v/>
      </c>
      <c r="R180" s="106"/>
      <c r="S180" s="1"/>
      <c r="U180" s="85" t="e">
        <f t="shared" si="244"/>
        <v>#NUM!</v>
      </c>
      <c r="V180" s="86" t="e">
        <f t="shared" si="339"/>
        <v>#NUM!</v>
      </c>
      <c r="W180" s="87" t="e">
        <f t="shared" si="259"/>
        <v>#NUM!</v>
      </c>
      <c r="X180" s="87" t="e">
        <f t="shared" si="260"/>
        <v>#NUM!</v>
      </c>
      <c r="Y180" s="87" t="e">
        <f t="shared" si="261"/>
        <v>#NUM!</v>
      </c>
      <c r="Z180" s="88" t="e">
        <f t="shared" si="245"/>
        <v>#NUM!</v>
      </c>
      <c r="AA180" t="s">
        <v>282</v>
      </c>
      <c r="AB180" s="89">
        <f t="shared" si="340"/>
        <v>0</v>
      </c>
      <c r="AC180" s="87">
        <f t="shared" si="262"/>
        <v>0</v>
      </c>
      <c r="AD180" s="87" t="str">
        <f t="shared" si="263"/>
        <v/>
      </c>
      <c r="AE180" s="87" t="str">
        <f t="shared" si="264"/>
        <v/>
      </c>
      <c r="AF180" s="86">
        <f t="shared" si="341"/>
        <v>0</v>
      </c>
      <c r="AG180" s="87">
        <f t="shared" si="246"/>
        <v>0</v>
      </c>
      <c r="AH180" s="87">
        <f t="shared" si="342"/>
        <v>0</v>
      </c>
      <c r="AI180" s="90"/>
      <c r="AJ180" s="87" t="e">
        <f t="shared" si="265"/>
        <v>#NUM!</v>
      </c>
      <c r="AK180" s="87" t="e">
        <f t="shared" si="343"/>
        <v>#NUM!</v>
      </c>
      <c r="AL180" s="87" t="e">
        <f t="shared" si="344"/>
        <v>#NUM!</v>
      </c>
      <c r="AM180" s="87" t="e">
        <f t="shared" si="345"/>
        <v>#NUM!</v>
      </c>
      <c r="AN180" s="86">
        <f t="shared" si="266"/>
        <v>0</v>
      </c>
      <c r="AO180" s="87">
        <f t="shared" si="267"/>
        <v>0</v>
      </c>
      <c r="AP180" s="88">
        <f t="shared" si="268"/>
        <v>0</v>
      </c>
      <c r="AR180" s="91">
        <f t="shared" si="269"/>
        <v>0</v>
      </c>
      <c r="AS180" s="92">
        <f t="shared" si="270"/>
        <v>0</v>
      </c>
      <c r="AT180" s="87" t="str">
        <f t="shared" si="271"/>
        <v/>
      </c>
      <c r="AU180" s="87" t="str">
        <f t="shared" si="272"/>
        <v/>
      </c>
      <c r="AV180" s="86">
        <f t="shared" si="346"/>
        <v>0</v>
      </c>
      <c r="AW180" s="87">
        <f t="shared" si="347"/>
        <v>0</v>
      </c>
      <c r="AX180" s="87">
        <f t="shared" si="348"/>
        <v>0</v>
      </c>
      <c r="AY180" s="93"/>
      <c r="AZ180" s="87">
        <f t="shared" si="425"/>
        <v>0</v>
      </c>
      <c r="BA180" s="87">
        <f t="shared" si="349"/>
        <v>0</v>
      </c>
      <c r="BB180" s="87">
        <f t="shared" si="350"/>
        <v>0</v>
      </c>
      <c r="BC180" s="87">
        <f t="shared" si="416"/>
        <v>0</v>
      </c>
      <c r="BD180" s="86" t="e">
        <f t="shared" si="273"/>
        <v>#NUM!</v>
      </c>
      <c r="BE180" s="87" t="e">
        <f t="shared" si="247"/>
        <v>#NUM!</v>
      </c>
      <c r="BF180" s="88">
        <f t="shared" si="351"/>
        <v>0</v>
      </c>
      <c r="BH180" s="87" t="e">
        <f t="shared" si="274"/>
        <v>#NUM!</v>
      </c>
      <c r="BK180" s="95">
        <v>41785</v>
      </c>
      <c r="BL180" s="96">
        <v>101</v>
      </c>
      <c r="CY180" s="108" t="str">
        <f t="shared" si="275"/>
        <v/>
      </c>
      <c r="CZ180" s="109" t="str">
        <f t="shared" si="276"/>
        <v/>
      </c>
      <c r="DA180" s="109" t="str">
        <f t="shared" si="277"/>
        <v/>
      </c>
      <c r="DB180" s="110" t="str">
        <f t="shared" si="225"/>
        <v/>
      </c>
      <c r="DD180" s="108" t="str">
        <f t="shared" si="278"/>
        <v/>
      </c>
      <c r="DE180" s="109" t="str">
        <f t="shared" si="352"/>
        <v/>
      </c>
      <c r="DF180" s="109" t="str">
        <f t="shared" si="279"/>
        <v/>
      </c>
      <c r="DG180" s="110" t="str">
        <f t="shared" si="226"/>
        <v/>
      </c>
      <c r="DI180" s="108" t="str">
        <f t="shared" si="353"/>
        <v/>
      </c>
      <c r="DJ180" s="109" t="str">
        <f t="shared" si="354"/>
        <v/>
      </c>
      <c r="DK180" s="109" t="str">
        <f t="shared" si="280"/>
        <v/>
      </c>
      <c r="DL180" s="110" t="str">
        <f t="shared" si="227"/>
        <v/>
      </c>
      <c r="DN180" s="108" t="str">
        <f t="shared" si="281"/>
        <v/>
      </c>
      <c r="DO180" s="109" t="str">
        <f t="shared" si="282"/>
        <v/>
      </c>
      <c r="DP180" s="109" t="str">
        <f t="shared" si="283"/>
        <v/>
      </c>
      <c r="DQ180" s="110" t="str">
        <f t="shared" si="228"/>
        <v/>
      </c>
      <c r="DS180" s="108" t="str">
        <f t="shared" si="355"/>
        <v/>
      </c>
      <c r="DT180" s="109" t="str">
        <f t="shared" si="356"/>
        <v/>
      </c>
      <c r="DU180" s="109" t="str">
        <f t="shared" si="284"/>
        <v/>
      </c>
      <c r="DV180" s="110" t="str">
        <f t="shared" si="229"/>
        <v/>
      </c>
      <c r="DX180" s="108" t="str">
        <f t="shared" si="285"/>
        <v/>
      </c>
      <c r="DY180" s="109" t="str">
        <f t="shared" si="357"/>
        <v/>
      </c>
      <c r="DZ180" s="109" t="str">
        <f t="shared" si="286"/>
        <v/>
      </c>
      <c r="EA180" s="110" t="str">
        <f t="shared" si="230"/>
        <v/>
      </c>
      <c r="EC180" s="108" t="str">
        <f t="shared" si="358"/>
        <v/>
      </c>
      <c r="ED180" s="109" t="str">
        <f t="shared" si="359"/>
        <v/>
      </c>
      <c r="EE180" s="109" t="str">
        <f t="shared" si="287"/>
        <v/>
      </c>
      <c r="EF180" s="110" t="str">
        <f t="shared" si="231"/>
        <v/>
      </c>
      <c r="EH180" s="108" t="str">
        <f t="shared" si="288"/>
        <v/>
      </c>
      <c r="EI180" s="109" t="str">
        <f t="shared" si="360"/>
        <v/>
      </c>
      <c r="EJ180" s="109" t="str">
        <f t="shared" si="289"/>
        <v/>
      </c>
      <c r="EK180" s="110" t="str">
        <f t="shared" si="232"/>
        <v/>
      </c>
      <c r="EM180" s="108" t="str">
        <f t="shared" si="361"/>
        <v/>
      </c>
      <c r="EN180" s="109" t="str">
        <f t="shared" si="362"/>
        <v/>
      </c>
      <c r="EO180" s="109" t="str">
        <f t="shared" si="290"/>
        <v/>
      </c>
      <c r="EP180" s="110" t="str">
        <f t="shared" si="233"/>
        <v/>
      </c>
      <c r="ER180" s="108" t="str">
        <f t="shared" si="291"/>
        <v/>
      </c>
      <c r="ES180" s="109" t="str">
        <f t="shared" si="363"/>
        <v/>
      </c>
      <c r="ET180" s="109" t="str">
        <f t="shared" si="292"/>
        <v/>
      </c>
      <c r="EU180" s="110" t="str">
        <f t="shared" si="234"/>
        <v/>
      </c>
      <c r="EW180" s="108" t="str">
        <f t="shared" si="364"/>
        <v/>
      </c>
      <c r="EX180" s="109" t="str">
        <f t="shared" si="365"/>
        <v/>
      </c>
      <c r="EY180" s="109" t="str">
        <f t="shared" si="293"/>
        <v/>
      </c>
      <c r="EZ180" s="110" t="str">
        <f t="shared" si="235"/>
        <v/>
      </c>
      <c r="FB180" s="108" t="str">
        <f t="shared" si="294"/>
        <v/>
      </c>
      <c r="FC180" s="109" t="str">
        <f t="shared" si="366"/>
        <v/>
      </c>
      <c r="FD180" s="109" t="str">
        <f t="shared" si="295"/>
        <v/>
      </c>
      <c r="FE180" s="110" t="str">
        <f t="shared" si="236"/>
        <v/>
      </c>
      <c r="FG180" s="108" t="str">
        <f t="shared" si="367"/>
        <v/>
      </c>
      <c r="FH180" s="109" t="str">
        <f t="shared" si="368"/>
        <v/>
      </c>
      <c r="FI180" s="109" t="str">
        <f t="shared" si="296"/>
        <v/>
      </c>
      <c r="FJ180" s="110" t="str">
        <f t="shared" si="237"/>
        <v/>
      </c>
      <c r="FL180" s="108" t="str">
        <f t="shared" si="297"/>
        <v/>
      </c>
      <c r="FM180" s="109" t="str">
        <f t="shared" si="369"/>
        <v/>
      </c>
      <c r="FN180" s="109" t="str">
        <f t="shared" si="298"/>
        <v/>
      </c>
      <c r="FO180" s="110" t="str">
        <f t="shared" si="238"/>
        <v/>
      </c>
      <c r="FQ180" s="108" t="str">
        <f t="shared" si="370"/>
        <v/>
      </c>
      <c r="FR180" s="109" t="str">
        <f t="shared" si="371"/>
        <v/>
      </c>
      <c r="FS180" s="109" t="str">
        <f t="shared" si="299"/>
        <v/>
      </c>
      <c r="FT180" s="110" t="str">
        <f t="shared" si="239"/>
        <v/>
      </c>
      <c r="FV180" s="108" t="str">
        <f t="shared" si="300"/>
        <v/>
      </c>
      <c r="FW180" s="109" t="str">
        <f t="shared" si="372"/>
        <v/>
      </c>
      <c r="FX180" s="109" t="str">
        <f t="shared" si="301"/>
        <v/>
      </c>
      <c r="FY180" s="110" t="str">
        <f t="shared" si="240"/>
        <v/>
      </c>
      <c r="GA180" s="108" t="str">
        <f t="shared" si="373"/>
        <v/>
      </c>
      <c r="GB180" s="109" t="str">
        <f t="shared" si="374"/>
        <v/>
      </c>
      <c r="GC180" s="109" t="str">
        <f t="shared" si="302"/>
        <v/>
      </c>
      <c r="GD180" s="110" t="str">
        <f t="shared" si="241"/>
        <v/>
      </c>
      <c r="GF180" s="108" t="str">
        <f t="shared" si="303"/>
        <v/>
      </c>
      <c r="GG180" s="109" t="str">
        <f t="shared" si="375"/>
        <v/>
      </c>
      <c r="GH180" s="109" t="str">
        <f t="shared" si="304"/>
        <v/>
      </c>
      <c r="GI180" s="110" t="str">
        <f t="shared" si="242"/>
        <v/>
      </c>
      <c r="GK180" s="108" t="str">
        <f t="shared" si="376"/>
        <v/>
      </c>
      <c r="GL180" s="109" t="str">
        <f t="shared" si="377"/>
        <v/>
      </c>
      <c r="GM180" s="109" t="str">
        <f t="shared" si="378"/>
        <v/>
      </c>
      <c r="GN180" s="110" t="str">
        <f t="shared" si="243"/>
        <v/>
      </c>
      <c r="GR180" s="108" t="str">
        <f t="shared" si="305"/>
        <v/>
      </c>
      <c r="GS180" s="109" t="str">
        <f t="shared" si="306"/>
        <v/>
      </c>
      <c r="GT180" s="109" t="str">
        <f t="shared" si="307"/>
        <v/>
      </c>
      <c r="GU180" s="110" t="str">
        <f t="shared" si="308"/>
        <v/>
      </c>
      <c r="GV180" s="51"/>
      <c r="GW180" s="108" t="str">
        <f t="shared" si="309"/>
        <v/>
      </c>
      <c r="GX180" s="109" t="str">
        <f t="shared" si="379"/>
        <v/>
      </c>
      <c r="GY180" s="109" t="str">
        <f t="shared" si="310"/>
        <v/>
      </c>
      <c r="GZ180" s="110" t="str">
        <f t="shared" si="311"/>
        <v/>
      </c>
      <c r="HA180" s="51"/>
      <c r="HB180" s="108" t="str">
        <f t="shared" si="380"/>
        <v/>
      </c>
      <c r="HC180" s="109" t="str">
        <f t="shared" si="381"/>
        <v/>
      </c>
      <c r="HD180" s="109" t="str">
        <f t="shared" si="312"/>
        <v/>
      </c>
      <c r="HE180" s="110" t="str">
        <f t="shared" si="382"/>
        <v/>
      </c>
      <c r="HF180" s="51"/>
      <c r="HG180" s="108" t="str">
        <f t="shared" si="313"/>
        <v/>
      </c>
      <c r="HH180" s="109" t="str">
        <f t="shared" si="383"/>
        <v/>
      </c>
      <c r="HI180" s="109" t="str">
        <f t="shared" si="314"/>
        <v/>
      </c>
      <c r="HJ180" s="110" t="str">
        <f t="shared" si="417"/>
        <v/>
      </c>
      <c r="HK180" s="51"/>
      <c r="HL180" s="108" t="str">
        <f t="shared" si="384"/>
        <v/>
      </c>
      <c r="HM180" s="109" t="str">
        <f t="shared" si="385"/>
        <v/>
      </c>
      <c r="HN180" s="109" t="str">
        <f t="shared" si="315"/>
        <v/>
      </c>
      <c r="HO180" s="110" t="str">
        <f t="shared" si="386"/>
        <v/>
      </c>
      <c r="HP180" s="51"/>
      <c r="HQ180" s="108" t="str">
        <f t="shared" si="316"/>
        <v/>
      </c>
      <c r="HR180" s="109" t="str">
        <f t="shared" si="387"/>
        <v/>
      </c>
      <c r="HS180" s="109" t="str">
        <f t="shared" si="317"/>
        <v/>
      </c>
      <c r="HT180" s="110" t="str">
        <f t="shared" si="418"/>
        <v/>
      </c>
      <c r="HU180" s="51"/>
      <c r="HV180" s="108" t="str">
        <f t="shared" si="388"/>
        <v/>
      </c>
      <c r="HW180" s="109" t="str">
        <f t="shared" si="389"/>
        <v/>
      </c>
      <c r="HX180" s="109" t="str">
        <f t="shared" si="318"/>
        <v/>
      </c>
      <c r="HY180" s="110" t="str">
        <f t="shared" si="390"/>
        <v/>
      </c>
      <c r="HZ180" s="51"/>
      <c r="IA180" s="108" t="str">
        <f t="shared" si="319"/>
        <v/>
      </c>
      <c r="IB180" s="109" t="str">
        <f t="shared" si="391"/>
        <v/>
      </c>
      <c r="IC180" s="109" t="str">
        <f t="shared" si="320"/>
        <v/>
      </c>
      <c r="ID180" s="110" t="str">
        <f t="shared" si="419"/>
        <v/>
      </c>
      <c r="IE180" s="51"/>
      <c r="IF180" s="108" t="str">
        <f t="shared" si="392"/>
        <v/>
      </c>
      <c r="IG180" s="109" t="str">
        <f t="shared" si="393"/>
        <v/>
      </c>
      <c r="IH180" s="109" t="str">
        <f t="shared" si="321"/>
        <v/>
      </c>
      <c r="II180" s="110" t="str">
        <f t="shared" si="394"/>
        <v/>
      </c>
      <c r="IJ180" s="51"/>
      <c r="IK180" s="108" t="str">
        <f t="shared" si="322"/>
        <v/>
      </c>
      <c r="IL180" s="109" t="str">
        <f t="shared" si="395"/>
        <v/>
      </c>
      <c r="IM180" s="109" t="str">
        <f t="shared" si="323"/>
        <v/>
      </c>
      <c r="IN180" s="110" t="str">
        <f t="shared" si="420"/>
        <v/>
      </c>
      <c r="IO180" s="51"/>
      <c r="IP180" s="108" t="str">
        <f t="shared" si="396"/>
        <v/>
      </c>
      <c r="IQ180" s="109" t="str">
        <f t="shared" si="397"/>
        <v/>
      </c>
      <c r="IR180" s="109" t="str">
        <f t="shared" si="324"/>
        <v/>
      </c>
      <c r="IS180" s="110" t="str">
        <f t="shared" si="398"/>
        <v/>
      </c>
      <c r="IT180" s="51"/>
      <c r="IU180" s="108" t="str">
        <f t="shared" si="325"/>
        <v/>
      </c>
      <c r="IV180" s="109" t="str">
        <f t="shared" si="399"/>
        <v/>
      </c>
      <c r="IW180" s="109" t="str">
        <f t="shared" si="326"/>
        <v/>
      </c>
      <c r="IX180" s="110" t="str">
        <f t="shared" si="421"/>
        <v/>
      </c>
      <c r="IY180" s="51"/>
      <c r="IZ180" s="108" t="str">
        <f t="shared" si="400"/>
        <v/>
      </c>
      <c r="JA180" s="109" t="str">
        <f t="shared" si="401"/>
        <v/>
      </c>
      <c r="JB180" s="109" t="str">
        <f t="shared" si="327"/>
        <v/>
      </c>
      <c r="JC180" s="110" t="str">
        <f t="shared" si="402"/>
        <v/>
      </c>
      <c r="JD180" s="51"/>
      <c r="JE180" s="108" t="str">
        <f t="shared" si="328"/>
        <v/>
      </c>
      <c r="JF180" s="109" t="str">
        <f t="shared" si="403"/>
        <v/>
      </c>
      <c r="JG180" s="109" t="str">
        <f t="shared" si="329"/>
        <v/>
      </c>
      <c r="JH180" s="110" t="str">
        <f t="shared" si="422"/>
        <v/>
      </c>
      <c r="JI180" s="51"/>
      <c r="JJ180" s="108" t="str">
        <f t="shared" si="404"/>
        <v/>
      </c>
      <c r="JK180" s="109" t="str">
        <f t="shared" si="405"/>
        <v/>
      </c>
      <c r="JL180" s="109" t="str">
        <f t="shared" si="330"/>
        <v/>
      </c>
      <c r="JM180" s="110" t="str">
        <f t="shared" si="406"/>
        <v/>
      </c>
      <c r="JN180" s="51"/>
      <c r="JO180" s="108" t="str">
        <f t="shared" si="331"/>
        <v/>
      </c>
      <c r="JP180" s="109" t="str">
        <f t="shared" si="407"/>
        <v/>
      </c>
      <c r="JQ180" s="109" t="str">
        <f t="shared" si="332"/>
        <v/>
      </c>
      <c r="JR180" s="110" t="str">
        <f t="shared" si="423"/>
        <v/>
      </c>
      <c r="JS180" s="51"/>
      <c r="JT180" s="108" t="str">
        <f t="shared" si="408"/>
        <v/>
      </c>
      <c r="JU180" s="109" t="str">
        <f t="shared" si="409"/>
        <v/>
      </c>
      <c r="JV180" s="109" t="str">
        <f t="shared" si="333"/>
        <v/>
      </c>
      <c r="JW180" s="110" t="str">
        <f t="shared" si="410"/>
        <v/>
      </c>
      <c r="JX180" s="51"/>
      <c r="JY180" s="108" t="str">
        <f t="shared" si="334"/>
        <v/>
      </c>
      <c r="JZ180" s="109" t="str">
        <f t="shared" si="411"/>
        <v/>
      </c>
      <c r="KA180" s="109" t="str">
        <f t="shared" si="335"/>
        <v/>
      </c>
      <c r="KB180" s="110" t="str">
        <f t="shared" si="424"/>
        <v/>
      </c>
      <c r="KC180" s="51"/>
      <c r="KD180" s="108" t="str">
        <f t="shared" si="412"/>
        <v/>
      </c>
      <c r="KE180" s="109" t="str">
        <f t="shared" si="413"/>
        <v/>
      </c>
      <c r="KF180" s="109" t="str">
        <f t="shared" si="336"/>
        <v/>
      </c>
      <c r="KG180" s="110" t="str">
        <f t="shared" si="337"/>
        <v/>
      </c>
    </row>
    <row r="181" spans="1:293" ht="12" customHeight="1">
      <c r="A181" s="105">
        <f t="array" ref="A181">MAX(IF($J$80:J180&gt;0,$C$80:C180,0))</f>
        <v>43535</v>
      </c>
      <c r="B181" s="81" t="str">
        <f t="shared" si="248"/>
        <v/>
      </c>
      <c r="C181" s="82">
        <f t="shared" si="414"/>
        <v>0</v>
      </c>
      <c r="D181" s="83" t="str">
        <f t="shared" si="249"/>
        <v/>
      </c>
      <c r="E181" s="83" t="str">
        <f t="shared" si="338"/>
        <v/>
      </c>
      <c r="F181" s="83" t="str">
        <f t="shared" si="250"/>
        <v/>
      </c>
      <c r="G181" s="83" t="str">
        <f t="shared" si="251"/>
        <v/>
      </c>
      <c r="H181" s="83" t="str">
        <f t="shared" si="252"/>
        <v/>
      </c>
      <c r="I181" s="105">
        <f t="array" ref="I181">MAX(IF($R$80:R180&gt;0,$L$80:L180,0))</f>
        <v>0</v>
      </c>
      <c r="J181" s="106"/>
      <c r="K181" s="2" t="str">
        <f t="shared" si="253"/>
        <v/>
      </c>
      <c r="L181" s="82">
        <f t="shared" si="415"/>
        <v>0</v>
      </c>
      <c r="M181" s="83" t="str">
        <f t="shared" si="254"/>
        <v/>
      </c>
      <c r="N181" s="83" t="str">
        <f t="shared" si="255"/>
        <v/>
      </c>
      <c r="O181" s="83" t="str">
        <f t="shared" si="256"/>
        <v/>
      </c>
      <c r="P181" s="83" t="str">
        <f t="shared" si="257"/>
        <v/>
      </c>
      <c r="Q181" s="83" t="str">
        <f t="shared" si="258"/>
        <v/>
      </c>
      <c r="R181" s="106"/>
      <c r="S181" s="1"/>
      <c r="U181" s="85" t="e">
        <f t="shared" si="244"/>
        <v>#NUM!</v>
      </c>
      <c r="V181" s="86" t="e">
        <f t="shared" si="339"/>
        <v>#NUM!</v>
      </c>
      <c r="W181" s="87" t="e">
        <f t="shared" si="259"/>
        <v>#NUM!</v>
      </c>
      <c r="X181" s="87" t="e">
        <f t="shared" si="260"/>
        <v>#NUM!</v>
      </c>
      <c r="Y181" s="87" t="e">
        <f t="shared" si="261"/>
        <v>#NUM!</v>
      </c>
      <c r="Z181" s="88" t="e">
        <f t="shared" si="245"/>
        <v>#NUM!</v>
      </c>
      <c r="AA181" t="s">
        <v>282</v>
      </c>
      <c r="AB181" s="89">
        <f t="shared" si="340"/>
        <v>0</v>
      </c>
      <c r="AC181" s="87">
        <f t="shared" si="262"/>
        <v>0</v>
      </c>
      <c r="AD181" s="87" t="str">
        <f t="shared" si="263"/>
        <v/>
      </c>
      <c r="AE181" s="87" t="str">
        <f t="shared" si="264"/>
        <v/>
      </c>
      <c r="AF181" s="86">
        <f t="shared" si="341"/>
        <v>0</v>
      </c>
      <c r="AG181" s="87">
        <f t="shared" si="246"/>
        <v>0</v>
      </c>
      <c r="AH181" s="87">
        <f t="shared" si="342"/>
        <v>0</v>
      </c>
      <c r="AI181" s="90"/>
      <c r="AJ181" s="87" t="e">
        <f t="shared" si="265"/>
        <v>#NUM!</v>
      </c>
      <c r="AK181" s="87" t="e">
        <f t="shared" si="343"/>
        <v>#NUM!</v>
      </c>
      <c r="AL181" s="87" t="e">
        <f t="shared" si="344"/>
        <v>#NUM!</v>
      </c>
      <c r="AM181" s="87" t="e">
        <f t="shared" si="345"/>
        <v>#NUM!</v>
      </c>
      <c r="AN181" s="86">
        <f t="shared" si="266"/>
        <v>0</v>
      </c>
      <c r="AO181" s="87">
        <f t="shared" si="267"/>
        <v>0</v>
      </c>
      <c r="AP181" s="88">
        <f t="shared" si="268"/>
        <v>0</v>
      </c>
      <c r="AR181" s="91">
        <f t="shared" si="269"/>
        <v>0</v>
      </c>
      <c r="AS181" s="92">
        <f t="shared" si="270"/>
        <v>0</v>
      </c>
      <c r="AT181" s="87" t="str">
        <f t="shared" si="271"/>
        <v/>
      </c>
      <c r="AU181" s="87" t="str">
        <f t="shared" si="272"/>
        <v/>
      </c>
      <c r="AV181" s="86">
        <f t="shared" si="346"/>
        <v>0</v>
      </c>
      <c r="AW181" s="87">
        <f t="shared" si="347"/>
        <v>0</v>
      </c>
      <c r="AX181" s="87">
        <f t="shared" si="348"/>
        <v>0</v>
      </c>
      <c r="AY181" s="93"/>
      <c r="AZ181" s="87">
        <f t="shared" si="425"/>
        <v>0</v>
      </c>
      <c r="BA181" s="87">
        <f t="shared" si="349"/>
        <v>0</v>
      </c>
      <c r="BB181" s="87">
        <f t="shared" si="350"/>
        <v>0</v>
      </c>
      <c r="BC181" s="87">
        <f t="shared" si="416"/>
        <v>0</v>
      </c>
      <c r="BD181" s="86" t="e">
        <f t="shared" si="273"/>
        <v>#NUM!</v>
      </c>
      <c r="BE181" s="87" t="e">
        <f t="shared" si="247"/>
        <v>#NUM!</v>
      </c>
      <c r="BF181" s="88">
        <f t="shared" si="351"/>
        <v>0</v>
      </c>
      <c r="BH181" s="87" t="e">
        <f t="shared" si="274"/>
        <v>#NUM!</v>
      </c>
      <c r="BK181" s="95">
        <v>41879</v>
      </c>
      <c r="BL181" s="96">
        <v>102</v>
      </c>
      <c r="CY181" s="108" t="str">
        <f t="shared" si="275"/>
        <v/>
      </c>
      <c r="CZ181" s="109" t="str">
        <f t="shared" si="276"/>
        <v/>
      </c>
      <c r="DA181" s="109" t="str">
        <f t="shared" si="277"/>
        <v/>
      </c>
      <c r="DB181" s="110" t="str">
        <f t="shared" si="225"/>
        <v/>
      </c>
      <c r="DD181" s="108" t="str">
        <f t="shared" si="278"/>
        <v/>
      </c>
      <c r="DE181" s="109" t="str">
        <f t="shared" si="352"/>
        <v/>
      </c>
      <c r="DF181" s="109" t="str">
        <f t="shared" si="279"/>
        <v/>
      </c>
      <c r="DG181" s="110" t="str">
        <f t="shared" si="226"/>
        <v/>
      </c>
      <c r="DI181" s="108" t="str">
        <f t="shared" si="353"/>
        <v/>
      </c>
      <c r="DJ181" s="109" t="str">
        <f t="shared" si="354"/>
        <v/>
      </c>
      <c r="DK181" s="109" t="str">
        <f t="shared" si="280"/>
        <v/>
      </c>
      <c r="DL181" s="110" t="str">
        <f t="shared" si="227"/>
        <v/>
      </c>
      <c r="DN181" s="108" t="str">
        <f t="shared" si="281"/>
        <v/>
      </c>
      <c r="DO181" s="109" t="str">
        <f t="shared" si="282"/>
        <v/>
      </c>
      <c r="DP181" s="109" t="str">
        <f t="shared" si="283"/>
        <v/>
      </c>
      <c r="DQ181" s="110" t="str">
        <f t="shared" si="228"/>
        <v/>
      </c>
      <c r="DS181" s="108" t="str">
        <f t="shared" si="355"/>
        <v/>
      </c>
      <c r="DT181" s="109" t="str">
        <f t="shared" si="356"/>
        <v/>
      </c>
      <c r="DU181" s="109" t="str">
        <f t="shared" si="284"/>
        <v/>
      </c>
      <c r="DV181" s="110" t="str">
        <f t="shared" si="229"/>
        <v/>
      </c>
      <c r="DX181" s="108" t="str">
        <f t="shared" si="285"/>
        <v/>
      </c>
      <c r="DY181" s="109" t="str">
        <f t="shared" si="357"/>
        <v/>
      </c>
      <c r="DZ181" s="109" t="str">
        <f t="shared" si="286"/>
        <v/>
      </c>
      <c r="EA181" s="110" t="str">
        <f t="shared" si="230"/>
        <v/>
      </c>
      <c r="EC181" s="108" t="str">
        <f t="shared" si="358"/>
        <v/>
      </c>
      <c r="ED181" s="109" t="str">
        <f t="shared" si="359"/>
        <v/>
      </c>
      <c r="EE181" s="109" t="str">
        <f t="shared" si="287"/>
        <v/>
      </c>
      <c r="EF181" s="110" t="str">
        <f t="shared" si="231"/>
        <v/>
      </c>
      <c r="EH181" s="108" t="str">
        <f t="shared" si="288"/>
        <v/>
      </c>
      <c r="EI181" s="109" t="str">
        <f t="shared" si="360"/>
        <v/>
      </c>
      <c r="EJ181" s="109" t="str">
        <f t="shared" si="289"/>
        <v/>
      </c>
      <c r="EK181" s="110" t="str">
        <f t="shared" si="232"/>
        <v/>
      </c>
      <c r="EM181" s="108" t="str">
        <f t="shared" si="361"/>
        <v/>
      </c>
      <c r="EN181" s="109" t="str">
        <f t="shared" si="362"/>
        <v/>
      </c>
      <c r="EO181" s="109" t="str">
        <f t="shared" si="290"/>
        <v/>
      </c>
      <c r="EP181" s="110" t="str">
        <f t="shared" si="233"/>
        <v/>
      </c>
      <c r="ER181" s="108" t="str">
        <f t="shared" si="291"/>
        <v/>
      </c>
      <c r="ES181" s="109" t="str">
        <f t="shared" si="363"/>
        <v/>
      </c>
      <c r="ET181" s="109" t="str">
        <f t="shared" si="292"/>
        <v/>
      </c>
      <c r="EU181" s="110" t="str">
        <f t="shared" si="234"/>
        <v/>
      </c>
      <c r="EW181" s="108" t="str">
        <f t="shared" si="364"/>
        <v/>
      </c>
      <c r="EX181" s="109" t="str">
        <f t="shared" si="365"/>
        <v/>
      </c>
      <c r="EY181" s="109" t="str">
        <f t="shared" si="293"/>
        <v/>
      </c>
      <c r="EZ181" s="110" t="str">
        <f t="shared" si="235"/>
        <v/>
      </c>
      <c r="FB181" s="108" t="str">
        <f t="shared" si="294"/>
        <v/>
      </c>
      <c r="FC181" s="109" t="str">
        <f t="shared" si="366"/>
        <v/>
      </c>
      <c r="FD181" s="109" t="str">
        <f t="shared" si="295"/>
        <v/>
      </c>
      <c r="FE181" s="110" t="str">
        <f t="shared" si="236"/>
        <v/>
      </c>
      <c r="FG181" s="108" t="str">
        <f t="shared" si="367"/>
        <v/>
      </c>
      <c r="FH181" s="109" t="str">
        <f t="shared" si="368"/>
        <v/>
      </c>
      <c r="FI181" s="109" t="str">
        <f t="shared" si="296"/>
        <v/>
      </c>
      <c r="FJ181" s="110" t="str">
        <f t="shared" si="237"/>
        <v/>
      </c>
      <c r="FL181" s="108" t="str">
        <f t="shared" si="297"/>
        <v/>
      </c>
      <c r="FM181" s="109" t="str">
        <f t="shared" si="369"/>
        <v/>
      </c>
      <c r="FN181" s="109" t="str">
        <f t="shared" si="298"/>
        <v/>
      </c>
      <c r="FO181" s="110" t="str">
        <f t="shared" si="238"/>
        <v/>
      </c>
      <c r="FQ181" s="108" t="str">
        <f t="shared" si="370"/>
        <v/>
      </c>
      <c r="FR181" s="109" t="str">
        <f t="shared" si="371"/>
        <v/>
      </c>
      <c r="FS181" s="109" t="str">
        <f t="shared" si="299"/>
        <v/>
      </c>
      <c r="FT181" s="110" t="str">
        <f t="shared" si="239"/>
        <v/>
      </c>
      <c r="FV181" s="108" t="str">
        <f t="shared" si="300"/>
        <v/>
      </c>
      <c r="FW181" s="109" t="str">
        <f t="shared" si="372"/>
        <v/>
      </c>
      <c r="FX181" s="109" t="str">
        <f t="shared" si="301"/>
        <v/>
      </c>
      <c r="FY181" s="110" t="str">
        <f t="shared" si="240"/>
        <v/>
      </c>
      <c r="GA181" s="108" t="str">
        <f t="shared" si="373"/>
        <v/>
      </c>
      <c r="GB181" s="109" t="str">
        <f t="shared" si="374"/>
        <v/>
      </c>
      <c r="GC181" s="109" t="str">
        <f t="shared" si="302"/>
        <v/>
      </c>
      <c r="GD181" s="110" t="str">
        <f t="shared" si="241"/>
        <v/>
      </c>
      <c r="GF181" s="108" t="str">
        <f t="shared" si="303"/>
        <v/>
      </c>
      <c r="GG181" s="109" t="str">
        <f t="shared" si="375"/>
        <v/>
      </c>
      <c r="GH181" s="109" t="str">
        <f t="shared" si="304"/>
        <v/>
      </c>
      <c r="GI181" s="110" t="str">
        <f t="shared" si="242"/>
        <v/>
      </c>
      <c r="GK181" s="108" t="str">
        <f t="shared" si="376"/>
        <v/>
      </c>
      <c r="GL181" s="109" t="str">
        <f t="shared" si="377"/>
        <v/>
      </c>
      <c r="GM181" s="109" t="str">
        <f t="shared" si="378"/>
        <v/>
      </c>
      <c r="GN181" s="110" t="str">
        <f t="shared" si="243"/>
        <v/>
      </c>
      <c r="GR181" s="108" t="str">
        <f t="shared" si="305"/>
        <v/>
      </c>
      <c r="GS181" s="109" t="str">
        <f t="shared" si="306"/>
        <v/>
      </c>
      <c r="GT181" s="109" t="str">
        <f t="shared" si="307"/>
        <v/>
      </c>
      <c r="GU181" s="110" t="str">
        <f t="shared" si="308"/>
        <v/>
      </c>
      <c r="GV181" s="51"/>
      <c r="GW181" s="108" t="str">
        <f t="shared" si="309"/>
        <v/>
      </c>
      <c r="GX181" s="109" t="str">
        <f t="shared" si="379"/>
        <v/>
      </c>
      <c r="GY181" s="109" t="str">
        <f t="shared" si="310"/>
        <v/>
      </c>
      <c r="GZ181" s="110" t="str">
        <f t="shared" si="311"/>
        <v/>
      </c>
      <c r="HA181" s="51"/>
      <c r="HB181" s="108" t="str">
        <f t="shared" si="380"/>
        <v/>
      </c>
      <c r="HC181" s="109" t="str">
        <f t="shared" si="381"/>
        <v/>
      </c>
      <c r="HD181" s="109" t="str">
        <f t="shared" si="312"/>
        <v/>
      </c>
      <c r="HE181" s="110" t="str">
        <f t="shared" si="382"/>
        <v/>
      </c>
      <c r="HF181" s="51"/>
      <c r="HG181" s="108" t="str">
        <f t="shared" si="313"/>
        <v/>
      </c>
      <c r="HH181" s="109" t="str">
        <f t="shared" si="383"/>
        <v/>
      </c>
      <c r="HI181" s="109" t="str">
        <f t="shared" si="314"/>
        <v/>
      </c>
      <c r="HJ181" s="110" t="str">
        <f t="shared" si="417"/>
        <v/>
      </c>
      <c r="HK181" s="51"/>
      <c r="HL181" s="108" t="str">
        <f t="shared" si="384"/>
        <v/>
      </c>
      <c r="HM181" s="109" t="str">
        <f t="shared" si="385"/>
        <v/>
      </c>
      <c r="HN181" s="109" t="str">
        <f t="shared" si="315"/>
        <v/>
      </c>
      <c r="HO181" s="110" t="str">
        <f t="shared" si="386"/>
        <v/>
      </c>
      <c r="HP181" s="51"/>
      <c r="HQ181" s="108" t="str">
        <f t="shared" si="316"/>
        <v/>
      </c>
      <c r="HR181" s="109" t="str">
        <f t="shared" si="387"/>
        <v/>
      </c>
      <c r="HS181" s="109" t="str">
        <f t="shared" si="317"/>
        <v/>
      </c>
      <c r="HT181" s="110" t="str">
        <f t="shared" si="418"/>
        <v/>
      </c>
      <c r="HU181" s="51"/>
      <c r="HV181" s="108" t="str">
        <f t="shared" si="388"/>
        <v/>
      </c>
      <c r="HW181" s="109" t="str">
        <f t="shared" si="389"/>
        <v/>
      </c>
      <c r="HX181" s="109" t="str">
        <f t="shared" si="318"/>
        <v/>
      </c>
      <c r="HY181" s="110" t="str">
        <f t="shared" si="390"/>
        <v/>
      </c>
      <c r="HZ181" s="51"/>
      <c r="IA181" s="108" t="str">
        <f t="shared" si="319"/>
        <v/>
      </c>
      <c r="IB181" s="109" t="str">
        <f t="shared" si="391"/>
        <v/>
      </c>
      <c r="IC181" s="109" t="str">
        <f t="shared" si="320"/>
        <v/>
      </c>
      <c r="ID181" s="110" t="str">
        <f t="shared" si="419"/>
        <v/>
      </c>
      <c r="IE181" s="51"/>
      <c r="IF181" s="108" t="str">
        <f t="shared" si="392"/>
        <v/>
      </c>
      <c r="IG181" s="109" t="str">
        <f t="shared" si="393"/>
        <v/>
      </c>
      <c r="IH181" s="109" t="str">
        <f t="shared" si="321"/>
        <v/>
      </c>
      <c r="II181" s="110" t="str">
        <f t="shared" si="394"/>
        <v/>
      </c>
      <c r="IJ181" s="51"/>
      <c r="IK181" s="108" t="str">
        <f t="shared" si="322"/>
        <v/>
      </c>
      <c r="IL181" s="109" t="str">
        <f t="shared" si="395"/>
        <v/>
      </c>
      <c r="IM181" s="109" t="str">
        <f t="shared" si="323"/>
        <v/>
      </c>
      <c r="IN181" s="110" t="str">
        <f t="shared" si="420"/>
        <v/>
      </c>
      <c r="IO181" s="51"/>
      <c r="IP181" s="108" t="str">
        <f t="shared" si="396"/>
        <v/>
      </c>
      <c r="IQ181" s="109" t="str">
        <f t="shared" si="397"/>
        <v/>
      </c>
      <c r="IR181" s="109" t="str">
        <f t="shared" si="324"/>
        <v/>
      </c>
      <c r="IS181" s="110" t="str">
        <f t="shared" si="398"/>
        <v/>
      </c>
      <c r="IT181" s="51"/>
      <c r="IU181" s="108" t="str">
        <f t="shared" si="325"/>
        <v/>
      </c>
      <c r="IV181" s="109" t="str">
        <f t="shared" si="399"/>
        <v/>
      </c>
      <c r="IW181" s="109" t="str">
        <f t="shared" si="326"/>
        <v/>
      </c>
      <c r="IX181" s="110" t="str">
        <f t="shared" si="421"/>
        <v/>
      </c>
      <c r="IY181" s="51"/>
      <c r="IZ181" s="108" t="str">
        <f t="shared" si="400"/>
        <v/>
      </c>
      <c r="JA181" s="109" t="str">
        <f t="shared" si="401"/>
        <v/>
      </c>
      <c r="JB181" s="109" t="str">
        <f t="shared" si="327"/>
        <v/>
      </c>
      <c r="JC181" s="110" t="str">
        <f t="shared" si="402"/>
        <v/>
      </c>
      <c r="JD181" s="51"/>
      <c r="JE181" s="108" t="str">
        <f t="shared" si="328"/>
        <v/>
      </c>
      <c r="JF181" s="109" t="str">
        <f t="shared" si="403"/>
        <v/>
      </c>
      <c r="JG181" s="109" t="str">
        <f t="shared" si="329"/>
        <v/>
      </c>
      <c r="JH181" s="110" t="str">
        <f t="shared" si="422"/>
        <v/>
      </c>
      <c r="JI181" s="51"/>
      <c r="JJ181" s="108" t="str">
        <f t="shared" si="404"/>
        <v/>
      </c>
      <c r="JK181" s="109" t="str">
        <f t="shared" si="405"/>
        <v/>
      </c>
      <c r="JL181" s="109" t="str">
        <f t="shared" si="330"/>
        <v/>
      </c>
      <c r="JM181" s="110" t="str">
        <f t="shared" si="406"/>
        <v/>
      </c>
      <c r="JN181" s="51"/>
      <c r="JO181" s="108" t="str">
        <f t="shared" si="331"/>
        <v/>
      </c>
      <c r="JP181" s="109" t="str">
        <f t="shared" si="407"/>
        <v/>
      </c>
      <c r="JQ181" s="109" t="str">
        <f t="shared" si="332"/>
        <v/>
      </c>
      <c r="JR181" s="110" t="str">
        <f t="shared" si="423"/>
        <v/>
      </c>
      <c r="JS181" s="51"/>
      <c r="JT181" s="108" t="str">
        <f t="shared" si="408"/>
        <v/>
      </c>
      <c r="JU181" s="109" t="str">
        <f t="shared" si="409"/>
        <v/>
      </c>
      <c r="JV181" s="109" t="str">
        <f t="shared" si="333"/>
        <v/>
      </c>
      <c r="JW181" s="110" t="str">
        <f t="shared" si="410"/>
        <v/>
      </c>
      <c r="JX181" s="51"/>
      <c r="JY181" s="108" t="str">
        <f t="shared" si="334"/>
        <v/>
      </c>
      <c r="JZ181" s="109" t="str">
        <f t="shared" si="411"/>
        <v/>
      </c>
      <c r="KA181" s="109" t="str">
        <f t="shared" si="335"/>
        <v/>
      </c>
      <c r="KB181" s="110" t="str">
        <f t="shared" si="424"/>
        <v/>
      </c>
      <c r="KC181" s="51"/>
      <c r="KD181" s="108" t="str">
        <f t="shared" si="412"/>
        <v/>
      </c>
      <c r="KE181" s="109" t="str">
        <f t="shared" si="413"/>
        <v/>
      </c>
      <c r="KF181" s="109" t="str">
        <f t="shared" si="336"/>
        <v/>
      </c>
      <c r="KG181" s="110" t="str">
        <f t="shared" si="337"/>
        <v/>
      </c>
    </row>
    <row r="182" spans="1:293" ht="12" customHeight="1">
      <c r="A182" s="105">
        <f t="array" ref="A182">MAX(IF($J$80:J181&gt;0,$C$80:C181,0))</f>
        <v>43535</v>
      </c>
      <c r="B182" s="81" t="str">
        <f t="shared" si="248"/>
        <v/>
      </c>
      <c r="C182" s="82">
        <f t="shared" si="414"/>
        <v>0</v>
      </c>
      <c r="D182" s="83" t="str">
        <f t="shared" si="249"/>
        <v/>
      </c>
      <c r="E182" s="83" t="str">
        <f t="shared" si="338"/>
        <v/>
      </c>
      <c r="F182" s="83" t="str">
        <f t="shared" si="250"/>
        <v/>
      </c>
      <c r="G182" s="83" t="str">
        <f t="shared" si="251"/>
        <v/>
      </c>
      <c r="H182" s="83" t="str">
        <f t="shared" si="252"/>
        <v/>
      </c>
      <c r="I182" s="105">
        <f t="array" ref="I182">MAX(IF($R$80:R181&gt;0,$L$80:L181,0))</f>
        <v>0</v>
      </c>
      <c r="J182" s="106"/>
      <c r="K182" s="2" t="str">
        <f t="shared" si="253"/>
        <v/>
      </c>
      <c r="L182" s="82">
        <f t="shared" si="415"/>
        <v>0</v>
      </c>
      <c r="M182" s="83" t="str">
        <f t="shared" si="254"/>
        <v/>
      </c>
      <c r="N182" s="83" t="str">
        <f t="shared" si="255"/>
        <v/>
      </c>
      <c r="O182" s="83" t="str">
        <f t="shared" si="256"/>
        <v/>
      </c>
      <c r="P182" s="83" t="str">
        <f t="shared" si="257"/>
        <v/>
      </c>
      <c r="Q182" s="83" t="str">
        <f t="shared" si="258"/>
        <v/>
      </c>
      <c r="R182" s="106"/>
      <c r="S182" s="1"/>
      <c r="U182" s="85" t="e">
        <f t="shared" si="244"/>
        <v>#NUM!</v>
      </c>
      <c r="V182" s="86" t="e">
        <f t="shared" si="339"/>
        <v>#NUM!</v>
      </c>
      <c r="W182" s="87" t="e">
        <f t="shared" si="259"/>
        <v>#NUM!</v>
      </c>
      <c r="X182" s="87" t="e">
        <f t="shared" si="260"/>
        <v>#NUM!</v>
      </c>
      <c r="Y182" s="87" t="e">
        <f t="shared" si="261"/>
        <v>#NUM!</v>
      </c>
      <c r="Z182" s="88" t="e">
        <f t="shared" si="245"/>
        <v>#NUM!</v>
      </c>
      <c r="AA182" t="s">
        <v>282</v>
      </c>
      <c r="AB182" s="89">
        <f t="shared" si="340"/>
        <v>0</v>
      </c>
      <c r="AC182" s="87">
        <f t="shared" si="262"/>
        <v>0</v>
      </c>
      <c r="AD182" s="87" t="str">
        <f t="shared" si="263"/>
        <v/>
      </c>
      <c r="AE182" s="87" t="str">
        <f t="shared" si="264"/>
        <v/>
      </c>
      <c r="AF182" s="86">
        <f t="shared" si="341"/>
        <v>0</v>
      </c>
      <c r="AG182" s="87">
        <f t="shared" si="246"/>
        <v>0</v>
      </c>
      <c r="AH182" s="87">
        <f t="shared" si="342"/>
        <v>0</v>
      </c>
      <c r="AI182" s="90"/>
      <c r="AJ182" s="87" t="e">
        <f t="shared" si="265"/>
        <v>#NUM!</v>
      </c>
      <c r="AK182" s="87" t="e">
        <f t="shared" si="343"/>
        <v>#NUM!</v>
      </c>
      <c r="AL182" s="87" t="e">
        <f t="shared" si="344"/>
        <v>#NUM!</v>
      </c>
      <c r="AM182" s="87" t="e">
        <f t="shared" si="345"/>
        <v>#NUM!</v>
      </c>
      <c r="AN182" s="86">
        <f t="shared" si="266"/>
        <v>0</v>
      </c>
      <c r="AO182" s="87">
        <f t="shared" si="267"/>
        <v>0</v>
      </c>
      <c r="AP182" s="88">
        <f t="shared" si="268"/>
        <v>0</v>
      </c>
      <c r="AR182" s="91">
        <f t="shared" si="269"/>
        <v>0</v>
      </c>
      <c r="AS182" s="92">
        <f t="shared" si="270"/>
        <v>0</v>
      </c>
      <c r="AT182" s="87" t="str">
        <f t="shared" si="271"/>
        <v/>
      </c>
      <c r="AU182" s="87" t="str">
        <f t="shared" si="272"/>
        <v/>
      </c>
      <c r="AV182" s="86">
        <f t="shared" si="346"/>
        <v>0</v>
      </c>
      <c r="AW182" s="87">
        <f t="shared" si="347"/>
        <v>0</v>
      </c>
      <c r="AX182" s="87">
        <f t="shared" si="348"/>
        <v>0</v>
      </c>
      <c r="AY182" s="93"/>
      <c r="AZ182" s="87">
        <f t="shared" si="425"/>
        <v>0</v>
      </c>
      <c r="BA182" s="87">
        <f t="shared" si="349"/>
        <v>0</v>
      </c>
      <c r="BB182" s="87">
        <f t="shared" si="350"/>
        <v>0</v>
      </c>
      <c r="BC182" s="87">
        <f t="shared" si="416"/>
        <v>0</v>
      </c>
      <c r="BD182" s="86" t="e">
        <f t="shared" si="273"/>
        <v>#NUM!</v>
      </c>
      <c r="BE182" s="87" t="e">
        <f t="shared" si="247"/>
        <v>#NUM!</v>
      </c>
      <c r="BF182" s="88">
        <f t="shared" si="351"/>
        <v>0</v>
      </c>
      <c r="BH182" s="87" t="e">
        <f t="shared" si="274"/>
        <v>#NUM!</v>
      </c>
      <c r="BK182" s="95">
        <v>41926</v>
      </c>
      <c r="BL182" s="96">
        <v>103</v>
      </c>
      <c r="CY182" s="108" t="str">
        <f t="shared" si="275"/>
        <v/>
      </c>
      <c r="CZ182" s="109" t="str">
        <f t="shared" si="276"/>
        <v/>
      </c>
      <c r="DA182" s="109" t="str">
        <f t="shared" si="277"/>
        <v/>
      </c>
      <c r="DB182" s="110" t="str">
        <f t="shared" si="225"/>
        <v/>
      </c>
      <c r="DD182" s="108" t="str">
        <f t="shared" si="278"/>
        <v/>
      </c>
      <c r="DE182" s="109" t="str">
        <f t="shared" si="352"/>
        <v/>
      </c>
      <c r="DF182" s="109" t="str">
        <f t="shared" si="279"/>
        <v/>
      </c>
      <c r="DG182" s="110" t="str">
        <f t="shared" si="226"/>
        <v/>
      </c>
      <c r="DI182" s="108" t="str">
        <f t="shared" si="353"/>
        <v/>
      </c>
      <c r="DJ182" s="109" t="str">
        <f t="shared" si="354"/>
        <v/>
      </c>
      <c r="DK182" s="109" t="str">
        <f t="shared" si="280"/>
        <v/>
      </c>
      <c r="DL182" s="110" t="str">
        <f t="shared" si="227"/>
        <v/>
      </c>
      <c r="DN182" s="108" t="str">
        <f t="shared" si="281"/>
        <v/>
      </c>
      <c r="DO182" s="109" t="str">
        <f t="shared" si="282"/>
        <v/>
      </c>
      <c r="DP182" s="109" t="str">
        <f t="shared" si="283"/>
        <v/>
      </c>
      <c r="DQ182" s="110" t="str">
        <f t="shared" si="228"/>
        <v/>
      </c>
      <c r="DS182" s="108" t="str">
        <f t="shared" si="355"/>
        <v/>
      </c>
      <c r="DT182" s="109" t="str">
        <f t="shared" si="356"/>
        <v/>
      </c>
      <c r="DU182" s="109" t="str">
        <f t="shared" si="284"/>
        <v/>
      </c>
      <c r="DV182" s="110" t="str">
        <f t="shared" si="229"/>
        <v/>
      </c>
      <c r="DX182" s="108" t="str">
        <f t="shared" si="285"/>
        <v/>
      </c>
      <c r="DY182" s="109" t="str">
        <f t="shared" si="357"/>
        <v/>
      </c>
      <c r="DZ182" s="109" t="str">
        <f t="shared" si="286"/>
        <v/>
      </c>
      <c r="EA182" s="110" t="str">
        <f t="shared" si="230"/>
        <v/>
      </c>
      <c r="EC182" s="108" t="str">
        <f t="shared" si="358"/>
        <v/>
      </c>
      <c r="ED182" s="109" t="str">
        <f t="shared" si="359"/>
        <v/>
      </c>
      <c r="EE182" s="109" t="str">
        <f t="shared" si="287"/>
        <v/>
      </c>
      <c r="EF182" s="110" t="str">
        <f t="shared" si="231"/>
        <v/>
      </c>
      <c r="EH182" s="108" t="str">
        <f t="shared" si="288"/>
        <v/>
      </c>
      <c r="EI182" s="109" t="str">
        <f t="shared" si="360"/>
        <v/>
      </c>
      <c r="EJ182" s="109" t="str">
        <f t="shared" si="289"/>
        <v/>
      </c>
      <c r="EK182" s="110" t="str">
        <f t="shared" si="232"/>
        <v/>
      </c>
      <c r="EM182" s="108" t="str">
        <f t="shared" si="361"/>
        <v/>
      </c>
      <c r="EN182" s="109" t="str">
        <f t="shared" si="362"/>
        <v/>
      </c>
      <c r="EO182" s="109" t="str">
        <f t="shared" si="290"/>
        <v/>
      </c>
      <c r="EP182" s="110" t="str">
        <f t="shared" si="233"/>
        <v/>
      </c>
      <c r="ER182" s="108" t="str">
        <f t="shared" si="291"/>
        <v/>
      </c>
      <c r="ES182" s="109" t="str">
        <f t="shared" si="363"/>
        <v/>
      </c>
      <c r="ET182" s="109" t="str">
        <f t="shared" si="292"/>
        <v/>
      </c>
      <c r="EU182" s="110" t="str">
        <f t="shared" si="234"/>
        <v/>
      </c>
      <c r="EW182" s="108" t="str">
        <f t="shared" si="364"/>
        <v/>
      </c>
      <c r="EX182" s="109" t="str">
        <f t="shared" si="365"/>
        <v/>
      </c>
      <c r="EY182" s="109" t="str">
        <f t="shared" si="293"/>
        <v/>
      </c>
      <c r="EZ182" s="110" t="str">
        <f t="shared" si="235"/>
        <v/>
      </c>
      <c r="FB182" s="108" t="str">
        <f t="shared" si="294"/>
        <v/>
      </c>
      <c r="FC182" s="109" t="str">
        <f t="shared" si="366"/>
        <v/>
      </c>
      <c r="FD182" s="109" t="str">
        <f t="shared" si="295"/>
        <v/>
      </c>
      <c r="FE182" s="110" t="str">
        <f t="shared" si="236"/>
        <v/>
      </c>
      <c r="FG182" s="108" t="str">
        <f t="shared" si="367"/>
        <v/>
      </c>
      <c r="FH182" s="109" t="str">
        <f t="shared" si="368"/>
        <v/>
      </c>
      <c r="FI182" s="109" t="str">
        <f t="shared" si="296"/>
        <v/>
      </c>
      <c r="FJ182" s="110" t="str">
        <f t="shared" si="237"/>
        <v/>
      </c>
      <c r="FL182" s="108" t="str">
        <f t="shared" si="297"/>
        <v/>
      </c>
      <c r="FM182" s="109" t="str">
        <f t="shared" si="369"/>
        <v/>
      </c>
      <c r="FN182" s="109" t="str">
        <f t="shared" si="298"/>
        <v/>
      </c>
      <c r="FO182" s="110" t="str">
        <f t="shared" si="238"/>
        <v/>
      </c>
      <c r="FQ182" s="108" t="str">
        <f t="shared" si="370"/>
        <v/>
      </c>
      <c r="FR182" s="109" t="str">
        <f t="shared" si="371"/>
        <v/>
      </c>
      <c r="FS182" s="109" t="str">
        <f t="shared" si="299"/>
        <v/>
      </c>
      <c r="FT182" s="110" t="str">
        <f t="shared" si="239"/>
        <v/>
      </c>
      <c r="FV182" s="108" t="str">
        <f t="shared" si="300"/>
        <v/>
      </c>
      <c r="FW182" s="109" t="str">
        <f t="shared" si="372"/>
        <v/>
      </c>
      <c r="FX182" s="109" t="str">
        <f t="shared" si="301"/>
        <v/>
      </c>
      <c r="FY182" s="110" t="str">
        <f t="shared" si="240"/>
        <v/>
      </c>
      <c r="GA182" s="108" t="str">
        <f t="shared" si="373"/>
        <v/>
      </c>
      <c r="GB182" s="109" t="str">
        <f t="shared" si="374"/>
        <v/>
      </c>
      <c r="GC182" s="109" t="str">
        <f t="shared" si="302"/>
        <v/>
      </c>
      <c r="GD182" s="110" t="str">
        <f t="shared" si="241"/>
        <v/>
      </c>
      <c r="GF182" s="108" t="str">
        <f t="shared" si="303"/>
        <v/>
      </c>
      <c r="GG182" s="109" t="str">
        <f t="shared" si="375"/>
        <v/>
      </c>
      <c r="GH182" s="109" t="str">
        <f t="shared" si="304"/>
        <v/>
      </c>
      <c r="GI182" s="110" t="str">
        <f t="shared" si="242"/>
        <v/>
      </c>
      <c r="GK182" s="108" t="str">
        <f t="shared" si="376"/>
        <v/>
      </c>
      <c r="GL182" s="109" t="str">
        <f t="shared" si="377"/>
        <v/>
      </c>
      <c r="GM182" s="109" t="str">
        <f t="shared" si="378"/>
        <v/>
      </c>
      <c r="GN182" s="110" t="str">
        <f t="shared" si="243"/>
        <v/>
      </c>
      <c r="GR182" s="108" t="str">
        <f t="shared" si="305"/>
        <v/>
      </c>
      <c r="GS182" s="109" t="str">
        <f t="shared" si="306"/>
        <v/>
      </c>
      <c r="GT182" s="109" t="str">
        <f t="shared" si="307"/>
        <v/>
      </c>
      <c r="GU182" s="110" t="str">
        <f t="shared" si="308"/>
        <v/>
      </c>
      <c r="GV182" s="51"/>
      <c r="GW182" s="108" t="str">
        <f t="shared" si="309"/>
        <v/>
      </c>
      <c r="GX182" s="109" t="str">
        <f t="shared" si="379"/>
        <v/>
      </c>
      <c r="GY182" s="109" t="str">
        <f t="shared" si="310"/>
        <v/>
      </c>
      <c r="GZ182" s="110" t="str">
        <f t="shared" si="311"/>
        <v/>
      </c>
      <c r="HA182" s="51"/>
      <c r="HB182" s="108" t="str">
        <f t="shared" si="380"/>
        <v/>
      </c>
      <c r="HC182" s="109" t="str">
        <f t="shared" si="381"/>
        <v/>
      </c>
      <c r="HD182" s="109" t="str">
        <f t="shared" si="312"/>
        <v/>
      </c>
      <c r="HE182" s="110" t="str">
        <f t="shared" si="382"/>
        <v/>
      </c>
      <c r="HF182" s="51"/>
      <c r="HG182" s="108" t="str">
        <f t="shared" si="313"/>
        <v/>
      </c>
      <c r="HH182" s="109" t="str">
        <f t="shared" si="383"/>
        <v/>
      </c>
      <c r="HI182" s="109" t="str">
        <f t="shared" si="314"/>
        <v/>
      </c>
      <c r="HJ182" s="110" t="str">
        <f t="shared" si="417"/>
        <v/>
      </c>
      <c r="HK182" s="51"/>
      <c r="HL182" s="108" t="str">
        <f t="shared" si="384"/>
        <v/>
      </c>
      <c r="HM182" s="109" t="str">
        <f t="shared" si="385"/>
        <v/>
      </c>
      <c r="HN182" s="109" t="str">
        <f t="shared" si="315"/>
        <v/>
      </c>
      <c r="HO182" s="110" t="str">
        <f t="shared" si="386"/>
        <v/>
      </c>
      <c r="HP182" s="51"/>
      <c r="HQ182" s="108" t="str">
        <f t="shared" si="316"/>
        <v/>
      </c>
      <c r="HR182" s="109" t="str">
        <f t="shared" si="387"/>
        <v/>
      </c>
      <c r="HS182" s="109" t="str">
        <f t="shared" si="317"/>
        <v/>
      </c>
      <c r="HT182" s="110" t="str">
        <f t="shared" si="418"/>
        <v/>
      </c>
      <c r="HU182" s="51"/>
      <c r="HV182" s="108" t="str">
        <f t="shared" si="388"/>
        <v/>
      </c>
      <c r="HW182" s="109" t="str">
        <f t="shared" si="389"/>
        <v/>
      </c>
      <c r="HX182" s="109" t="str">
        <f t="shared" si="318"/>
        <v/>
      </c>
      <c r="HY182" s="110" t="str">
        <f t="shared" si="390"/>
        <v/>
      </c>
      <c r="HZ182" s="51"/>
      <c r="IA182" s="108" t="str">
        <f t="shared" si="319"/>
        <v/>
      </c>
      <c r="IB182" s="109" t="str">
        <f t="shared" si="391"/>
        <v/>
      </c>
      <c r="IC182" s="109" t="str">
        <f t="shared" si="320"/>
        <v/>
      </c>
      <c r="ID182" s="110" t="str">
        <f t="shared" si="419"/>
        <v/>
      </c>
      <c r="IE182" s="51"/>
      <c r="IF182" s="108" t="str">
        <f t="shared" si="392"/>
        <v/>
      </c>
      <c r="IG182" s="109" t="str">
        <f t="shared" si="393"/>
        <v/>
      </c>
      <c r="IH182" s="109" t="str">
        <f t="shared" si="321"/>
        <v/>
      </c>
      <c r="II182" s="110" t="str">
        <f t="shared" si="394"/>
        <v/>
      </c>
      <c r="IJ182" s="51"/>
      <c r="IK182" s="108" t="str">
        <f t="shared" si="322"/>
        <v/>
      </c>
      <c r="IL182" s="109" t="str">
        <f t="shared" si="395"/>
        <v/>
      </c>
      <c r="IM182" s="109" t="str">
        <f t="shared" si="323"/>
        <v/>
      </c>
      <c r="IN182" s="110" t="str">
        <f t="shared" si="420"/>
        <v/>
      </c>
      <c r="IO182" s="51"/>
      <c r="IP182" s="108" t="str">
        <f t="shared" si="396"/>
        <v/>
      </c>
      <c r="IQ182" s="109" t="str">
        <f t="shared" si="397"/>
        <v/>
      </c>
      <c r="IR182" s="109" t="str">
        <f t="shared" si="324"/>
        <v/>
      </c>
      <c r="IS182" s="110" t="str">
        <f t="shared" si="398"/>
        <v/>
      </c>
      <c r="IT182" s="51"/>
      <c r="IU182" s="108" t="str">
        <f t="shared" si="325"/>
        <v/>
      </c>
      <c r="IV182" s="109" t="str">
        <f t="shared" si="399"/>
        <v/>
      </c>
      <c r="IW182" s="109" t="str">
        <f t="shared" si="326"/>
        <v/>
      </c>
      <c r="IX182" s="110" t="str">
        <f t="shared" si="421"/>
        <v/>
      </c>
      <c r="IY182" s="51"/>
      <c r="IZ182" s="108" t="str">
        <f t="shared" si="400"/>
        <v/>
      </c>
      <c r="JA182" s="109" t="str">
        <f t="shared" si="401"/>
        <v/>
      </c>
      <c r="JB182" s="109" t="str">
        <f t="shared" si="327"/>
        <v/>
      </c>
      <c r="JC182" s="110" t="str">
        <f t="shared" si="402"/>
        <v/>
      </c>
      <c r="JD182" s="51"/>
      <c r="JE182" s="108" t="str">
        <f t="shared" si="328"/>
        <v/>
      </c>
      <c r="JF182" s="109" t="str">
        <f t="shared" si="403"/>
        <v/>
      </c>
      <c r="JG182" s="109" t="str">
        <f t="shared" si="329"/>
        <v/>
      </c>
      <c r="JH182" s="110" t="str">
        <f t="shared" si="422"/>
        <v/>
      </c>
      <c r="JI182" s="51"/>
      <c r="JJ182" s="108" t="str">
        <f t="shared" si="404"/>
        <v/>
      </c>
      <c r="JK182" s="109" t="str">
        <f t="shared" si="405"/>
        <v/>
      </c>
      <c r="JL182" s="109" t="str">
        <f t="shared" si="330"/>
        <v/>
      </c>
      <c r="JM182" s="110" t="str">
        <f t="shared" si="406"/>
        <v/>
      </c>
      <c r="JN182" s="51"/>
      <c r="JO182" s="108" t="str">
        <f t="shared" si="331"/>
        <v/>
      </c>
      <c r="JP182" s="109" t="str">
        <f t="shared" si="407"/>
        <v/>
      </c>
      <c r="JQ182" s="109" t="str">
        <f t="shared" si="332"/>
        <v/>
      </c>
      <c r="JR182" s="110" t="str">
        <f t="shared" si="423"/>
        <v/>
      </c>
      <c r="JS182" s="51"/>
      <c r="JT182" s="108" t="str">
        <f t="shared" si="408"/>
        <v/>
      </c>
      <c r="JU182" s="109" t="str">
        <f t="shared" si="409"/>
        <v/>
      </c>
      <c r="JV182" s="109" t="str">
        <f t="shared" si="333"/>
        <v/>
      </c>
      <c r="JW182" s="110" t="str">
        <f t="shared" si="410"/>
        <v/>
      </c>
      <c r="JX182" s="51"/>
      <c r="JY182" s="108" t="str">
        <f t="shared" si="334"/>
        <v/>
      </c>
      <c r="JZ182" s="109" t="str">
        <f t="shared" si="411"/>
        <v/>
      </c>
      <c r="KA182" s="109" t="str">
        <f t="shared" si="335"/>
        <v/>
      </c>
      <c r="KB182" s="110" t="str">
        <f t="shared" si="424"/>
        <v/>
      </c>
      <c r="KC182" s="51"/>
      <c r="KD182" s="108" t="str">
        <f t="shared" si="412"/>
        <v/>
      </c>
      <c r="KE182" s="109" t="str">
        <f t="shared" si="413"/>
        <v/>
      </c>
      <c r="KF182" s="109" t="str">
        <f t="shared" si="336"/>
        <v/>
      </c>
      <c r="KG182" s="110" t="str">
        <f t="shared" si="337"/>
        <v/>
      </c>
    </row>
    <row r="183" spans="1:293" ht="12" customHeight="1">
      <c r="A183" s="105">
        <f t="array" ref="A183">MAX(IF($J$80:J182&gt;0,$C$80:C182,0))</f>
        <v>43535</v>
      </c>
      <c r="B183" s="81" t="str">
        <f t="shared" si="248"/>
        <v/>
      </c>
      <c r="C183" s="82">
        <f t="shared" si="414"/>
        <v>0</v>
      </c>
      <c r="D183" s="83" t="str">
        <f t="shared" si="249"/>
        <v/>
      </c>
      <c r="E183" s="83" t="str">
        <f t="shared" si="338"/>
        <v/>
      </c>
      <c r="F183" s="83" t="str">
        <f t="shared" si="250"/>
        <v/>
      </c>
      <c r="G183" s="83" t="str">
        <f t="shared" si="251"/>
        <v/>
      </c>
      <c r="H183" s="83" t="str">
        <f t="shared" si="252"/>
        <v/>
      </c>
      <c r="I183" s="105">
        <f t="array" ref="I183">MAX(IF($R$80:R182&gt;0,$L$80:L182,0))</f>
        <v>0</v>
      </c>
      <c r="J183" s="106"/>
      <c r="K183" s="2" t="str">
        <f t="shared" si="253"/>
        <v/>
      </c>
      <c r="L183" s="82">
        <f t="shared" si="415"/>
        <v>0</v>
      </c>
      <c r="M183" s="83" t="str">
        <f t="shared" si="254"/>
        <v/>
      </c>
      <c r="N183" s="83" t="str">
        <f t="shared" si="255"/>
        <v/>
      </c>
      <c r="O183" s="83" t="str">
        <f t="shared" si="256"/>
        <v/>
      </c>
      <c r="P183" s="83" t="str">
        <f t="shared" si="257"/>
        <v/>
      </c>
      <c r="Q183" s="83" t="str">
        <f t="shared" si="258"/>
        <v/>
      </c>
      <c r="R183" s="106"/>
      <c r="S183" s="1"/>
      <c r="U183" s="85" t="e">
        <f t="shared" si="244"/>
        <v>#NUM!</v>
      </c>
      <c r="V183" s="86" t="e">
        <f t="shared" si="339"/>
        <v>#NUM!</v>
      </c>
      <c r="W183" s="87" t="e">
        <f t="shared" si="259"/>
        <v>#NUM!</v>
      </c>
      <c r="X183" s="87" t="e">
        <f t="shared" si="260"/>
        <v>#NUM!</v>
      </c>
      <c r="Y183" s="87" t="e">
        <f t="shared" si="261"/>
        <v>#NUM!</v>
      </c>
      <c r="Z183" s="88" t="e">
        <f t="shared" si="245"/>
        <v>#NUM!</v>
      </c>
      <c r="AA183" t="s">
        <v>282</v>
      </c>
      <c r="AB183" s="89">
        <f t="shared" si="340"/>
        <v>0</v>
      </c>
      <c r="AC183" s="87">
        <f t="shared" si="262"/>
        <v>0</v>
      </c>
      <c r="AD183" s="87" t="str">
        <f t="shared" si="263"/>
        <v/>
      </c>
      <c r="AE183" s="87" t="str">
        <f t="shared" si="264"/>
        <v/>
      </c>
      <c r="AF183" s="86">
        <f t="shared" si="341"/>
        <v>0</v>
      </c>
      <c r="AG183" s="87">
        <f t="shared" si="246"/>
        <v>0</v>
      </c>
      <c r="AH183" s="87">
        <f t="shared" si="342"/>
        <v>0</v>
      </c>
      <c r="AI183" s="90"/>
      <c r="AJ183" s="87" t="e">
        <f t="shared" si="265"/>
        <v>#NUM!</v>
      </c>
      <c r="AK183" s="87" t="e">
        <f t="shared" si="343"/>
        <v>#NUM!</v>
      </c>
      <c r="AL183" s="87" t="e">
        <f t="shared" si="344"/>
        <v>#NUM!</v>
      </c>
      <c r="AM183" s="87" t="e">
        <f t="shared" si="345"/>
        <v>#NUM!</v>
      </c>
      <c r="AN183" s="86">
        <f t="shared" si="266"/>
        <v>0</v>
      </c>
      <c r="AO183" s="87">
        <f t="shared" si="267"/>
        <v>0</v>
      </c>
      <c r="AP183" s="88">
        <f t="shared" si="268"/>
        <v>0</v>
      </c>
      <c r="AR183" s="91">
        <f t="shared" si="269"/>
        <v>0</v>
      </c>
      <c r="AS183" s="92">
        <f t="shared" si="270"/>
        <v>0</v>
      </c>
      <c r="AT183" s="87" t="str">
        <f t="shared" si="271"/>
        <v/>
      </c>
      <c r="AU183" s="87" t="str">
        <f t="shared" si="272"/>
        <v/>
      </c>
      <c r="AV183" s="86">
        <f t="shared" si="346"/>
        <v>0</v>
      </c>
      <c r="AW183" s="87">
        <f t="shared" si="347"/>
        <v>0</v>
      </c>
      <c r="AX183" s="87">
        <f t="shared" si="348"/>
        <v>0</v>
      </c>
      <c r="AY183" s="93"/>
      <c r="AZ183" s="87">
        <f t="shared" si="425"/>
        <v>0</v>
      </c>
      <c r="BA183" s="87">
        <f t="shared" si="349"/>
        <v>0</v>
      </c>
      <c r="BB183" s="87">
        <f t="shared" si="350"/>
        <v>0</v>
      </c>
      <c r="BC183" s="87">
        <f t="shared" si="416"/>
        <v>0</v>
      </c>
      <c r="BD183" s="86" t="e">
        <f t="shared" si="273"/>
        <v>#NUM!</v>
      </c>
      <c r="BE183" s="87" t="e">
        <f t="shared" si="247"/>
        <v>#NUM!</v>
      </c>
      <c r="BF183" s="88">
        <f t="shared" si="351"/>
        <v>0</v>
      </c>
      <c r="BH183" s="87" t="e">
        <f t="shared" si="274"/>
        <v>#NUM!</v>
      </c>
      <c r="BK183" s="95">
        <v>41966</v>
      </c>
      <c r="BL183" s="96">
        <v>104</v>
      </c>
      <c r="CY183" s="108" t="str">
        <f t="shared" si="275"/>
        <v/>
      </c>
      <c r="CZ183" s="109" t="str">
        <f t="shared" si="276"/>
        <v/>
      </c>
      <c r="DA183" s="109" t="str">
        <f t="shared" si="277"/>
        <v/>
      </c>
      <c r="DB183" s="110" t="str">
        <f t="shared" si="225"/>
        <v/>
      </c>
      <c r="DD183" s="108" t="str">
        <f t="shared" si="278"/>
        <v/>
      </c>
      <c r="DE183" s="109" t="str">
        <f t="shared" si="352"/>
        <v/>
      </c>
      <c r="DF183" s="109" t="str">
        <f t="shared" si="279"/>
        <v/>
      </c>
      <c r="DG183" s="110" t="str">
        <f t="shared" si="226"/>
        <v/>
      </c>
      <c r="DI183" s="108" t="str">
        <f t="shared" si="353"/>
        <v/>
      </c>
      <c r="DJ183" s="109" t="str">
        <f t="shared" si="354"/>
        <v/>
      </c>
      <c r="DK183" s="109" t="str">
        <f t="shared" si="280"/>
        <v/>
      </c>
      <c r="DL183" s="110" t="str">
        <f t="shared" si="227"/>
        <v/>
      </c>
      <c r="DN183" s="108" t="str">
        <f t="shared" si="281"/>
        <v/>
      </c>
      <c r="DO183" s="109" t="str">
        <f t="shared" si="282"/>
        <v/>
      </c>
      <c r="DP183" s="109" t="str">
        <f t="shared" si="283"/>
        <v/>
      </c>
      <c r="DQ183" s="110" t="str">
        <f t="shared" si="228"/>
        <v/>
      </c>
      <c r="DS183" s="108" t="str">
        <f t="shared" si="355"/>
        <v/>
      </c>
      <c r="DT183" s="109" t="str">
        <f t="shared" si="356"/>
        <v/>
      </c>
      <c r="DU183" s="109" t="str">
        <f t="shared" si="284"/>
        <v/>
      </c>
      <c r="DV183" s="110" t="str">
        <f t="shared" si="229"/>
        <v/>
      </c>
      <c r="DX183" s="108" t="str">
        <f t="shared" si="285"/>
        <v/>
      </c>
      <c r="DY183" s="109" t="str">
        <f t="shared" si="357"/>
        <v/>
      </c>
      <c r="DZ183" s="109" t="str">
        <f t="shared" si="286"/>
        <v/>
      </c>
      <c r="EA183" s="110" t="str">
        <f t="shared" si="230"/>
        <v/>
      </c>
      <c r="EC183" s="108" t="str">
        <f t="shared" si="358"/>
        <v/>
      </c>
      <c r="ED183" s="109" t="str">
        <f t="shared" si="359"/>
        <v/>
      </c>
      <c r="EE183" s="109" t="str">
        <f t="shared" si="287"/>
        <v/>
      </c>
      <c r="EF183" s="110" t="str">
        <f t="shared" si="231"/>
        <v/>
      </c>
      <c r="EH183" s="108" t="str">
        <f t="shared" si="288"/>
        <v/>
      </c>
      <c r="EI183" s="109" t="str">
        <f t="shared" si="360"/>
        <v/>
      </c>
      <c r="EJ183" s="109" t="str">
        <f t="shared" si="289"/>
        <v/>
      </c>
      <c r="EK183" s="110" t="str">
        <f t="shared" si="232"/>
        <v/>
      </c>
      <c r="EM183" s="108" t="str">
        <f t="shared" si="361"/>
        <v/>
      </c>
      <c r="EN183" s="109" t="str">
        <f t="shared" si="362"/>
        <v/>
      </c>
      <c r="EO183" s="109" t="str">
        <f t="shared" si="290"/>
        <v/>
      </c>
      <c r="EP183" s="110" t="str">
        <f t="shared" si="233"/>
        <v/>
      </c>
      <c r="ER183" s="108" t="str">
        <f t="shared" si="291"/>
        <v/>
      </c>
      <c r="ES183" s="109" t="str">
        <f t="shared" si="363"/>
        <v/>
      </c>
      <c r="ET183" s="109" t="str">
        <f t="shared" si="292"/>
        <v/>
      </c>
      <c r="EU183" s="110" t="str">
        <f t="shared" si="234"/>
        <v/>
      </c>
      <c r="EW183" s="108" t="str">
        <f t="shared" si="364"/>
        <v/>
      </c>
      <c r="EX183" s="109" t="str">
        <f t="shared" si="365"/>
        <v/>
      </c>
      <c r="EY183" s="109" t="str">
        <f t="shared" si="293"/>
        <v/>
      </c>
      <c r="EZ183" s="110" t="str">
        <f t="shared" si="235"/>
        <v/>
      </c>
      <c r="FB183" s="108" t="str">
        <f t="shared" si="294"/>
        <v/>
      </c>
      <c r="FC183" s="109" t="str">
        <f t="shared" si="366"/>
        <v/>
      </c>
      <c r="FD183" s="109" t="str">
        <f t="shared" si="295"/>
        <v/>
      </c>
      <c r="FE183" s="110" t="str">
        <f t="shared" si="236"/>
        <v/>
      </c>
      <c r="FG183" s="108" t="str">
        <f t="shared" si="367"/>
        <v/>
      </c>
      <c r="FH183" s="109" t="str">
        <f t="shared" si="368"/>
        <v/>
      </c>
      <c r="FI183" s="109" t="str">
        <f t="shared" si="296"/>
        <v/>
      </c>
      <c r="FJ183" s="110" t="str">
        <f t="shared" si="237"/>
        <v/>
      </c>
      <c r="FL183" s="108" t="str">
        <f t="shared" si="297"/>
        <v/>
      </c>
      <c r="FM183" s="109" t="str">
        <f t="shared" si="369"/>
        <v/>
      </c>
      <c r="FN183" s="109" t="str">
        <f t="shared" si="298"/>
        <v/>
      </c>
      <c r="FO183" s="110" t="str">
        <f t="shared" si="238"/>
        <v/>
      </c>
      <c r="FQ183" s="108" t="str">
        <f t="shared" si="370"/>
        <v/>
      </c>
      <c r="FR183" s="109" t="str">
        <f t="shared" si="371"/>
        <v/>
      </c>
      <c r="FS183" s="109" t="str">
        <f t="shared" si="299"/>
        <v/>
      </c>
      <c r="FT183" s="110" t="str">
        <f t="shared" si="239"/>
        <v/>
      </c>
      <c r="FV183" s="108" t="str">
        <f t="shared" si="300"/>
        <v/>
      </c>
      <c r="FW183" s="109" t="str">
        <f t="shared" si="372"/>
        <v/>
      </c>
      <c r="FX183" s="109" t="str">
        <f t="shared" si="301"/>
        <v/>
      </c>
      <c r="FY183" s="110" t="str">
        <f t="shared" si="240"/>
        <v/>
      </c>
      <c r="GA183" s="108" t="str">
        <f t="shared" si="373"/>
        <v/>
      </c>
      <c r="GB183" s="109" t="str">
        <f t="shared" si="374"/>
        <v/>
      </c>
      <c r="GC183" s="109" t="str">
        <f t="shared" si="302"/>
        <v/>
      </c>
      <c r="GD183" s="110" t="str">
        <f t="shared" si="241"/>
        <v/>
      </c>
      <c r="GF183" s="108" t="str">
        <f t="shared" si="303"/>
        <v/>
      </c>
      <c r="GG183" s="109" t="str">
        <f t="shared" si="375"/>
        <v/>
      </c>
      <c r="GH183" s="109" t="str">
        <f t="shared" si="304"/>
        <v/>
      </c>
      <c r="GI183" s="110" t="str">
        <f t="shared" si="242"/>
        <v/>
      </c>
      <c r="GK183" s="108" t="str">
        <f t="shared" si="376"/>
        <v/>
      </c>
      <c r="GL183" s="109" t="str">
        <f t="shared" si="377"/>
        <v/>
      </c>
      <c r="GM183" s="109" t="str">
        <f t="shared" si="378"/>
        <v/>
      </c>
      <c r="GN183" s="110" t="str">
        <f t="shared" si="243"/>
        <v/>
      </c>
      <c r="GR183" s="108" t="str">
        <f t="shared" si="305"/>
        <v/>
      </c>
      <c r="GS183" s="109" t="str">
        <f t="shared" si="306"/>
        <v/>
      </c>
      <c r="GT183" s="109" t="str">
        <f t="shared" si="307"/>
        <v/>
      </c>
      <c r="GU183" s="110" t="str">
        <f t="shared" si="308"/>
        <v/>
      </c>
      <c r="GV183" s="51"/>
      <c r="GW183" s="108" t="str">
        <f t="shared" si="309"/>
        <v/>
      </c>
      <c r="GX183" s="109" t="str">
        <f t="shared" si="379"/>
        <v/>
      </c>
      <c r="GY183" s="109" t="str">
        <f t="shared" si="310"/>
        <v/>
      </c>
      <c r="GZ183" s="110" t="str">
        <f t="shared" si="311"/>
        <v/>
      </c>
      <c r="HA183" s="51"/>
      <c r="HB183" s="108" t="str">
        <f t="shared" si="380"/>
        <v/>
      </c>
      <c r="HC183" s="109" t="str">
        <f t="shared" si="381"/>
        <v/>
      </c>
      <c r="HD183" s="109" t="str">
        <f t="shared" si="312"/>
        <v/>
      </c>
      <c r="HE183" s="110" t="str">
        <f t="shared" si="382"/>
        <v/>
      </c>
      <c r="HF183" s="51"/>
      <c r="HG183" s="108" t="str">
        <f t="shared" si="313"/>
        <v/>
      </c>
      <c r="HH183" s="109" t="str">
        <f t="shared" si="383"/>
        <v/>
      </c>
      <c r="HI183" s="109" t="str">
        <f t="shared" si="314"/>
        <v/>
      </c>
      <c r="HJ183" s="110" t="str">
        <f t="shared" si="417"/>
        <v/>
      </c>
      <c r="HK183" s="51"/>
      <c r="HL183" s="108" t="str">
        <f t="shared" si="384"/>
        <v/>
      </c>
      <c r="HM183" s="109" t="str">
        <f t="shared" si="385"/>
        <v/>
      </c>
      <c r="HN183" s="109" t="str">
        <f t="shared" si="315"/>
        <v/>
      </c>
      <c r="HO183" s="110" t="str">
        <f t="shared" si="386"/>
        <v/>
      </c>
      <c r="HP183" s="51"/>
      <c r="HQ183" s="108" t="str">
        <f t="shared" si="316"/>
        <v/>
      </c>
      <c r="HR183" s="109" t="str">
        <f t="shared" si="387"/>
        <v/>
      </c>
      <c r="HS183" s="109" t="str">
        <f t="shared" si="317"/>
        <v/>
      </c>
      <c r="HT183" s="110" t="str">
        <f t="shared" si="418"/>
        <v/>
      </c>
      <c r="HU183" s="51"/>
      <c r="HV183" s="108" t="str">
        <f t="shared" si="388"/>
        <v/>
      </c>
      <c r="HW183" s="109" t="str">
        <f t="shared" si="389"/>
        <v/>
      </c>
      <c r="HX183" s="109" t="str">
        <f t="shared" si="318"/>
        <v/>
      </c>
      <c r="HY183" s="110" t="str">
        <f t="shared" si="390"/>
        <v/>
      </c>
      <c r="HZ183" s="51"/>
      <c r="IA183" s="108" t="str">
        <f t="shared" si="319"/>
        <v/>
      </c>
      <c r="IB183" s="109" t="str">
        <f t="shared" si="391"/>
        <v/>
      </c>
      <c r="IC183" s="109" t="str">
        <f t="shared" si="320"/>
        <v/>
      </c>
      <c r="ID183" s="110" t="str">
        <f t="shared" si="419"/>
        <v/>
      </c>
      <c r="IE183" s="51"/>
      <c r="IF183" s="108" t="str">
        <f t="shared" si="392"/>
        <v/>
      </c>
      <c r="IG183" s="109" t="str">
        <f t="shared" si="393"/>
        <v/>
      </c>
      <c r="IH183" s="109" t="str">
        <f t="shared" si="321"/>
        <v/>
      </c>
      <c r="II183" s="110" t="str">
        <f t="shared" si="394"/>
        <v/>
      </c>
      <c r="IJ183" s="51"/>
      <c r="IK183" s="108" t="str">
        <f t="shared" si="322"/>
        <v/>
      </c>
      <c r="IL183" s="109" t="str">
        <f t="shared" si="395"/>
        <v/>
      </c>
      <c r="IM183" s="109" t="str">
        <f t="shared" si="323"/>
        <v/>
      </c>
      <c r="IN183" s="110" t="str">
        <f t="shared" si="420"/>
        <v/>
      </c>
      <c r="IO183" s="51"/>
      <c r="IP183" s="108" t="str">
        <f t="shared" si="396"/>
        <v/>
      </c>
      <c r="IQ183" s="109" t="str">
        <f t="shared" si="397"/>
        <v/>
      </c>
      <c r="IR183" s="109" t="str">
        <f t="shared" si="324"/>
        <v/>
      </c>
      <c r="IS183" s="110" t="str">
        <f t="shared" si="398"/>
        <v/>
      </c>
      <c r="IT183" s="51"/>
      <c r="IU183" s="108" t="str">
        <f t="shared" si="325"/>
        <v/>
      </c>
      <c r="IV183" s="109" t="str">
        <f t="shared" si="399"/>
        <v/>
      </c>
      <c r="IW183" s="109" t="str">
        <f t="shared" si="326"/>
        <v/>
      </c>
      <c r="IX183" s="110" t="str">
        <f t="shared" si="421"/>
        <v/>
      </c>
      <c r="IY183" s="51"/>
      <c r="IZ183" s="108" t="str">
        <f t="shared" si="400"/>
        <v/>
      </c>
      <c r="JA183" s="109" t="str">
        <f t="shared" si="401"/>
        <v/>
      </c>
      <c r="JB183" s="109" t="str">
        <f t="shared" si="327"/>
        <v/>
      </c>
      <c r="JC183" s="110" t="str">
        <f t="shared" si="402"/>
        <v/>
      </c>
      <c r="JD183" s="51"/>
      <c r="JE183" s="108" t="str">
        <f t="shared" si="328"/>
        <v/>
      </c>
      <c r="JF183" s="109" t="str">
        <f t="shared" si="403"/>
        <v/>
      </c>
      <c r="JG183" s="109" t="str">
        <f t="shared" si="329"/>
        <v/>
      </c>
      <c r="JH183" s="110" t="str">
        <f t="shared" si="422"/>
        <v/>
      </c>
      <c r="JI183" s="51"/>
      <c r="JJ183" s="108" t="str">
        <f t="shared" si="404"/>
        <v/>
      </c>
      <c r="JK183" s="109" t="str">
        <f t="shared" si="405"/>
        <v/>
      </c>
      <c r="JL183" s="109" t="str">
        <f t="shared" si="330"/>
        <v/>
      </c>
      <c r="JM183" s="110" t="str">
        <f t="shared" si="406"/>
        <v/>
      </c>
      <c r="JN183" s="51"/>
      <c r="JO183" s="108" t="str">
        <f t="shared" si="331"/>
        <v/>
      </c>
      <c r="JP183" s="109" t="str">
        <f t="shared" si="407"/>
        <v/>
      </c>
      <c r="JQ183" s="109" t="str">
        <f t="shared" si="332"/>
        <v/>
      </c>
      <c r="JR183" s="110" t="str">
        <f t="shared" si="423"/>
        <v/>
      </c>
      <c r="JS183" s="51"/>
      <c r="JT183" s="108" t="str">
        <f t="shared" si="408"/>
        <v/>
      </c>
      <c r="JU183" s="109" t="str">
        <f t="shared" si="409"/>
        <v/>
      </c>
      <c r="JV183" s="109" t="str">
        <f t="shared" si="333"/>
        <v/>
      </c>
      <c r="JW183" s="110" t="str">
        <f t="shared" si="410"/>
        <v/>
      </c>
      <c r="JX183" s="51"/>
      <c r="JY183" s="108" t="str">
        <f t="shared" si="334"/>
        <v/>
      </c>
      <c r="JZ183" s="109" t="str">
        <f t="shared" si="411"/>
        <v/>
      </c>
      <c r="KA183" s="109" t="str">
        <f t="shared" si="335"/>
        <v/>
      </c>
      <c r="KB183" s="110" t="str">
        <f t="shared" si="424"/>
        <v/>
      </c>
      <c r="KC183" s="51"/>
      <c r="KD183" s="108" t="str">
        <f t="shared" si="412"/>
        <v/>
      </c>
      <c r="KE183" s="109" t="str">
        <f t="shared" si="413"/>
        <v/>
      </c>
      <c r="KF183" s="109" t="str">
        <f t="shared" si="336"/>
        <v/>
      </c>
      <c r="KG183" s="110" t="str">
        <f t="shared" si="337"/>
        <v/>
      </c>
    </row>
    <row r="184" spans="1:293" ht="12" customHeight="1">
      <c r="A184" s="105">
        <f t="array" ref="A184">MAX(IF($J$80:J183&gt;0,$C$80:C183,0))</f>
        <v>43535</v>
      </c>
      <c r="B184" s="81" t="str">
        <f t="shared" si="248"/>
        <v/>
      </c>
      <c r="C184" s="82">
        <f t="shared" si="414"/>
        <v>0</v>
      </c>
      <c r="D184" s="83" t="str">
        <f t="shared" si="249"/>
        <v/>
      </c>
      <c r="E184" s="83" t="str">
        <f t="shared" si="338"/>
        <v/>
      </c>
      <c r="F184" s="83" t="str">
        <f t="shared" si="250"/>
        <v/>
      </c>
      <c r="G184" s="83" t="str">
        <f t="shared" si="251"/>
        <v/>
      </c>
      <c r="H184" s="83" t="str">
        <f t="shared" si="252"/>
        <v/>
      </c>
      <c r="I184" s="105">
        <f t="array" ref="I184">MAX(IF($R$80:R183&gt;0,$L$80:L183,0))</f>
        <v>0</v>
      </c>
      <c r="J184" s="106"/>
      <c r="K184" s="2" t="str">
        <f t="shared" si="253"/>
        <v/>
      </c>
      <c r="L184" s="82">
        <f t="shared" si="415"/>
        <v>0</v>
      </c>
      <c r="M184" s="83" t="str">
        <f t="shared" si="254"/>
        <v/>
      </c>
      <c r="N184" s="83" t="str">
        <f t="shared" si="255"/>
        <v/>
      </c>
      <c r="O184" s="83" t="str">
        <f t="shared" si="256"/>
        <v/>
      </c>
      <c r="P184" s="83" t="str">
        <f t="shared" si="257"/>
        <v/>
      </c>
      <c r="Q184" s="83" t="str">
        <f t="shared" si="258"/>
        <v/>
      </c>
      <c r="R184" s="106"/>
      <c r="S184" s="1"/>
      <c r="U184" s="85" t="e">
        <f t="shared" si="244"/>
        <v>#NUM!</v>
      </c>
      <c r="V184" s="86" t="e">
        <f t="shared" si="339"/>
        <v>#NUM!</v>
      </c>
      <c r="W184" s="87" t="e">
        <f t="shared" si="259"/>
        <v>#NUM!</v>
      </c>
      <c r="X184" s="87" t="e">
        <f t="shared" si="260"/>
        <v>#NUM!</v>
      </c>
      <c r="Y184" s="87" t="e">
        <f t="shared" si="261"/>
        <v>#NUM!</v>
      </c>
      <c r="Z184" s="88" t="e">
        <f t="shared" si="245"/>
        <v>#NUM!</v>
      </c>
      <c r="AA184" t="s">
        <v>282</v>
      </c>
      <c r="AB184" s="89">
        <f t="shared" si="340"/>
        <v>0</v>
      </c>
      <c r="AC184" s="87">
        <f t="shared" si="262"/>
        <v>0</v>
      </c>
      <c r="AD184" s="87" t="str">
        <f t="shared" si="263"/>
        <v/>
      </c>
      <c r="AE184" s="87" t="str">
        <f t="shared" si="264"/>
        <v/>
      </c>
      <c r="AF184" s="86">
        <f t="shared" si="341"/>
        <v>0</v>
      </c>
      <c r="AG184" s="87">
        <f t="shared" si="246"/>
        <v>0</v>
      </c>
      <c r="AH184" s="87">
        <f t="shared" si="342"/>
        <v>0</v>
      </c>
      <c r="AI184" s="90"/>
      <c r="AJ184" s="87" t="e">
        <f t="shared" si="265"/>
        <v>#NUM!</v>
      </c>
      <c r="AK184" s="87" t="e">
        <f t="shared" si="343"/>
        <v>#NUM!</v>
      </c>
      <c r="AL184" s="87" t="e">
        <f t="shared" si="344"/>
        <v>#NUM!</v>
      </c>
      <c r="AM184" s="87" t="e">
        <f t="shared" si="345"/>
        <v>#NUM!</v>
      </c>
      <c r="AN184" s="86">
        <f t="shared" si="266"/>
        <v>0</v>
      </c>
      <c r="AO184" s="87">
        <f t="shared" si="267"/>
        <v>0</v>
      </c>
      <c r="AP184" s="88">
        <f t="shared" si="268"/>
        <v>0</v>
      </c>
      <c r="AR184" s="91">
        <f t="shared" si="269"/>
        <v>0</v>
      </c>
      <c r="AS184" s="92">
        <f t="shared" si="270"/>
        <v>0</v>
      </c>
      <c r="AT184" s="87" t="str">
        <f t="shared" si="271"/>
        <v/>
      </c>
      <c r="AU184" s="87" t="str">
        <f t="shared" si="272"/>
        <v/>
      </c>
      <c r="AV184" s="86">
        <f t="shared" si="346"/>
        <v>0</v>
      </c>
      <c r="AW184" s="87">
        <f t="shared" si="347"/>
        <v>0</v>
      </c>
      <c r="AX184" s="87">
        <f t="shared" si="348"/>
        <v>0</v>
      </c>
      <c r="AY184" s="93"/>
      <c r="AZ184" s="87">
        <f t="shared" si="425"/>
        <v>0</v>
      </c>
      <c r="BA184" s="87">
        <f t="shared" si="349"/>
        <v>0</v>
      </c>
      <c r="BB184" s="87">
        <f t="shared" si="350"/>
        <v>0</v>
      </c>
      <c r="BC184" s="87">
        <f t="shared" si="416"/>
        <v>0</v>
      </c>
      <c r="BD184" s="86" t="e">
        <f t="shared" si="273"/>
        <v>#NUM!</v>
      </c>
      <c r="BE184" s="87" t="e">
        <f t="shared" si="247"/>
        <v>#NUM!</v>
      </c>
      <c r="BF184" s="88">
        <f t="shared" si="351"/>
        <v>0</v>
      </c>
      <c r="BH184" s="87" t="e">
        <f t="shared" si="274"/>
        <v>#NUM!</v>
      </c>
      <c r="BK184" s="95">
        <v>42005</v>
      </c>
      <c r="BL184" s="96">
        <v>105</v>
      </c>
      <c r="CY184" s="108" t="str">
        <f t="shared" si="275"/>
        <v/>
      </c>
      <c r="CZ184" s="109" t="str">
        <f t="shared" si="276"/>
        <v/>
      </c>
      <c r="DA184" s="109" t="str">
        <f t="shared" si="277"/>
        <v/>
      </c>
      <c r="DB184" s="110" t="str">
        <f t="shared" ref="DB184:DB200" si="426">IF($B184="","",IF(OR($F$10="ანუიტეტური",$F$10="სამომხმარებლო"),DB183-CZ184,IF($F$10="საშეღავათო",DB183-CZ184,IF($F$10="ნულოვანი საშეღავათო",DB183-CZ184))))</f>
        <v/>
      </c>
      <c r="DD184" s="108" t="str">
        <f t="shared" si="278"/>
        <v/>
      </c>
      <c r="DE184" s="109" t="str">
        <f t="shared" si="352"/>
        <v/>
      </c>
      <c r="DF184" s="109" t="str">
        <f t="shared" si="279"/>
        <v/>
      </c>
      <c r="DG184" s="110" t="str">
        <f t="shared" ref="DG184:DG200" si="427">IF($B184="","",DG183-DE184)</f>
        <v/>
      </c>
      <c r="DI184" s="108" t="str">
        <f t="shared" si="353"/>
        <v/>
      </c>
      <c r="DJ184" s="109" t="str">
        <f t="shared" si="354"/>
        <v/>
      </c>
      <c r="DK184" s="109" t="str">
        <f t="shared" si="280"/>
        <v/>
      </c>
      <c r="DL184" s="110" t="str">
        <f t="shared" ref="DL184:DL200" si="428">IF($B184="","",DL183-DJ184)</f>
        <v/>
      </c>
      <c r="DN184" s="108" t="str">
        <f t="shared" si="281"/>
        <v/>
      </c>
      <c r="DO184" s="109" t="str">
        <f t="shared" si="282"/>
        <v/>
      </c>
      <c r="DP184" s="109" t="str">
        <f t="shared" si="283"/>
        <v/>
      </c>
      <c r="DQ184" s="110" t="str">
        <f t="shared" ref="DQ184:DQ200" si="429">IF($B184="","",DQ183-DO184)</f>
        <v/>
      </c>
      <c r="DS184" s="108" t="str">
        <f t="shared" si="355"/>
        <v/>
      </c>
      <c r="DT184" s="109" t="str">
        <f t="shared" si="356"/>
        <v/>
      </c>
      <c r="DU184" s="109" t="str">
        <f t="shared" si="284"/>
        <v/>
      </c>
      <c r="DV184" s="110" t="str">
        <f t="shared" ref="DV184:DV200" si="430">IF($B184="","",DV183-DT184)</f>
        <v/>
      </c>
      <c r="DX184" s="108" t="str">
        <f t="shared" si="285"/>
        <v/>
      </c>
      <c r="DY184" s="109" t="str">
        <f t="shared" si="357"/>
        <v/>
      </c>
      <c r="DZ184" s="109" t="str">
        <f t="shared" si="286"/>
        <v/>
      </c>
      <c r="EA184" s="110" t="str">
        <f t="shared" ref="EA184:EA200" si="431">IF($B184="","",EA183-DY184)</f>
        <v/>
      </c>
      <c r="EC184" s="108" t="str">
        <f t="shared" si="358"/>
        <v/>
      </c>
      <c r="ED184" s="109" t="str">
        <f t="shared" si="359"/>
        <v/>
      </c>
      <c r="EE184" s="109" t="str">
        <f t="shared" si="287"/>
        <v/>
      </c>
      <c r="EF184" s="110" t="str">
        <f t="shared" ref="EF184:EF200" si="432">IF($B184="","",EF183-ED184)</f>
        <v/>
      </c>
      <c r="EH184" s="108" t="str">
        <f t="shared" si="288"/>
        <v/>
      </c>
      <c r="EI184" s="109" t="str">
        <f t="shared" si="360"/>
        <v/>
      </c>
      <c r="EJ184" s="109" t="str">
        <f t="shared" si="289"/>
        <v/>
      </c>
      <c r="EK184" s="110" t="str">
        <f t="shared" ref="EK184:EK200" si="433">IF($B184="","",EK183-EI184)</f>
        <v/>
      </c>
      <c r="EM184" s="108" t="str">
        <f t="shared" si="361"/>
        <v/>
      </c>
      <c r="EN184" s="109" t="str">
        <f t="shared" si="362"/>
        <v/>
      </c>
      <c r="EO184" s="109" t="str">
        <f t="shared" si="290"/>
        <v/>
      </c>
      <c r="EP184" s="110" t="str">
        <f t="shared" ref="EP184:EP200" si="434">IF($B184="","",EP183-EN184)</f>
        <v/>
      </c>
      <c r="ER184" s="108" t="str">
        <f t="shared" si="291"/>
        <v/>
      </c>
      <c r="ES184" s="109" t="str">
        <f t="shared" si="363"/>
        <v/>
      </c>
      <c r="ET184" s="109" t="str">
        <f t="shared" si="292"/>
        <v/>
      </c>
      <c r="EU184" s="110" t="str">
        <f t="shared" ref="EU184:EU200" si="435">IF($B184="","",EU183-ES184)</f>
        <v/>
      </c>
      <c r="EW184" s="108" t="str">
        <f t="shared" si="364"/>
        <v/>
      </c>
      <c r="EX184" s="109" t="str">
        <f t="shared" si="365"/>
        <v/>
      </c>
      <c r="EY184" s="109" t="str">
        <f t="shared" si="293"/>
        <v/>
      </c>
      <c r="EZ184" s="110" t="str">
        <f t="shared" ref="EZ184:EZ200" si="436">IF($B184="","",EZ183-EX184)</f>
        <v/>
      </c>
      <c r="FB184" s="108" t="str">
        <f t="shared" si="294"/>
        <v/>
      </c>
      <c r="FC184" s="109" t="str">
        <f t="shared" si="366"/>
        <v/>
      </c>
      <c r="FD184" s="109" t="str">
        <f t="shared" si="295"/>
        <v/>
      </c>
      <c r="FE184" s="110" t="str">
        <f t="shared" ref="FE184:FE200" si="437">IF($B184="","",FE183-FC184)</f>
        <v/>
      </c>
      <c r="FG184" s="108" t="str">
        <f t="shared" si="367"/>
        <v/>
      </c>
      <c r="FH184" s="109" t="str">
        <f t="shared" si="368"/>
        <v/>
      </c>
      <c r="FI184" s="109" t="str">
        <f t="shared" si="296"/>
        <v/>
      </c>
      <c r="FJ184" s="110" t="str">
        <f t="shared" ref="FJ184:FJ200" si="438">IF($B184="","",FJ183-FH184)</f>
        <v/>
      </c>
      <c r="FL184" s="108" t="str">
        <f t="shared" si="297"/>
        <v/>
      </c>
      <c r="FM184" s="109" t="str">
        <f t="shared" si="369"/>
        <v/>
      </c>
      <c r="FN184" s="109" t="str">
        <f t="shared" si="298"/>
        <v/>
      </c>
      <c r="FO184" s="110" t="str">
        <f t="shared" ref="FO184:FO200" si="439">IF($B184="","",FO183-FM184)</f>
        <v/>
      </c>
      <c r="FQ184" s="108" t="str">
        <f t="shared" si="370"/>
        <v/>
      </c>
      <c r="FR184" s="109" t="str">
        <f t="shared" si="371"/>
        <v/>
      </c>
      <c r="FS184" s="109" t="str">
        <f t="shared" si="299"/>
        <v/>
      </c>
      <c r="FT184" s="110" t="str">
        <f t="shared" ref="FT184:FT200" si="440">IF($B184="","",FT183-FR184)</f>
        <v/>
      </c>
      <c r="FV184" s="108" t="str">
        <f t="shared" si="300"/>
        <v/>
      </c>
      <c r="FW184" s="109" t="str">
        <f t="shared" si="372"/>
        <v/>
      </c>
      <c r="FX184" s="109" t="str">
        <f t="shared" si="301"/>
        <v/>
      </c>
      <c r="FY184" s="110" t="str">
        <f t="shared" ref="FY184:FY200" si="441">IF($B184="","",FY183-FW184)</f>
        <v/>
      </c>
      <c r="GA184" s="108" t="str">
        <f t="shared" si="373"/>
        <v/>
      </c>
      <c r="GB184" s="109" t="str">
        <f t="shared" si="374"/>
        <v/>
      </c>
      <c r="GC184" s="109" t="str">
        <f t="shared" si="302"/>
        <v/>
      </c>
      <c r="GD184" s="110" t="str">
        <f t="shared" ref="GD184:GD200" si="442">IF($B184="","",GD183-GB184)</f>
        <v/>
      </c>
      <c r="GF184" s="108" t="str">
        <f t="shared" si="303"/>
        <v/>
      </c>
      <c r="GG184" s="109" t="str">
        <f t="shared" si="375"/>
        <v/>
      </c>
      <c r="GH184" s="109" t="str">
        <f t="shared" si="304"/>
        <v/>
      </c>
      <c r="GI184" s="110" t="str">
        <f t="shared" ref="GI184:GI200" si="443">IF($B184="","",GI183-GG184)</f>
        <v/>
      </c>
      <c r="GK184" s="108" t="str">
        <f t="shared" si="376"/>
        <v/>
      </c>
      <c r="GL184" s="109" t="str">
        <f t="shared" si="377"/>
        <v/>
      </c>
      <c r="GM184" s="109" t="str">
        <f t="shared" si="378"/>
        <v/>
      </c>
      <c r="GN184" s="110" t="str">
        <f t="shared" ref="GN184:GN200" si="444">IF($B184="","",GN183-GL184)</f>
        <v/>
      </c>
      <c r="GR184" s="108" t="str">
        <f t="shared" si="305"/>
        <v/>
      </c>
      <c r="GS184" s="109" t="str">
        <f t="shared" si="306"/>
        <v/>
      </c>
      <c r="GT184" s="109" t="str">
        <f t="shared" si="307"/>
        <v/>
      </c>
      <c r="GU184" s="110" t="str">
        <f t="shared" si="308"/>
        <v/>
      </c>
      <c r="GV184" s="51"/>
      <c r="GW184" s="108" t="str">
        <f t="shared" si="309"/>
        <v/>
      </c>
      <c r="GX184" s="109" t="str">
        <f t="shared" si="379"/>
        <v/>
      </c>
      <c r="GY184" s="109" t="str">
        <f t="shared" si="310"/>
        <v/>
      </c>
      <c r="GZ184" s="110" t="str">
        <f t="shared" si="311"/>
        <v/>
      </c>
      <c r="HA184" s="51"/>
      <c r="HB184" s="108" t="str">
        <f t="shared" si="380"/>
        <v/>
      </c>
      <c r="HC184" s="109" t="str">
        <f t="shared" si="381"/>
        <v/>
      </c>
      <c r="HD184" s="109" t="str">
        <f t="shared" si="312"/>
        <v/>
      </c>
      <c r="HE184" s="110" t="str">
        <f t="shared" si="382"/>
        <v/>
      </c>
      <c r="HF184" s="51"/>
      <c r="HG184" s="108" t="str">
        <f t="shared" si="313"/>
        <v/>
      </c>
      <c r="HH184" s="109" t="str">
        <f t="shared" si="383"/>
        <v/>
      </c>
      <c r="HI184" s="109" t="str">
        <f t="shared" si="314"/>
        <v/>
      </c>
      <c r="HJ184" s="110" t="str">
        <f t="shared" si="417"/>
        <v/>
      </c>
      <c r="HK184" s="51"/>
      <c r="HL184" s="108" t="str">
        <f t="shared" si="384"/>
        <v/>
      </c>
      <c r="HM184" s="109" t="str">
        <f t="shared" si="385"/>
        <v/>
      </c>
      <c r="HN184" s="109" t="str">
        <f t="shared" si="315"/>
        <v/>
      </c>
      <c r="HO184" s="110" t="str">
        <f t="shared" si="386"/>
        <v/>
      </c>
      <c r="HP184" s="51"/>
      <c r="HQ184" s="108" t="str">
        <f t="shared" si="316"/>
        <v/>
      </c>
      <c r="HR184" s="109" t="str">
        <f t="shared" si="387"/>
        <v/>
      </c>
      <c r="HS184" s="109" t="str">
        <f t="shared" si="317"/>
        <v/>
      </c>
      <c r="HT184" s="110" t="str">
        <f t="shared" si="418"/>
        <v/>
      </c>
      <c r="HU184" s="51"/>
      <c r="HV184" s="108" t="str">
        <f t="shared" si="388"/>
        <v/>
      </c>
      <c r="HW184" s="109" t="str">
        <f t="shared" si="389"/>
        <v/>
      </c>
      <c r="HX184" s="109" t="str">
        <f t="shared" si="318"/>
        <v/>
      </c>
      <c r="HY184" s="110" t="str">
        <f t="shared" si="390"/>
        <v/>
      </c>
      <c r="HZ184" s="51"/>
      <c r="IA184" s="108" t="str">
        <f t="shared" si="319"/>
        <v/>
      </c>
      <c r="IB184" s="109" t="str">
        <f t="shared" si="391"/>
        <v/>
      </c>
      <c r="IC184" s="109" t="str">
        <f t="shared" si="320"/>
        <v/>
      </c>
      <c r="ID184" s="110" t="str">
        <f t="shared" si="419"/>
        <v/>
      </c>
      <c r="IE184" s="51"/>
      <c r="IF184" s="108" t="str">
        <f t="shared" si="392"/>
        <v/>
      </c>
      <c r="IG184" s="109" t="str">
        <f t="shared" si="393"/>
        <v/>
      </c>
      <c r="IH184" s="109" t="str">
        <f t="shared" si="321"/>
        <v/>
      </c>
      <c r="II184" s="110" t="str">
        <f t="shared" si="394"/>
        <v/>
      </c>
      <c r="IJ184" s="51"/>
      <c r="IK184" s="108" t="str">
        <f t="shared" si="322"/>
        <v/>
      </c>
      <c r="IL184" s="109" t="str">
        <f t="shared" si="395"/>
        <v/>
      </c>
      <c r="IM184" s="109" t="str">
        <f t="shared" si="323"/>
        <v/>
      </c>
      <c r="IN184" s="110" t="str">
        <f t="shared" si="420"/>
        <v/>
      </c>
      <c r="IO184" s="51"/>
      <c r="IP184" s="108" t="str">
        <f t="shared" si="396"/>
        <v/>
      </c>
      <c r="IQ184" s="109" t="str">
        <f t="shared" si="397"/>
        <v/>
      </c>
      <c r="IR184" s="109" t="str">
        <f t="shared" si="324"/>
        <v/>
      </c>
      <c r="IS184" s="110" t="str">
        <f t="shared" si="398"/>
        <v/>
      </c>
      <c r="IT184" s="51"/>
      <c r="IU184" s="108" t="str">
        <f t="shared" si="325"/>
        <v/>
      </c>
      <c r="IV184" s="109" t="str">
        <f t="shared" si="399"/>
        <v/>
      </c>
      <c r="IW184" s="109" t="str">
        <f t="shared" si="326"/>
        <v/>
      </c>
      <c r="IX184" s="110" t="str">
        <f t="shared" si="421"/>
        <v/>
      </c>
      <c r="IY184" s="51"/>
      <c r="IZ184" s="108" t="str">
        <f t="shared" si="400"/>
        <v/>
      </c>
      <c r="JA184" s="109" t="str">
        <f t="shared" si="401"/>
        <v/>
      </c>
      <c r="JB184" s="109" t="str">
        <f t="shared" si="327"/>
        <v/>
      </c>
      <c r="JC184" s="110" t="str">
        <f t="shared" si="402"/>
        <v/>
      </c>
      <c r="JD184" s="51"/>
      <c r="JE184" s="108" t="str">
        <f t="shared" si="328"/>
        <v/>
      </c>
      <c r="JF184" s="109" t="str">
        <f t="shared" si="403"/>
        <v/>
      </c>
      <c r="JG184" s="109" t="str">
        <f t="shared" si="329"/>
        <v/>
      </c>
      <c r="JH184" s="110" t="str">
        <f t="shared" si="422"/>
        <v/>
      </c>
      <c r="JI184" s="51"/>
      <c r="JJ184" s="108" t="str">
        <f t="shared" si="404"/>
        <v/>
      </c>
      <c r="JK184" s="109" t="str">
        <f t="shared" si="405"/>
        <v/>
      </c>
      <c r="JL184" s="109" t="str">
        <f t="shared" si="330"/>
        <v/>
      </c>
      <c r="JM184" s="110" t="str">
        <f t="shared" si="406"/>
        <v/>
      </c>
      <c r="JN184" s="51"/>
      <c r="JO184" s="108" t="str">
        <f t="shared" si="331"/>
        <v/>
      </c>
      <c r="JP184" s="109" t="str">
        <f t="shared" si="407"/>
        <v/>
      </c>
      <c r="JQ184" s="109" t="str">
        <f t="shared" si="332"/>
        <v/>
      </c>
      <c r="JR184" s="110" t="str">
        <f t="shared" si="423"/>
        <v/>
      </c>
      <c r="JS184" s="51"/>
      <c r="JT184" s="108" t="str">
        <f t="shared" si="408"/>
        <v/>
      </c>
      <c r="JU184" s="109" t="str">
        <f t="shared" si="409"/>
        <v/>
      </c>
      <c r="JV184" s="109" t="str">
        <f t="shared" si="333"/>
        <v/>
      </c>
      <c r="JW184" s="110" t="str">
        <f t="shared" si="410"/>
        <v/>
      </c>
      <c r="JX184" s="51"/>
      <c r="JY184" s="108" t="str">
        <f t="shared" si="334"/>
        <v/>
      </c>
      <c r="JZ184" s="109" t="str">
        <f t="shared" si="411"/>
        <v/>
      </c>
      <c r="KA184" s="109" t="str">
        <f t="shared" si="335"/>
        <v/>
      </c>
      <c r="KB184" s="110" t="str">
        <f t="shared" si="424"/>
        <v/>
      </c>
      <c r="KC184" s="51"/>
      <c r="KD184" s="108" t="str">
        <f t="shared" si="412"/>
        <v/>
      </c>
      <c r="KE184" s="109" t="str">
        <f t="shared" si="413"/>
        <v/>
      </c>
      <c r="KF184" s="109" t="str">
        <f t="shared" si="336"/>
        <v/>
      </c>
      <c r="KG184" s="110" t="str">
        <f t="shared" si="337"/>
        <v/>
      </c>
    </row>
    <row r="185" spans="1:293" ht="12" customHeight="1">
      <c r="A185" s="105">
        <f t="array" ref="A185">MAX(IF($J$80:J184&gt;0,$C$80:C184,0))</f>
        <v>43535</v>
      </c>
      <c r="B185" s="81" t="str">
        <f t="shared" si="248"/>
        <v/>
      </c>
      <c r="C185" s="82">
        <f t="shared" si="414"/>
        <v>0</v>
      </c>
      <c r="D185" s="83" t="str">
        <f t="shared" si="249"/>
        <v/>
      </c>
      <c r="E185" s="83" t="str">
        <f t="shared" si="338"/>
        <v/>
      </c>
      <c r="F185" s="83" t="str">
        <f t="shared" si="250"/>
        <v/>
      </c>
      <c r="G185" s="83" t="str">
        <f t="shared" si="251"/>
        <v/>
      </c>
      <c r="H185" s="83" t="str">
        <f t="shared" si="252"/>
        <v/>
      </c>
      <c r="I185" s="105">
        <f t="array" ref="I185">MAX(IF($R$80:R184&gt;0,$L$80:L184,0))</f>
        <v>0</v>
      </c>
      <c r="J185" s="106"/>
      <c r="K185" s="2" t="str">
        <f t="shared" si="253"/>
        <v/>
      </c>
      <c r="L185" s="82">
        <f t="shared" si="415"/>
        <v>0</v>
      </c>
      <c r="M185" s="83" t="str">
        <f t="shared" si="254"/>
        <v/>
      </c>
      <c r="N185" s="83" t="str">
        <f t="shared" si="255"/>
        <v/>
      </c>
      <c r="O185" s="83" t="str">
        <f t="shared" si="256"/>
        <v/>
      </c>
      <c r="P185" s="83" t="str">
        <f t="shared" si="257"/>
        <v/>
      </c>
      <c r="Q185" s="83" t="str">
        <f t="shared" si="258"/>
        <v/>
      </c>
      <c r="R185" s="106"/>
      <c r="S185" s="1"/>
      <c r="U185" s="85" t="e">
        <f t="shared" si="244"/>
        <v>#NUM!</v>
      </c>
      <c r="V185" s="86" t="e">
        <f t="shared" si="339"/>
        <v>#NUM!</v>
      </c>
      <c r="W185" s="87" t="e">
        <f t="shared" si="259"/>
        <v>#NUM!</v>
      </c>
      <c r="X185" s="87" t="e">
        <f t="shared" si="260"/>
        <v>#NUM!</v>
      </c>
      <c r="Y185" s="87" t="e">
        <f t="shared" si="261"/>
        <v>#NUM!</v>
      </c>
      <c r="Z185" s="88" t="e">
        <f t="shared" si="245"/>
        <v>#NUM!</v>
      </c>
      <c r="AA185" t="s">
        <v>282</v>
      </c>
      <c r="AB185" s="89">
        <f t="shared" si="340"/>
        <v>0</v>
      </c>
      <c r="AC185" s="87">
        <f t="shared" si="262"/>
        <v>0</v>
      </c>
      <c r="AD185" s="87" t="str">
        <f t="shared" si="263"/>
        <v/>
      </c>
      <c r="AE185" s="87" t="str">
        <f t="shared" si="264"/>
        <v/>
      </c>
      <c r="AF185" s="86">
        <f t="shared" si="341"/>
        <v>0</v>
      </c>
      <c r="AG185" s="87">
        <f t="shared" si="246"/>
        <v>0</v>
      </c>
      <c r="AH185" s="87">
        <f t="shared" si="342"/>
        <v>0</v>
      </c>
      <c r="AI185" s="90"/>
      <c r="AJ185" s="87" t="e">
        <f t="shared" si="265"/>
        <v>#NUM!</v>
      </c>
      <c r="AK185" s="87" t="e">
        <f t="shared" si="343"/>
        <v>#NUM!</v>
      </c>
      <c r="AL185" s="87" t="e">
        <f t="shared" si="344"/>
        <v>#NUM!</v>
      </c>
      <c r="AM185" s="87" t="e">
        <f t="shared" si="345"/>
        <v>#NUM!</v>
      </c>
      <c r="AN185" s="86">
        <f t="shared" si="266"/>
        <v>0</v>
      </c>
      <c r="AO185" s="87">
        <f t="shared" si="267"/>
        <v>0</v>
      </c>
      <c r="AP185" s="88">
        <f t="shared" si="268"/>
        <v>0</v>
      </c>
      <c r="AR185" s="91">
        <f t="shared" si="269"/>
        <v>0</v>
      </c>
      <c r="AS185" s="92">
        <f t="shared" si="270"/>
        <v>0</v>
      </c>
      <c r="AT185" s="87" t="str">
        <f t="shared" si="271"/>
        <v/>
      </c>
      <c r="AU185" s="87" t="str">
        <f t="shared" si="272"/>
        <v/>
      </c>
      <c r="AV185" s="86">
        <f t="shared" si="346"/>
        <v>0</v>
      </c>
      <c r="AW185" s="87">
        <f t="shared" si="347"/>
        <v>0</v>
      </c>
      <c r="AX185" s="87">
        <f t="shared" si="348"/>
        <v>0</v>
      </c>
      <c r="AY185" s="93"/>
      <c r="AZ185" s="87">
        <f t="shared" si="425"/>
        <v>0</v>
      </c>
      <c r="BA185" s="87">
        <f t="shared" si="349"/>
        <v>0</v>
      </c>
      <c r="BB185" s="87">
        <f t="shared" si="350"/>
        <v>0</v>
      </c>
      <c r="BC185" s="87">
        <f t="shared" si="416"/>
        <v>0</v>
      </c>
      <c r="BD185" s="86" t="e">
        <f t="shared" si="273"/>
        <v>#NUM!</v>
      </c>
      <c r="BE185" s="87" t="e">
        <f t="shared" si="247"/>
        <v>#NUM!</v>
      </c>
      <c r="BF185" s="88">
        <f t="shared" si="351"/>
        <v>0</v>
      </c>
      <c r="BH185" s="87" t="e">
        <f t="shared" si="274"/>
        <v>#NUM!</v>
      </c>
      <c r="BK185" s="95">
        <v>42006</v>
      </c>
      <c r="BL185" s="96">
        <v>106</v>
      </c>
      <c r="CY185" s="108" t="str">
        <f t="shared" si="275"/>
        <v/>
      </c>
      <c r="CZ185" s="109" t="str">
        <f t="shared" si="276"/>
        <v/>
      </c>
      <c r="DA185" s="109" t="str">
        <f t="shared" si="277"/>
        <v/>
      </c>
      <c r="DB185" s="110" t="str">
        <f t="shared" si="426"/>
        <v/>
      </c>
      <c r="DD185" s="108" t="str">
        <f t="shared" si="278"/>
        <v/>
      </c>
      <c r="DE185" s="109" t="str">
        <f t="shared" si="352"/>
        <v/>
      </c>
      <c r="DF185" s="109" t="str">
        <f t="shared" si="279"/>
        <v/>
      </c>
      <c r="DG185" s="110" t="str">
        <f t="shared" si="427"/>
        <v/>
      </c>
      <c r="DI185" s="108" t="str">
        <f t="shared" si="353"/>
        <v/>
      </c>
      <c r="DJ185" s="109" t="str">
        <f t="shared" si="354"/>
        <v/>
      </c>
      <c r="DK185" s="109" t="str">
        <f t="shared" si="280"/>
        <v/>
      </c>
      <c r="DL185" s="110" t="str">
        <f t="shared" si="428"/>
        <v/>
      </c>
      <c r="DN185" s="108" t="str">
        <f t="shared" si="281"/>
        <v/>
      </c>
      <c r="DO185" s="109" t="str">
        <f t="shared" si="282"/>
        <v/>
      </c>
      <c r="DP185" s="109" t="str">
        <f t="shared" si="283"/>
        <v/>
      </c>
      <c r="DQ185" s="110" t="str">
        <f t="shared" si="429"/>
        <v/>
      </c>
      <c r="DS185" s="108" t="str">
        <f t="shared" si="355"/>
        <v/>
      </c>
      <c r="DT185" s="109" t="str">
        <f t="shared" si="356"/>
        <v/>
      </c>
      <c r="DU185" s="109" t="str">
        <f t="shared" si="284"/>
        <v/>
      </c>
      <c r="DV185" s="110" t="str">
        <f t="shared" si="430"/>
        <v/>
      </c>
      <c r="DX185" s="108" t="str">
        <f t="shared" si="285"/>
        <v/>
      </c>
      <c r="DY185" s="109" t="str">
        <f t="shared" si="357"/>
        <v/>
      </c>
      <c r="DZ185" s="109" t="str">
        <f t="shared" si="286"/>
        <v/>
      </c>
      <c r="EA185" s="110" t="str">
        <f t="shared" si="431"/>
        <v/>
      </c>
      <c r="EC185" s="108" t="str">
        <f t="shared" si="358"/>
        <v/>
      </c>
      <c r="ED185" s="109" t="str">
        <f t="shared" si="359"/>
        <v/>
      </c>
      <c r="EE185" s="109" t="str">
        <f t="shared" si="287"/>
        <v/>
      </c>
      <c r="EF185" s="110" t="str">
        <f t="shared" si="432"/>
        <v/>
      </c>
      <c r="EH185" s="108" t="str">
        <f t="shared" si="288"/>
        <v/>
      </c>
      <c r="EI185" s="109" t="str">
        <f t="shared" si="360"/>
        <v/>
      </c>
      <c r="EJ185" s="109" t="str">
        <f t="shared" si="289"/>
        <v/>
      </c>
      <c r="EK185" s="110" t="str">
        <f t="shared" si="433"/>
        <v/>
      </c>
      <c r="EM185" s="108" t="str">
        <f t="shared" si="361"/>
        <v/>
      </c>
      <c r="EN185" s="109" t="str">
        <f t="shared" si="362"/>
        <v/>
      </c>
      <c r="EO185" s="109" t="str">
        <f t="shared" si="290"/>
        <v/>
      </c>
      <c r="EP185" s="110" t="str">
        <f t="shared" si="434"/>
        <v/>
      </c>
      <c r="ER185" s="108" t="str">
        <f t="shared" si="291"/>
        <v/>
      </c>
      <c r="ES185" s="109" t="str">
        <f t="shared" si="363"/>
        <v/>
      </c>
      <c r="ET185" s="109" t="str">
        <f t="shared" si="292"/>
        <v/>
      </c>
      <c r="EU185" s="110" t="str">
        <f t="shared" si="435"/>
        <v/>
      </c>
      <c r="EW185" s="108" t="str">
        <f t="shared" si="364"/>
        <v/>
      </c>
      <c r="EX185" s="109" t="str">
        <f t="shared" si="365"/>
        <v/>
      </c>
      <c r="EY185" s="109" t="str">
        <f t="shared" si="293"/>
        <v/>
      </c>
      <c r="EZ185" s="110" t="str">
        <f t="shared" si="436"/>
        <v/>
      </c>
      <c r="FB185" s="108" t="str">
        <f t="shared" si="294"/>
        <v/>
      </c>
      <c r="FC185" s="109" t="str">
        <f t="shared" si="366"/>
        <v/>
      </c>
      <c r="FD185" s="109" t="str">
        <f t="shared" si="295"/>
        <v/>
      </c>
      <c r="FE185" s="110" t="str">
        <f t="shared" si="437"/>
        <v/>
      </c>
      <c r="FG185" s="108" t="str">
        <f t="shared" si="367"/>
        <v/>
      </c>
      <c r="FH185" s="109" t="str">
        <f t="shared" si="368"/>
        <v/>
      </c>
      <c r="FI185" s="109" t="str">
        <f t="shared" si="296"/>
        <v/>
      </c>
      <c r="FJ185" s="110" t="str">
        <f t="shared" si="438"/>
        <v/>
      </c>
      <c r="FL185" s="108" t="str">
        <f t="shared" si="297"/>
        <v/>
      </c>
      <c r="FM185" s="109" t="str">
        <f t="shared" si="369"/>
        <v/>
      </c>
      <c r="FN185" s="109" t="str">
        <f t="shared" si="298"/>
        <v/>
      </c>
      <c r="FO185" s="110" t="str">
        <f t="shared" si="439"/>
        <v/>
      </c>
      <c r="FQ185" s="108" t="str">
        <f t="shared" si="370"/>
        <v/>
      </c>
      <c r="FR185" s="109" t="str">
        <f t="shared" si="371"/>
        <v/>
      </c>
      <c r="FS185" s="109" t="str">
        <f t="shared" si="299"/>
        <v/>
      </c>
      <c r="FT185" s="110" t="str">
        <f t="shared" si="440"/>
        <v/>
      </c>
      <c r="FV185" s="108" t="str">
        <f t="shared" si="300"/>
        <v/>
      </c>
      <c r="FW185" s="109" t="str">
        <f t="shared" si="372"/>
        <v/>
      </c>
      <c r="FX185" s="109" t="str">
        <f t="shared" si="301"/>
        <v/>
      </c>
      <c r="FY185" s="110" t="str">
        <f t="shared" si="441"/>
        <v/>
      </c>
      <c r="GA185" s="108" t="str">
        <f t="shared" si="373"/>
        <v/>
      </c>
      <c r="GB185" s="109" t="str">
        <f t="shared" si="374"/>
        <v/>
      </c>
      <c r="GC185" s="109" t="str">
        <f t="shared" si="302"/>
        <v/>
      </c>
      <c r="GD185" s="110" t="str">
        <f t="shared" si="442"/>
        <v/>
      </c>
      <c r="GF185" s="108" t="str">
        <f t="shared" si="303"/>
        <v/>
      </c>
      <c r="GG185" s="109" t="str">
        <f t="shared" si="375"/>
        <v/>
      </c>
      <c r="GH185" s="109" t="str">
        <f t="shared" si="304"/>
        <v/>
      </c>
      <c r="GI185" s="110" t="str">
        <f t="shared" si="443"/>
        <v/>
      </c>
      <c r="GK185" s="108" t="str">
        <f t="shared" si="376"/>
        <v/>
      </c>
      <c r="GL185" s="109" t="str">
        <f t="shared" si="377"/>
        <v/>
      </c>
      <c r="GM185" s="109" t="str">
        <f t="shared" si="378"/>
        <v/>
      </c>
      <c r="GN185" s="110" t="str">
        <f t="shared" si="444"/>
        <v/>
      </c>
      <c r="GR185" s="108" t="str">
        <f t="shared" si="305"/>
        <v/>
      </c>
      <c r="GS185" s="109" t="str">
        <f t="shared" si="306"/>
        <v/>
      </c>
      <c r="GT185" s="109" t="str">
        <f t="shared" si="307"/>
        <v/>
      </c>
      <c r="GU185" s="110" t="str">
        <f t="shared" si="308"/>
        <v/>
      </c>
      <c r="GV185" s="51"/>
      <c r="GW185" s="108" t="str">
        <f t="shared" si="309"/>
        <v/>
      </c>
      <c r="GX185" s="109" t="str">
        <f t="shared" si="379"/>
        <v/>
      </c>
      <c r="GY185" s="109" t="str">
        <f t="shared" si="310"/>
        <v/>
      </c>
      <c r="GZ185" s="110" t="str">
        <f t="shared" si="311"/>
        <v/>
      </c>
      <c r="HA185" s="51"/>
      <c r="HB185" s="108" t="str">
        <f t="shared" si="380"/>
        <v/>
      </c>
      <c r="HC185" s="109" t="str">
        <f t="shared" si="381"/>
        <v/>
      </c>
      <c r="HD185" s="109" t="str">
        <f t="shared" si="312"/>
        <v/>
      </c>
      <c r="HE185" s="110" t="str">
        <f t="shared" si="382"/>
        <v/>
      </c>
      <c r="HF185" s="51"/>
      <c r="HG185" s="108" t="str">
        <f t="shared" si="313"/>
        <v/>
      </c>
      <c r="HH185" s="109" t="str">
        <f t="shared" si="383"/>
        <v/>
      </c>
      <c r="HI185" s="109" t="str">
        <f t="shared" si="314"/>
        <v/>
      </c>
      <c r="HJ185" s="110" t="str">
        <f t="shared" si="417"/>
        <v/>
      </c>
      <c r="HK185" s="51"/>
      <c r="HL185" s="108" t="str">
        <f t="shared" si="384"/>
        <v/>
      </c>
      <c r="HM185" s="109" t="str">
        <f t="shared" si="385"/>
        <v/>
      </c>
      <c r="HN185" s="109" t="str">
        <f t="shared" si="315"/>
        <v/>
      </c>
      <c r="HO185" s="110" t="str">
        <f t="shared" si="386"/>
        <v/>
      </c>
      <c r="HP185" s="51"/>
      <c r="HQ185" s="108" t="str">
        <f t="shared" si="316"/>
        <v/>
      </c>
      <c r="HR185" s="109" t="str">
        <f t="shared" si="387"/>
        <v/>
      </c>
      <c r="HS185" s="109" t="str">
        <f t="shared" si="317"/>
        <v/>
      </c>
      <c r="HT185" s="110" t="str">
        <f t="shared" si="418"/>
        <v/>
      </c>
      <c r="HU185" s="51"/>
      <c r="HV185" s="108" t="str">
        <f t="shared" si="388"/>
        <v/>
      </c>
      <c r="HW185" s="109" t="str">
        <f t="shared" si="389"/>
        <v/>
      </c>
      <c r="HX185" s="109" t="str">
        <f t="shared" si="318"/>
        <v/>
      </c>
      <c r="HY185" s="110" t="str">
        <f t="shared" si="390"/>
        <v/>
      </c>
      <c r="HZ185" s="51"/>
      <c r="IA185" s="108" t="str">
        <f t="shared" si="319"/>
        <v/>
      </c>
      <c r="IB185" s="109" t="str">
        <f t="shared" si="391"/>
        <v/>
      </c>
      <c r="IC185" s="109" t="str">
        <f t="shared" si="320"/>
        <v/>
      </c>
      <c r="ID185" s="110" t="str">
        <f t="shared" si="419"/>
        <v/>
      </c>
      <c r="IE185" s="51"/>
      <c r="IF185" s="108" t="str">
        <f t="shared" si="392"/>
        <v/>
      </c>
      <c r="IG185" s="109" t="str">
        <f t="shared" si="393"/>
        <v/>
      </c>
      <c r="IH185" s="109" t="str">
        <f t="shared" si="321"/>
        <v/>
      </c>
      <c r="II185" s="110" t="str">
        <f t="shared" si="394"/>
        <v/>
      </c>
      <c r="IJ185" s="51"/>
      <c r="IK185" s="108" t="str">
        <f t="shared" si="322"/>
        <v/>
      </c>
      <c r="IL185" s="109" t="str">
        <f t="shared" si="395"/>
        <v/>
      </c>
      <c r="IM185" s="109" t="str">
        <f t="shared" si="323"/>
        <v/>
      </c>
      <c r="IN185" s="110" t="str">
        <f t="shared" si="420"/>
        <v/>
      </c>
      <c r="IO185" s="51"/>
      <c r="IP185" s="108" t="str">
        <f t="shared" si="396"/>
        <v/>
      </c>
      <c r="IQ185" s="109" t="str">
        <f t="shared" si="397"/>
        <v/>
      </c>
      <c r="IR185" s="109" t="str">
        <f t="shared" si="324"/>
        <v/>
      </c>
      <c r="IS185" s="110" t="str">
        <f t="shared" si="398"/>
        <v/>
      </c>
      <c r="IT185" s="51"/>
      <c r="IU185" s="108" t="str">
        <f t="shared" si="325"/>
        <v/>
      </c>
      <c r="IV185" s="109" t="str">
        <f t="shared" si="399"/>
        <v/>
      </c>
      <c r="IW185" s="109" t="str">
        <f t="shared" si="326"/>
        <v/>
      </c>
      <c r="IX185" s="110" t="str">
        <f t="shared" si="421"/>
        <v/>
      </c>
      <c r="IY185" s="51"/>
      <c r="IZ185" s="108" t="str">
        <f t="shared" si="400"/>
        <v/>
      </c>
      <c r="JA185" s="109" t="str">
        <f t="shared" si="401"/>
        <v/>
      </c>
      <c r="JB185" s="109" t="str">
        <f t="shared" si="327"/>
        <v/>
      </c>
      <c r="JC185" s="110" t="str">
        <f t="shared" si="402"/>
        <v/>
      </c>
      <c r="JD185" s="51"/>
      <c r="JE185" s="108" t="str">
        <f t="shared" si="328"/>
        <v/>
      </c>
      <c r="JF185" s="109" t="str">
        <f t="shared" si="403"/>
        <v/>
      </c>
      <c r="JG185" s="109" t="str">
        <f t="shared" si="329"/>
        <v/>
      </c>
      <c r="JH185" s="110" t="str">
        <f t="shared" si="422"/>
        <v/>
      </c>
      <c r="JI185" s="51"/>
      <c r="JJ185" s="108" t="str">
        <f t="shared" si="404"/>
        <v/>
      </c>
      <c r="JK185" s="109" t="str">
        <f t="shared" si="405"/>
        <v/>
      </c>
      <c r="JL185" s="109" t="str">
        <f t="shared" si="330"/>
        <v/>
      </c>
      <c r="JM185" s="110" t="str">
        <f t="shared" si="406"/>
        <v/>
      </c>
      <c r="JN185" s="51"/>
      <c r="JO185" s="108" t="str">
        <f t="shared" si="331"/>
        <v/>
      </c>
      <c r="JP185" s="109" t="str">
        <f t="shared" si="407"/>
        <v/>
      </c>
      <c r="JQ185" s="109" t="str">
        <f t="shared" si="332"/>
        <v/>
      </c>
      <c r="JR185" s="110" t="str">
        <f t="shared" si="423"/>
        <v/>
      </c>
      <c r="JS185" s="51"/>
      <c r="JT185" s="108" t="str">
        <f t="shared" si="408"/>
        <v/>
      </c>
      <c r="JU185" s="109" t="str">
        <f t="shared" si="409"/>
        <v/>
      </c>
      <c r="JV185" s="109" t="str">
        <f t="shared" si="333"/>
        <v/>
      </c>
      <c r="JW185" s="110" t="str">
        <f t="shared" si="410"/>
        <v/>
      </c>
      <c r="JX185" s="51"/>
      <c r="JY185" s="108" t="str">
        <f t="shared" si="334"/>
        <v/>
      </c>
      <c r="JZ185" s="109" t="str">
        <f t="shared" si="411"/>
        <v/>
      </c>
      <c r="KA185" s="109" t="str">
        <f t="shared" si="335"/>
        <v/>
      </c>
      <c r="KB185" s="110" t="str">
        <f t="shared" si="424"/>
        <v/>
      </c>
      <c r="KC185" s="51"/>
      <c r="KD185" s="108" t="str">
        <f t="shared" si="412"/>
        <v/>
      </c>
      <c r="KE185" s="109" t="str">
        <f t="shared" si="413"/>
        <v/>
      </c>
      <c r="KF185" s="109" t="str">
        <f t="shared" si="336"/>
        <v/>
      </c>
      <c r="KG185" s="110" t="str">
        <f t="shared" si="337"/>
        <v/>
      </c>
    </row>
    <row r="186" spans="1:293" ht="12" customHeight="1">
      <c r="A186" s="105">
        <f t="array" ref="A186">MAX(IF($J$80:J185&gt;0,$C$80:C185,0))</f>
        <v>43535</v>
      </c>
      <c r="B186" s="81" t="str">
        <f t="shared" si="248"/>
        <v/>
      </c>
      <c r="C186" s="82">
        <f t="shared" si="414"/>
        <v>0</v>
      </c>
      <c r="D186" s="83" t="str">
        <f t="shared" si="249"/>
        <v/>
      </c>
      <c r="E186" s="83" t="str">
        <f t="shared" si="338"/>
        <v/>
      </c>
      <c r="F186" s="83" t="str">
        <f t="shared" si="250"/>
        <v/>
      </c>
      <c r="G186" s="83" t="str">
        <f t="shared" si="251"/>
        <v/>
      </c>
      <c r="H186" s="83" t="str">
        <f t="shared" si="252"/>
        <v/>
      </c>
      <c r="I186" s="105">
        <f t="array" ref="I186">MAX(IF($R$80:R185&gt;0,$L$80:L185,0))</f>
        <v>0</v>
      </c>
      <c r="J186" s="106"/>
      <c r="K186" s="2" t="str">
        <f t="shared" si="253"/>
        <v/>
      </c>
      <c r="L186" s="82">
        <f t="shared" si="415"/>
        <v>0</v>
      </c>
      <c r="M186" s="83" t="str">
        <f t="shared" si="254"/>
        <v/>
      </c>
      <c r="N186" s="83" t="str">
        <f t="shared" si="255"/>
        <v/>
      </c>
      <c r="O186" s="83" t="str">
        <f t="shared" si="256"/>
        <v/>
      </c>
      <c r="P186" s="83" t="str">
        <f t="shared" si="257"/>
        <v/>
      </c>
      <c r="Q186" s="83" t="str">
        <f t="shared" si="258"/>
        <v/>
      </c>
      <c r="R186" s="106"/>
      <c r="S186" s="1"/>
      <c r="U186" s="85" t="e">
        <f t="shared" si="244"/>
        <v>#NUM!</v>
      </c>
      <c r="V186" s="86" t="e">
        <f t="shared" si="339"/>
        <v>#NUM!</v>
      </c>
      <c r="W186" s="87" t="e">
        <f t="shared" si="259"/>
        <v>#NUM!</v>
      </c>
      <c r="X186" s="87" t="e">
        <f t="shared" si="260"/>
        <v>#NUM!</v>
      </c>
      <c r="Y186" s="87" t="e">
        <f t="shared" si="261"/>
        <v>#NUM!</v>
      </c>
      <c r="Z186" s="88" t="e">
        <f t="shared" si="245"/>
        <v>#NUM!</v>
      </c>
      <c r="AA186" t="s">
        <v>282</v>
      </c>
      <c r="AB186" s="89">
        <f t="shared" si="340"/>
        <v>0</v>
      </c>
      <c r="AC186" s="87">
        <f t="shared" si="262"/>
        <v>0</v>
      </c>
      <c r="AD186" s="87" t="str">
        <f t="shared" si="263"/>
        <v/>
      </c>
      <c r="AE186" s="87" t="str">
        <f t="shared" si="264"/>
        <v/>
      </c>
      <c r="AF186" s="86">
        <f t="shared" si="341"/>
        <v>0</v>
      </c>
      <c r="AG186" s="87">
        <f t="shared" si="246"/>
        <v>0</v>
      </c>
      <c r="AH186" s="87">
        <f t="shared" si="342"/>
        <v>0</v>
      </c>
      <c r="AI186" s="90"/>
      <c r="AJ186" s="87" t="e">
        <f t="shared" si="265"/>
        <v>#NUM!</v>
      </c>
      <c r="AK186" s="87" t="e">
        <f t="shared" si="343"/>
        <v>#NUM!</v>
      </c>
      <c r="AL186" s="87" t="e">
        <f t="shared" si="344"/>
        <v>#NUM!</v>
      </c>
      <c r="AM186" s="87" t="e">
        <f t="shared" si="345"/>
        <v>#NUM!</v>
      </c>
      <c r="AN186" s="86">
        <f t="shared" si="266"/>
        <v>0</v>
      </c>
      <c r="AO186" s="87">
        <f t="shared" si="267"/>
        <v>0</v>
      </c>
      <c r="AP186" s="88">
        <f t="shared" si="268"/>
        <v>0</v>
      </c>
      <c r="AR186" s="91">
        <f t="shared" si="269"/>
        <v>0</v>
      </c>
      <c r="AS186" s="92">
        <f t="shared" si="270"/>
        <v>0</v>
      </c>
      <c r="AT186" s="87" t="str">
        <f t="shared" si="271"/>
        <v/>
      </c>
      <c r="AU186" s="87" t="str">
        <f t="shared" si="272"/>
        <v/>
      </c>
      <c r="AV186" s="86">
        <f t="shared" si="346"/>
        <v>0</v>
      </c>
      <c r="AW186" s="87">
        <f t="shared" si="347"/>
        <v>0</v>
      </c>
      <c r="AX186" s="87">
        <f t="shared" si="348"/>
        <v>0</v>
      </c>
      <c r="AY186" s="93"/>
      <c r="AZ186" s="87">
        <f t="shared" si="425"/>
        <v>0</v>
      </c>
      <c r="BA186" s="87">
        <f t="shared" si="349"/>
        <v>0</v>
      </c>
      <c r="BB186" s="87">
        <f t="shared" si="350"/>
        <v>0</v>
      </c>
      <c r="BC186" s="87">
        <f t="shared" si="416"/>
        <v>0</v>
      </c>
      <c r="BD186" s="86" t="e">
        <f t="shared" si="273"/>
        <v>#NUM!</v>
      </c>
      <c r="BE186" s="87" t="e">
        <f t="shared" si="247"/>
        <v>#NUM!</v>
      </c>
      <c r="BF186" s="88">
        <f t="shared" si="351"/>
        <v>0</v>
      </c>
      <c r="BH186" s="87" t="e">
        <f t="shared" si="274"/>
        <v>#NUM!</v>
      </c>
      <c r="BK186" s="95">
        <v>42011</v>
      </c>
      <c r="BL186" s="96">
        <v>107</v>
      </c>
      <c r="CY186" s="108" t="str">
        <f t="shared" si="275"/>
        <v/>
      </c>
      <c r="CZ186" s="109" t="str">
        <f t="shared" si="276"/>
        <v/>
      </c>
      <c r="DA186" s="109" t="str">
        <f t="shared" si="277"/>
        <v/>
      </c>
      <c r="DB186" s="110" t="str">
        <f t="shared" si="426"/>
        <v/>
      </c>
      <c r="DD186" s="108" t="str">
        <f t="shared" si="278"/>
        <v/>
      </c>
      <c r="DE186" s="109" t="str">
        <f t="shared" si="352"/>
        <v/>
      </c>
      <c r="DF186" s="109" t="str">
        <f t="shared" si="279"/>
        <v/>
      </c>
      <c r="DG186" s="110" t="str">
        <f t="shared" si="427"/>
        <v/>
      </c>
      <c r="DI186" s="108" t="str">
        <f t="shared" si="353"/>
        <v/>
      </c>
      <c r="DJ186" s="109" t="str">
        <f t="shared" si="354"/>
        <v/>
      </c>
      <c r="DK186" s="109" t="str">
        <f t="shared" si="280"/>
        <v/>
      </c>
      <c r="DL186" s="110" t="str">
        <f t="shared" si="428"/>
        <v/>
      </c>
      <c r="DN186" s="108" t="str">
        <f t="shared" si="281"/>
        <v/>
      </c>
      <c r="DO186" s="109" t="str">
        <f t="shared" si="282"/>
        <v/>
      </c>
      <c r="DP186" s="109" t="str">
        <f t="shared" si="283"/>
        <v/>
      </c>
      <c r="DQ186" s="110" t="str">
        <f t="shared" si="429"/>
        <v/>
      </c>
      <c r="DS186" s="108" t="str">
        <f t="shared" si="355"/>
        <v/>
      </c>
      <c r="DT186" s="109" t="str">
        <f t="shared" si="356"/>
        <v/>
      </c>
      <c r="DU186" s="109" t="str">
        <f t="shared" si="284"/>
        <v/>
      </c>
      <c r="DV186" s="110" t="str">
        <f t="shared" si="430"/>
        <v/>
      </c>
      <c r="DX186" s="108" t="str">
        <f t="shared" si="285"/>
        <v/>
      </c>
      <c r="DY186" s="109" t="str">
        <f t="shared" si="357"/>
        <v/>
      </c>
      <c r="DZ186" s="109" t="str">
        <f t="shared" si="286"/>
        <v/>
      </c>
      <c r="EA186" s="110" t="str">
        <f t="shared" si="431"/>
        <v/>
      </c>
      <c r="EC186" s="108" t="str">
        <f t="shared" si="358"/>
        <v/>
      </c>
      <c r="ED186" s="109" t="str">
        <f t="shared" si="359"/>
        <v/>
      </c>
      <c r="EE186" s="109" t="str">
        <f t="shared" si="287"/>
        <v/>
      </c>
      <c r="EF186" s="110" t="str">
        <f t="shared" si="432"/>
        <v/>
      </c>
      <c r="EH186" s="108" t="str">
        <f t="shared" si="288"/>
        <v/>
      </c>
      <c r="EI186" s="109" t="str">
        <f t="shared" si="360"/>
        <v/>
      </c>
      <c r="EJ186" s="109" t="str">
        <f t="shared" si="289"/>
        <v/>
      </c>
      <c r="EK186" s="110" t="str">
        <f t="shared" si="433"/>
        <v/>
      </c>
      <c r="EM186" s="108" t="str">
        <f t="shared" si="361"/>
        <v/>
      </c>
      <c r="EN186" s="109" t="str">
        <f t="shared" si="362"/>
        <v/>
      </c>
      <c r="EO186" s="109" t="str">
        <f t="shared" si="290"/>
        <v/>
      </c>
      <c r="EP186" s="110" t="str">
        <f t="shared" si="434"/>
        <v/>
      </c>
      <c r="ER186" s="108" t="str">
        <f t="shared" si="291"/>
        <v/>
      </c>
      <c r="ES186" s="109" t="str">
        <f t="shared" si="363"/>
        <v/>
      </c>
      <c r="ET186" s="109" t="str">
        <f t="shared" si="292"/>
        <v/>
      </c>
      <c r="EU186" s="110" t="str">
        <f t="shared" si="435"/>
        <v/>
      </c>
      <c r="EW186" s="108" t="str">
        <f t="shared" si="364"/>
        <v/>
      </c>
      <c r="EX186" s="109" t="str">
        <f t="shared" si="365"/>
        <v/>
      </c>
      <c r="EY186" s="109" t="str">
        <f t="shared" si="293"/>
        <v/>
      </c>
      <c r="EZ186" s="110" t="str">
        <f t="shared" si="436"/>
        <v/>
      </c>
      <c r="FB186" s="108" t="str">
        <f t="shared" si="294"/>
        <v/>
      </c>
      <c r="FC186" s="109" t="str">
        <f t="shared" si="366"/>
        <v/>
      </c>
      <c r="FD186" s="109" t="str">
        <f t="shared" si="295"/>
        <v/>
      </c>
      <c r="FE186" s="110" t="str">
        <f t="shared" si="437"/>
        <v/>
      </c>
      <c r="FG186" s="108" t="str">
        <f t="shared" si="367"/>
        <v/>
      </c>
      <c r="FH186" s="109" t="str">
        <f t="shared" si="368"/>
        <v/>
      </c>
      <c r="FI186" s="109" t="str">
        <f t="shared" si="296"/>
        <v/>
      </c>
      <c r="FJ186" s="110" t="str">
        <f t="shared" si="438"/>
        <v/>
      </c>
      <c r="FL186" s="108" t="str">
        <f t="shared" si="297"/>
        <v/>
      </c>
      <c r="FM186" s="109" t="str">
        <f t="shared" si="369"/>
        <v/>
      </c>
      <c r="FN186" s="109" t="str">
        <f t="shared" si="298"/>
        <v/>
      </c>
      <c r="FO186" s="110" t="str">
        <f t="shared" si="439"/>
        <v/>
      </c>
      <c r="FQ186" s="108" t="str">
        <f t="shared" si="370"/>
        <v/>
      </c>
      <c r="FR186" s="109" t="str">
        <f t="shared" si="371"/>
        <v/>
      </c>
      <c r="FS186" s="109" t="str">
        <f t="shared" si="299"/>
        <v/>
      </c>
      <c r="FT186" s="110" t="str">
        <f t="shared" si="440"/>
        <v/>
      </c>
      <c r="FV186" s="108" t="str">
        <f t="shared" si="300"/>
        <v/>
      </c>
      <c r="FW186" s="109" t="str">
        <f t="shared" si="372"/>
        <v/>
      </c>
      <c r="FX186" s="109" t="str">
        <f t="shared" si="301"/>
        <v/>
      </c>
      <c r="FY186" s="110" t="str">
        <f t="shared" si="441"/>
        <v/>
      </c>
      <c r="GA186" s="108" t="str">
        <f t="shared" si="373"/>
        <v/>
      </c>
      <c r="GB186" s="109" t="str">
        <f t="shared" si="374"/>
        <v/>
      </c>
      <c r="GC186" s="109" t="str">
        <f t="shared" si="302"/>
        <v/>
      </c>
      <c r="GD186" s="110" t="str">
        <f t="shared" si="442"/>
        <v/>
      </c>
      <c r="GF186" s="108" t="str">
        <f t="shared" si="303"/>
        <v/>
      </c>
      <c r="GG186" s="109" t="str">
        <f t="shared" si="375"/>
        <v/>
      </c>
      <c r="GH186" s="109" t="str">
        <f t="shared" si="304"/>
        <v/>
      </c>
      <c r="GI186" s="110" t="str">
        <f t="shared" si="443"/>
        <v/>
      </c>
      <c r="GK186" s="108" t="str">
        <f t="shared" si="376"/>
        <v/>
      </c>
      <c r="GL186" s="109" t="str">
        <f t="shared" si="377"/>
        <v/>
      </c>
      <c r="GM186" s="109" t="str">
        <f t="shared" si="378"/>
        <v/>
      </c>
      <c r="GN186" s="110" t="str">
        <f t="shared" si="444"/>
        <v/>
      </c>
      <c r="GR186" s="108" t="str">
        <f t="shared" si="305"/>
        <v/>
      </c>
      <c r="GS186" s="109" t="str">
        <f t="shared" si="306"/>
        <v/>
      </c>
      <c r="GT186" s="109" t="str">
        <f t="shared" si="307"/>
        <v/>
      </c>
      <c r="GU186" s="110" t="str">
        <f t="shared" si="308"/>
        <v/>
      </c>
      <c r="GV186" s="51"/>
      <c r="GW186" s="108" t="str">
        <f t="shared" si="309"/>
        <v/>
      </c>
      <c r="GX186" s="109" t="str">
        <f t="shared" si="379"/>
        <v/>
      </c>
      <c r="GY186" s="109" t="str">
        <f t="shared" si="310"/>
        <v/>
      </c>
      <c r="GZ186" s="110" t="str">
        <f t="shared" si="311"/>
        <v/>
      </c>
      <c r="HA186" s="51"/>
      <c r="HB186" s="108" t="str">
        <f t="shared" si="380"/>
        <v/>
      </c>
      <c r="HC186" s="109" t="str">
        <f t="shared" si="381"/>
        <v/>
      </c>
      <c r="HD186" s="109" t="str">
        <f t="shared" si="312"/>
        <v/>
      </c>
      <c r="HE186" s="110" t="str">
        <f t="shared" si="382"/>
        <v/>
      </c>
      <c r="HF186" s="51"/>
      <c r="HG186" s="108" t="str">
        <f t="shared" si="313"/>
        <v/>
      </c>
      <c r="HH186" s="109" t="str">
        <f t="shared" si="383"/>
        <v/>
      </c>
      <c r="HI186" s="109" t="str">
        <f t="shared" si="314"/>
        <v/>
      </c>
      <c r="HJ186" s="110" t="str">
        <f t="shared" si="417"/>
        <v/>
      </c>
      <c r="HK186" s="51"/>
      <c r="HL186" s="108" t="str">
        <f t="shared" si="384"/>
        <v/>
      </c>
      <c r="HM186" s="109" t="str">
        <f t="shared" si="385"/>
        <v/>
      </c>
      <c r="HN186" s="109" t="str">
        <f t="shared" si="315"/>
        <v/>
      </c>
      <c r="HO186" s="110" t="str">
        <f t="shared" si="386"/>
        <v/>
      </c>
      <c r="HP186" s="51"/>
      <c r="HQ186" s="108" t="str">
        <f t="shared" si="316"/>
        <v/>
      </c>
      <c r="HR186" s="109" t="str">
        <f t="shared" si="387"/>
        <v/>
      </c>
      <c r="HS186" s="109" t="str">
        <f t="shared" si="317"/>
        <v/>
      </c>
      <c r="HT186" s="110" t="str">
        <f t="shared" si="418"/>
        <v/>
      </c>
      <c r="HU186" s="51"/>
      <c r="HV186" s="108" t="str">
        <f t="shared" si="388"/>
        <v/>
      </c>
      <c r="HW186" s="109" t="str">
        <f t="shared" si="389"/>
        <v/>
      </c>
      <c r="HX186" s="109" t="str">
        <f t="shared" si="318"/>
        <v/>
      </c>
      <c r="HY186" s="110" t="str">
        <f t="shared" si="390"/>
        <v/>
      </c>
      <c r="HZ186" s="51"/>
      <c r="IA186" s="108" t="str">
        <f t="shared" si="319"/>
        <v/>
      </c>
      <c r="IB186" s="109" t="str">
        <f t="shared" si="391"/>
        <v/>
      </c>
      <c r="IC186" s="109" t="str">
        <f t="shared" si="320"/>
        <v/>
      </c>
      <c r="ID186" s="110" t="str">
        <f t="shared" si="419"/>
        <v/>
      </c>
      <c r="IE186" s="51"/>
      <c r="IF186" s="108" t="str">
        <f t="shared" si="392"/>
        <v/>
      </c>
      <c r="IG186" s="109" t="str">
        <f t="shared" si="393"/>
        <v/>
      </c>
      <c r="IH186" s="109" t="str">
        <f t="shared" si="321"/>
        <v/>
      </c>
      <c r="II186" s="110" t="str">
        <f t="shared" si="394"/>
        <v/>
      </c>
      <c r="IJ186" s="51"/>
      <c r="IK186" s="108" t="str">
        <f t="shared" si="322"/>
        <v/>
      </c>
      <c r="IL186" s="109" t="str">
        <f t="shared" si="395"/>
        <v/>
      </c>
      <c r="IM186" s="109" t="str">
        <f t="shared" si="323"/>
        <v/>
      </c>
      <c r="IN186" s="110" t="str">
        <f t="shared" si="420"/>
        <v/>
      </c>
      <c r="IO186" s="51"/>
      <c r="IP186" s="108" t="str">
        <f t="shared" si="396"/>
        <v/>
      </c>
      <c r="IQ186" s="109" t="str">
        <f t="shared" si="397"/>
        <v/>
      </c>
      <c r="IR186" s="109" t="str">
        <f t="shared" si="324"/>
        <v/>
      </c>
      <c r="IS186" s="110" t="str">
        <f t="shared" si="398"/>
        <v/>
      </c>
      <c r="IT186" s="51"/>
      <c r="IU186" s="108" t="str">
        <f t="shared" si="325"/>
        <v/>
      </c>
      <c r="IV186" s="109" t="str">
        <f t="shared" si="399"/>
        <v/>
      </c>
      <c r="IW186" s="109" t="str">
        <f t="shared" si="326"/>
        <v/>
      </c>
      <c r="IX186" s="110" t="str">
        <f t="shared" si="421"/>
        <v/>
      </c>
      <c r="IY186" s="51"/>
      <c r="IZ186" s="108" t="str">
        <f t="shared" si="400"/>
        <v/>
      </c>
      <c r="JA186" s="109" t="str">
        <f t="shared" si="401"/>
        <v/>
      </c>
      <c r="JB186" s="109" t="str">
        <f t="shared" si="327"/>
        <v/>
      </c>
      <c r="JC186" s="110" t="str">
        <f t="shared" si="402"/>
        <v/>
      </c>
      <c r="JD186" s="51"/>
      <c r="JE186" s="108" t="str">
        <f t="shared" si="328"/>
        <v/>
      </c>
      <c r="JF186" s="109" t="str">
        <f t="shared" si="403"/>
        <v/>
      </c>
      <c r="JG186" s="109" t="str">
        <f t="shared" si="329"/>
        <v/>
      </c>
      <c r="JH186" s="110" t="str">
        <f t="shared" si="422"/>
        <v/>
      </c>
      <c r="JI186" s="51"/>
      <c r="JJ186" s="108" t="str">
        <f t="shared" si="404"/>
        <v/>
      </c>
      <c r="JK186" s="109" t="str">
        <f t="shared" si="405"/>
        <v/>
      </c>
      <c r="JL186" s="109" t="str">
        <f t="shared" si="330"/>
        <v/>
      </c>
      <c r="JM186" s="110" t="str">
        <f t="shared" si="406"/>
        <v/>
      </c>
      <c r="JN186" s="51"/>
      <c r="JO186" s="108" t="str">
        <f t="shared" si="331"/>
        <v/>
      </c>
      <c r="JP186" s="109" t="str">
        <f t="shared" si="407"/>
        <v/>
      </c>
      <c r="JQ186" s="109" t="str">
        <f t="shared" si="332"/>
        <v/>
      </c>
      <c r="JR186" s="110" t="str">
        <f t="shared" si="423"/>
        <v/>
      </c>
      <c r="JS186" s="51"/>
      <c r="JT186" s="108" t="str">
        <f t="shared" si="408"/>
        <v/>
      </c>
      <c r="JU186" s="109" t="str">
        <f t="shared" si="409"/>
        <v/>
      </c>
      <c r="JV186" s="109" t="str">
        <f t="shared" si="333"/>
        <v/>
      </c>
      <c r="JW186" s="110" t="str">
        <f t="shared" si="410"/>
        <v/>
      </c>
      <c r="JX186" s="51"/>
      <c r="JY186" s="108" t="str">
        <f t="shared" si="334"/>
        <v/>
      </c>
      <c r="JZ186" s="109" t="str">
        <f t="shared" si="411"/>
        <v/>
      </c>
      <c r="KA186" s="109" t="str">
        <f t="shared" si="335"/>
        <v/>
      </c>
      <c r="KB186" s="110" t="str">
        <f t="shared" si="424"/>
        <v/>
      </c>
      <c r="KC186" s="51"/>
      <c r="KD186" s="108" t="str">
        <f t="shared" si="412"/>
        <v/>
      </c>
      <c r="KE186" s="109" t="str">
        <f t="shared" si="413"/>
        <v/>
      </c>
      <c r="KF186" s="109" t="str">
        <f t="shared" si="336"/>
        <v/>
      </c>
      <c r="KG186" s="110" t="str">
        <f t="shared" si="337"/>
        <v/>
      </c>
    </row>
    <row r="187" spans="1:293" ht="12" customHeight="1">
      <c r="A187" s="105">
        <f t="array" ref="A187">MAX(IF($J$80:J186&gt;0,$C$80:C186,0))</f>
        <v>43535</v>
      </c>
      <c r="B187" s="81" t="str">
        <f t="shared" si="248"/>
        <v/>
      </c>
      <c r="C187" s="82">
        <f t="shared" si="414"/>
        <v>0</v>
      </c>
      <c r="D187" s="83" t="str">
        <f t="shared" si="249"/>
        <v/>
      </c>
      <c r="E187" s="83" t="str">
        <f t="shared" si="338"/>
        <v/>
      </c>
      <c r="F187" s="83" t="str">
        <f t="shared" si="250"/>
        <v/>
      </c>
      <c r="G187" s="83" t="str">
        <f t="shared" si="251"/>
        <v/>
      </c>
      <c r="H187" s="83" t="str">
        <f t="shared" si="252"/>
        <v/>
      </c>
      <c r="I187" s="105">
        <f t="array" ref="I187">MAX(IF($R$80:R186&gt;0,$L$80:L186,0))</f>
        <v>0</v>
      </c>
      <c r="J187" s="106"/>
      <c r="K187" s="2" t="str">
        <f t="shared" si="253"/>
        <v/>
      </c>
      <c r="L187" s="82">
        <f t="shared" si="415"/>
        <v>0</v>
      </c>
      <c r="M187" s="83" t="str">
        <f t="shared" si="254"/>
        <v/>
      </c>
      <c r="N187" s="83" t="str">
        <f t="shared" si="255"/>
        <v/>
      </c>
      <c r="O187" s="83" t="str">
        <f t="shared" si="256"/>
        <v/>
      </c>
      <c r="P187" s="83" t="str">
        <f t="shared" si="257"/>
        <v/>
      </c>
      <c r="Q187" s="83" t="str">
        <f t="shared" si="258"/>
        <v/>
      </c>
      <c r="R187" s="106"/>
      <c r="S187" s="1"/>
      <c r="U187" s="85" t="e">
        <f t="shared" si="244"/>
        <v>#NUM!</v>
      </c>
      <c r="V187" s="86" t="e">
        <f t="shared" si="339"/>
        <v>#NUM!</v>
      </c>
      <c r="W187" s="87" t="e">
        <f t="shared" si="259"/>
        <v>#NUM!</v>
      </c>
      <c r="X187" s="87" t="e">
        <f t="shared" si="260"/>
        <v>#NUM!</v>
      </c>
      <c r="Y187" s="87" t="e">
        <f t="shared" si="261"/>
        <v>#NUM!</v>
      </c>
      <c r="Z187" s="88" t="e">
        <f t="shared" si="245"/>
        <v>#NUM!</v>
      </c>
      <c r="AA187" t="s">
        <v>282</v>
      </c>
      <c r="AB187" s="89">
        <f t="shared" si="340"/>
        <v>0</v>
      </c>
      <c r="AC187" s="87">
        <f t="shared" si="262"/>
        <v>0</v>
      </c>
      <c r="AD187" s="87" t="str">
        <f t="shared" si="263"/>
        <v/>
      </c>
      <c r="AE187" s="87" t="str">
        <f t="shared" si="264"/>
        <v/>
      </c>
      <c r="AF187" s="86">
        <f t="shared" si="341"/>
        <v>0</v>
      </c>
      <c r="AG187" s="87">
        <f t="shared" si="246"/>
        <v>0</v>
      </c>
      <c r="AH187" s="87">
        <f t="shared" si="342"/>
        <v>0</v>
      </c>
      <c r="AI187" s="90"/>
      <c r="AJ187" s="87" t="e">
        <f t="shared" si="265"/>
        <v>#NUM!</v>
      </c>
      <c r="AK187" s="87" t="e">
        <f t="shared" si="343"/>
        <v>#NUM!</v>
      </c>
      <c r="AL187" s="87" t="e">
        <f t="shared" si="344"/>
        <v>#NUM!</v>
      </c>
      <c r="AM187" s="87" t="e">
        <f t="shared" si="345"/>
        <v>#NUM!</v>
      </c>
      <c r="AN187" s="86">
        <f t="shared" si="266"/>
        <v>0</v>
      </c>
      <c r="AO187" s="87">
        <f t="shared" si="267"/>
        <v>0</v>
      </c>
      <c r="AP187" s="88">
        <f t="shared" si="268"/>
        <v>0</v>
      </c>
      <c r="AR187" s="91">
        <f t="shared" si="269"/>
        <v>0</v>
      </c>
      <c r="AS187" s="92">
        <f t="shared" si="270"/>
        <v>0</v>
      </c>
      <c r="AT187" s="87" t="str">
        <f t="shared" si="271"/>
        <v/>
      </c>
      <c r="AU187" s="87" t="str">
        <f t="shared" si="272"/>
        <v/>
      </c>
      <c r="AV187" s="86">
        <f t="shared" si="346"/>
        <v>0</v>
      </c>
      <c r="AW187" s="87">
        <f t="shared" si="347"/>
        <v>0</v>
      </c>
      <c r="AX187" s="87">
        <f t="shared" si="348"/>
        <v>0</v>
      </c>
      <c r="AY187" s="93"/>
      <c r="AZ187" s="87">
        <f t="shared" si="425"/>
        <v>0</v>
      </c>
      <c r="BA187" s="87">
        <f t="shared" si="349"/>
        <v>0</v>
      </c>
      <c r="BB187" s="87">
        <f t="shared" si="350"/>
        <v>0</v>
      </c>
      <c r="BC187" s="87">
        <f t="shared" si="416"/>
        <v>0</v>
      </c>
      <c r="BD187" s="86" t="e">
        <f t="shared" si="273"/>
        <v>#NUM!</v>
      </c>
      <c r="BE187" s="87" t="e">
        <f t="shared" si="247"/>
        <v>#NUM!</v>
      </c>
      <c r="BF187" s="88">
        <f t="shared" si="351"/>
        <v>0</v>
      </c>
      <c r="BH187" s="87" t="e">
        <f t="shared" si="274"/>
        <v>#NUM!</v>
      </c>
      <c r="BK187" s="95">
        <v>42023</v>
      </c>
      <c r="BL187" s="96">
        <v>108</v>
      </c>
      <c r="CY187" s="108" t="str">
        <f t="shared" si="275"/>
        <v/>
      </c>
      <c r="CZ187" s="109" t="str">
        <f t="shared" si="276"/>
        <v/>
      </c>
      <c r="DA187" s="109" t="str">
        <f t="shared" si="277"/>
        <v/>
      </c>
      <c r="DB187" s="110" t="str">
        <f t="shared" si="426"/>
        <v/>
      </c>
      <c r="DD187" s="108" t="str">
        <f t="shared" si="278"/>
        <v/>
      </c>
      <c r="DE187" s="109" t="str">
        <f t="shared" si="352"/>
        <v/>
      </c>
      <c r="DF187" s="109" t="str">
        <f t="shared" si="279"/>
        <v/>
      </c>
      <c r="DG187" s="110" t="str">
        <f t="shared" si="427"/>
        <v/>
      </c>
      <c r="DI187" s="108" t="str">
        <f t="shared" si="353"/>
        <v/>
      </c>
      <c r="DJ187" s="109" t="str">
        <f t="shared" si="354"/>
        <v/>
      </c>
      <c r="DK187" s="109" t="str">
        <f t="shared" si="280"/>
        <v/>
      </c>
      <c r="DL187" s="110" t="str">
        <f t="shared" si="428"/>
        <v/>
      </c>
      <c r="DN187" s="108" t="str">
        <f t="shared" si="281"/>
        <v/>
      </c>
      <c r="DO187" s="109" t="str">
        <f t="shared" si="282"/>
        <v/>
      </c>
      <c r="DP187" s="109" t="str">
        <f t="shared" si="283"/>
        <v/>
      </c>
      <c r="DQ187" s="110" t="str">
        <f t="shared" si="429"/>
        <v/>
      </c>
      <c r="DS187" s="108" t="str">
        <f t="shared" si="355"/>
        <v/>
      </c>
      <c r="DT187" s="109" t="str">
        <f t="shared" si="356"/>
        <v/>
      </c>
      <c r="DU187" s="109" t="str">
        <f t="shared" si="284"/>
        <v/>
      </c>
      <c r="DV187" s="110" t="str">
        <f t="shared" si="430"/>
        <v/>
      </c>
      <c r="DX187" s="108" t="str">
        <f t="shared" si="285"/>
        <v/>
      </c>
      <c r="DY187" s="109" t="str">
        <f t="shared" si="357"/>
        <v/>
      </c>
      <c r="DZ187" s="109" t="str">
        <f t="shared" si="286"/>
        <v/>
      </c>
      <c r="EA187" s="110" t="str">
        <f t="shared" si="431"/>
        <v/>
      </c>
      <c r="EC187" s="108" t="str">
        <f t="shared" si="358"/>
        <v/>
      </c>
      <c r="ED187" s="109" t="str">
        <f t="shared" si="359"/>
        <v/>
      </c>
      <c r="EE187" s="109" t="str">
        <f t="shared" si="287"/>
        <v/>
      </c>
      <c r="EF187" s="110" t="str">
        <f t="shared" si="432"/>
        <v/>
      </c>
      <c r="EH187" s="108" t="str">
        <f t="shared" si="288"/>
        <v/>
      </c>
      <c r="EI187" s="109" t="str">
        <f t="shared" si="360"/>
        <v/>
      </c>
      <c r="EJ187" s="109" t="str">
        <f t="shared" si="289"/>
        <v/>
      </c>
      <c r="EK187" s="110" t="str">
        <f t="shared" si="433"/>
        <v/>
      </c>
      <c r="EM187" s="108" t="str">
        <f t="shared" si="361"/>
        <v/>
      </c>
      <c r="EN187" s="109" t="str">
        <f t="shared" si="362"/>
        <v/>
      </c>
      <c r="EO187" s="109" t="str">
        <f t="shared" si="290"/>
        <v/>
      </c>
      <c r="EP187" s="110" t="str">
        <f t="shared" si="434"/>
        <v/>
      </c>
      <c r="ER187" s="108" t="str">
        <f t="shared" si="291"/>
        <v/>
      </c>
      <c r="ES187" s="109" t="str">
        <f t="shared" si="363"/>
        <v/>
      </c>
      <c r="ET187" s="109" t="str">
        <f t="shared" si="292"/>
        <v/>
      </c>
      <c r="EU187" s="110" t="str">
        <f t="shared" si="435"/>
        <v/>
      </c>
      <c r="EW187" s="108" t="str">
        <f t="shared" si="364"/>
        <v/>
      </c>
      <c r="EX187" s="109" t="str">
        <f t="shared" si="365"/>
        <v/>
      </c>
      <c r="EY187" s="109" t="str">
        <f t="shared" si="293"/>
        <v/>
      </c>
      <c r="EZ187" s="110" t="str">
        <f t="shared" si="436"/>
        <v/>
      </c>
      <c r="FB187" s="108" t="str">
        <f t="shared" si="294"/>
        <v/>
      </c>
      <c r="FC187" s="109" t="str">
        <f t="shared" si="366"/>
        <v/>
      </c>
      <c r="FD187" s="109" t="str">
        <f t="shared" si="295"/>
        <v/>
      </c>
      <c r="FE187" s="110" t="str">
        <f t="shared" si="437"/>
        <v/>
      </c>
      <c r="FG187" s="108" t="str">
        <f t="shared" si="367"/>
        <v/>
      </c>
      <c r="FH187" s="109" t="str">
        <f t="shared" si="368"/>
        <v/>
      </c>
      <c r="FI187" s="109" t="str">
        <f t="shared" si="296"/>
        <v/>
      </c>
      <c r="FJ187" s="110" t="str">
        <f t="shared" si="438"/>
        <v/>
      </c>
      <c r="FL187" s="108" t="str">
        <f t="shared" si="297"/>
        <v/>
      </c>
      <c r="FM187" s="109" t="str">
        <f t="shared" si="369"/>
        <v/>
      </c>
      <c r="FN187" s="109" t="str">
        <f t="shared" si="298"/>
        <v/>
      </c>
      <c r="FO187" s="110" t="str">
        <f t="shared" si="439"/>
        <v/>
      </c>
      <c r="FQ187" s="108" t="str">
        <f t="shared" si="370"/>
        <v/>
      </c>
      <c r="FR187" s="109" t="str">
        <f t="shared" si="371"/>
        <v/>
      </c>
      <c r="FS187" s="109" t="str">
        <f t="shared" si="299"/>
        <v/>
      </c>
      <c r="FT187" s="110" t="str">
        <f t="shared" si="440"/>
        <v/>
      </c>
      <c r="FV187" s="108" t="str">
        <f t="shared" si="300"/>
        <v/>
      </c>
      <c r="FW187" s="109" t="str">
        <f t="shared" si="372"/>
        <v/>
      </c>
      <c r="FX187" s="109" t="str">
        <f t="shared" si="301"/>
        <v/>
      </c>
      <c r="FY187" s="110" t="str">
        <f t="shared" si="441"/>
        <v/>
      </c>
      <c r="GA187" s="108" t="str">
        <f t="shared" si="373"/>
        <v/>
      </c>
      <c r="GB187" s="109" t="str">
        <f t="shared" si="374"/>
        <v/>
      </c>
      <c r="GC187" s="109" t="str">
        <f t="shared" si="302"/>
        <v/>
      </c>
      <c r="GD187" s="110" t="str">
        <f t="shared" si="442"/>
        <v/>
      </c>
      <c r="GF187" s="108" t="str">
        <f t="shared" si="303"/>
        <v/>
      </c>
      <c r="GG187" s="109" t="str">
        <f t="shared" si="375"/>
        <v/>
      </c>
      <c r="GH187" s="109" t="str">
        <f t="shared" si="304"/>
        <v/>
      </c>
      <c r="GI187" s="110" t="str">
        <f t="shared" si="443"/>
        <v/>
      </c>
      <c r="GK187" s="108" t="str">
        <f t="shared" si="376"/>
        <v/>
      </c>
      <c r="GL187" s="109" t="str">
        <f t="shared" si="377"/>
        <v/>
      </c>
      <c r="GM187" s="109" t="str">
        <f t="shared" si="378"/>
        <v/>
      </c>
      <c r="GN187" s="110" t="str">
        <f t="shared" si="444"/>
        <v/>
      </c>
      <c r="GR187" s="108" t="str">
        <f t="shared" si="305"/>
        <v/>
      </c>
      <c r="GS187" s="109" t="str">
        <f t="shared" si="306"/>
        <v/>
      </c>
      <c r="GT187" s="109" t="str">
        <f t="shared" si="307"/>
        <v/>
      </c>
      <c r="GU187" s="110" t="str">
        <f t="shared" si="308"/>
        <v/>
      </c>
      <c r="GV187" s="51"/>
      <c r="GW187" s="108" t="str">
        <f t="shared" si="309"/>
        <v/>
      </c>
      <c r="GX187" s="109" t="str">
        <f t="shared" si="379"/>
        <v/>
      </c>
      <c r="GY187" s="109" t="str">
        <f t="shared" si="310"/>
        <v/>
      </c>
      <c r="GZ187" s="110" t="str">
        <f t="shared" si="311"/>
        <v/>
      </c>
      <c r="HA187" s="51"/>
      <c r="HB187" s="108" t="str">
        <f t="shared" si="380"/>
        <v/>
      </c>
      <c r="HC187" s="109" t="str">
        <f t="shared" si="381"/>
        <v/>
      </c>
      <c r="HD187" s="109" t="str">
        <f t="shared" si="312"/>
        <v/>
      </c>
      <c r="HE187" s="110" t="str">
        <f t="shared" si="382"/>
        <v/>
      </c>
      <c r="HF187" s="51"/>
      <c r="HG187" s="108" t="str">
        <f t="shared" si="313"/>
        <v/>
      </c>
      <c r="HH187" s="109" t="str">
        <f t="shared" si="383"/>
        <v/>
      </c>
      <c r="HI187" s="109" t="str">
        <f t="shared" si="314"/>
        <v/>
      </c>
      <c r="HJ187" s="110" t="str">
        <f t="shared" si="417"/>
        <v/>
      </c>
      <c r="HK187" s="51"/>
      <c r="HL187" s="108" t="str">
        <f t="shared" si="384"/>
        <v/>
      </c>
      <c r="HM187" s="109" t="str">
        <f t="shared" si="385"/>
        <v/>
      </c>
      <c r="HN187" s="109" t="str">
        <f t="shared" si="315"/>
        <v/>
      </c>
      <c r="HO187" s="110" t="str">
        <f t="shared" si="386"/>
        <v/>
      </c>
      <c r="HP187" s="51"/>
      <c r="HQ187" s="108" t="str">
        <f t="shared" si="316"/>
        <v/>
      </c>
      <c r="HR187" s="109" t="str">
        <f t="shared" si="387"/>
        <v/>
      </c>
      <c r="HS187" s="109" t="str">
        <f t="shared" si="317"/>
        <v/>
      </c>
      <c r="HT187" s="110" t="str">
        <f t="shared" si="418"/>
        <v/>
      </c>
      <c r="HU187" s="51"/>
      <c r="HV187" s="108" t="str">
        <f t="shared" si="388"/>
        <v/>
      </c>
      <c r="HW187" s="109" t="str">
        <f t="shared" si="389"/>
        <v/>
      </c>
      <c r="HX187" s="109" t="str">
        <f t="shared" si="318"/>
        <v/>
      </c>
      <c r="HY187" s="110" t="str">
        <f t="shared" si="390"/>
        <v/>
      </c>
      <c r="HZ187" s="51"/>
      <c r="IA187" s="108" t="str">
        <f t="shared" si="319"/>
        <v/>
      </c>
      <c r="IB187" s="109" t="str">
        <f t="shared" si="391"/>
        <v/>
      </c>
      <c r="IC187" s="109" t="str">
        <f t="shared" si="320"/>
        <v/>
      </c>
      <c r="ID187" s="110" t="str">
        <f t="shared" si="419"/>
        <v/>
      </c>
      <c r="IE187" s="51"/>
      <c r="IF187" s="108" t="str">
        <f t="shared" si="392"/>
        <v/>
      </c>
      <c r="IG187" s="109" t="str">
        <f t="shared" si="393"/>
        <v/>
      </c>
      <c r="IH187" s="109" t="str">
        <f t="shared" si="321"/>
        <v/>
      </c>
      <c r="II187" s="110" t="str">
        <f t="shared" si="394"/>
        <v/>
      </c>
      <c r="IJ187" s="51"/>
      <c r="IK187" s="108" t="str">
        <f t="shared" si="322"/>
        <v/>
      </c>
      <c r="IL187" s="109" t="str">
        <f t="shared" si="395"/>
        <v/>
      </c>
      <c r="IM187" s="109" t="str">
        <f t="shared" si="323"/>
        <v/>
      </c>
      <c r="IN187" s="110" t="str">
        <f t="shared" si="420"/>
        <v/>
      </c>
      <c r="IO187" s="51"/>
      <c r="IP187" s="108" t="str">
        <f t="shared" si="396"/>
        <v/>
      </c>
      <c r="IQ187" s="109" t="str">
        <f t="shared" si="397"/>
        <v/>
      </c>
      <c r="IR187" s="109" t="str">
        <f t="shared" si="324"/>
        <v/>
      </c>
      <c r="IS187" s="110" t="str">
        <f t="shared" si="398"/>
        <v/>
      </c>
      <c r="IT187" s="51"/>
      <c r="IU187" s="108" t="str">
        <f t="shared" si="325"/>
        <v/>
      </c>
      <c r="IV187" s="109" t="str">
        <f t="shared" si="399"/>
        <v/>
      </c>
      <c r="IW187" s="109" t="str">
        <f t="shared" si="326"/>
        <v/>
      </c>
      <c r="IX187" s="110" t="str">
        <f t="shared" si="421"/>
        <v/>
      </c>
      <c r="IY187" s="51"/>
      <c r="IZ187" s="108" t="str">
        <f t="shared" si="400"/>
        <v/>
      </c>
      <c r="JA187" s="109" t="str">
        <f t="shared" si="401"/>
        <v/>
      </c>
      <c r="JB187" s="109" t="str">
        <f t="shared" si="327"/>
        <v/>
      </c>
      <c r="JC187" s="110" t="str">
        <f t="shared" si="402"/>
        <v/>
      </c>
      <c r="JD187" s="51"/>
      <c r="JE187" s="108" t="str">
        <f t="shared" si="328"/>
        <v/>
      </c>
      <c r="JF187" s="109" t="str">
        <f t="shared" si="403"/>
        <v/>
      </c>
      <c r="JG187" s="109" t="str">
        <f t="shared" si="329"/>
        <v/>
      </c>
      <c r="JH187" s="110" t="str">
        <f t="shared" si="422"/>
        <v/>
      </c>
      <c r="JI187" s="51"/>
      <c r="JJ187" s="108" t="str">
        <f t="shared" si="404"/>
        <v/>
      </c>
      <c r="JK187" s="109" t="str">
        <f t="shared" si="405"/>
        <v/>
      </c>
      <c r="JL187" s="109" t="str">
        <f t="shared" si="330"/>
        <v/>
      </c>
      <c r="JM187" s="110" t="str">
        <f t="shared" si="406"/>
        <v/>
      </c>
      <c r="JN187" s="51"/>
      <c r="JO187" s="108" t="str">
        <f t="shared" si="331"/>
        <v/>
      </c>
      <c r="JP187" s="109" t="str">
        <f t="shared" si="407"/>
        <v/>
      </c>
      <c r="JQ187" s="109" t="str">
        <f t="shared" si="332"/>
        <v/>
      </c>
      <c r="JR187" s="110" t="str">
        <f t="shared" si="423"/>
        <v/>
      </c>
      <c r="JS187" s="51"/>
      <c r="JT187" s="108" t="str">
        <f t="shared" si="408"/>
        <v/>
      </c>
      <c r="JU187" s="109" t="str">
        <f t="shared" si="409"/>
        <v/>
      </c>
      <c r="JV187" s="109" t="str">
        <f t="shared" si="333"/>
        <v/>
      </c>
      <c r="JW187" s="110" t="str">
        <f t="shared" si="410"/>
        <v/>
      </c>
      <c r="JX187" s="51"/>
      <c r="JY187" s="108" t="str">
        <f t="shared" si="334"/>
        <v/>
      </c>
      <c r="JZ187" s="109" t="str">
        <f t="shared" si="411"/>
        <v/>
      </c>
      <c r="KA187" s="109" t="str">
        <f t="shared" si="335"/>
        <v/>
      </c>
      <c r="KB187" s="110" t="str">
        <f t="shared" si="424"/>
        <v/>
      </c>
      <c r="KC187" s="51"/>
      <c r="KD187" s="108" t="str">
        <f t="shared" si="412"/>
        <v/>
      </c>
      <c r="KE187" s="109" t="str">
        <f t="shared" si="413"/>
        <v/>
      </c>
      <c r="KF187" s="109" t="str">
        <f t="shared" si="336"/>
        <v/>
      </c>
      <c r="KG187" s="110" t="str">
        <f t="shared" si="337"/>
        <v/>
      </c>
    </row>
    <row r="188" spans="1:293" ht="12" customHeight="1">
      <c r="A188" s="105">
        <f t="array" ref="A188">MAX(IF($J$80:J187&gt;0,$C$80:C187,0))</f>
        <v>43535</v>
      </c>
      <c r="B188" s="81" t="str">
        <f t="shared" si="248"/>
        <v/>
      </c>
      <c r="C188" s="82">
        <f t="shared" si="414"/>
        <v>0</v>
      </c>
      <c r="D188" s="83" t="str">
        <f t="shared" si="249"/>
        <v/>
      </c>
      <c r="E188" s="83" t="str">
        <f t="shared" si="338"/>
        <v/>
      </c>
      <c r="F188" s="83" t="str">
        <f t="shared" si="250"/>
        <v/>
      </c>
      <c r="G188" s="83" t="str">
        <f t="shared" si="251"/>
        <v/>
      </c>
      <c r="H188" s="83" t="str">
        <f t="shared" si="252"/>
        <v/>
      </c>
      <c r="I188" s="105">
        <f t="array" ref="I188">MAX(IF($R$80:R187&gt;0,$L$80:L187,0))</f>
        <v>0</v>
      </c>
      <c r="J188" s="106"/>
      <c r="K188" s="2" t="str">
        <f t="shared" si="253"/>
        <v/>
      </c>
      <c r="L188" s="82">
        <f t="shared" si="415"/>
        <v>0</v>
      </c>
      <c r="M188" s="83" t="str">
        <f t="shared" si="254"/>
        <v/>
      </c>
      <c r="N188" s="83" t="str">
        <f t="shared" si="255"/>
        <v/>
      </c>
      <c r="O188" s="83" t="str">
        <f t="shared" si="256"/>
        <v/>
      </c>
      <c r="P188" s="83" t="str">
        <f t="shared" si="257"/>
        <v/>
      </c>
      <c r="Q188" s="83" t="str">
        <f t="shared" si="258"/>
        <v/>
      </c>
      <c r="R188" s="106"/>
      <c r="S188" s="1"/>
      <c r="U188" s="85" t="e">
        <f t="shared" si="244"/>
        <v>#NUM!</v>
      </c>
      <c r="V188" s="86" t="e">
        <f t="shared" si="339"/>
        <v>#NUM!</v>
      </c>
      <c r="W188" s="87" t="e">
        <f t="shared" si="259"/>
        <v>#NUM!</v>
      </c>
      <c r="X188" s="87" t="e">
        <f t="shared" si="260"/>
        <v>#NUM!</v>
      </c>
      <c r="Y188" s="87" t="e">
        <f t="shared" si="261"/>
        <v>#NUM!</v>
      </c>
      <c r="Z188" s="88" t="e">
        <f t="shared" si="245"/>
        <v>#NUM!</v>
      </c>
      <c r="AA188" t="s">
        <v>282</v>
      </c>
      <c r="AB188" s="89">
        <f t="shared" si="340"/>
        <v>0</v>
      </c>
      <c r="AC188" s="87">
        <f t="shared" si="262"/>
        <v>0</v>
      </c>
      <c r="AD188" s="87" t="str">
        <f t="shared" si="263"/>
        <v/>
      </c>
      <c r="AE188" s="87" t="str">
        <f t="shared" si="264"/>
        <v/>
      </c>
      <c r="AF188" s="86">
        <f t="shared" si="341"/>
        <v>0</v>
      </c>
      <c r="AG188" s="87">
        <f t="shared" si="246"/>
        <v>0</v>
      </c>
      <c r="AH188" s="87">
        <f t="shared" si="342"/>
        <v>0</v>
      </c>
      <c r="AI188" s="90"/>
      <c r="AJ188" s="87" t="e">
        <f t="shared" si="265"/>
        <v>#NUM!</v>
      </c>
      <c r="AK188" s="87" t="e">
        <f t="shared" si="343"/>
        <v>#NUM!</v>
      </c>
      <c r="AL188" s="87" t="e">
        <f t="shared" si="344"/>
        <v>#NUM!</v>
      </c>
      <c r="AM188" s="87" t="e">
        <f t="shared" si="345"/>
        <v>#NUM!</v>
      </c>
      <c r="AN188" s="86">
        <f t="shared" si="266"/>
        <v>0</v>
      </c>
      <c r="AO188" s="87">
        <f t="shared" si="267"/>
        <v>0</v>
      </c>
      <c r="AP188" s="88">
        <f t="shared" si="268"/>
        <v>0</v>
      </c>
      <c r="AR188" s="91">
        <f t="shared" si="269"/>
        <v>0</v>
      </c>
      <c r="AS188" s="92">
        <f t="shared" si="270"/>
        <v>0</v>
      </c>
      <c r="AT188" s="87" t="str">
        <f t="shared" si="271"/>
        <v/>
      </c>
      <c r="AU188" s="87" t="str">
        <f t="shared" si="272"/>
        <v/>
      </c>
      <c r="AV188" s="86">
        <f t="shared" si="346"/>
        <v>0</v>
      </c>
      <c r="AW188" s="87">
        <f t="shared" si="347"/>
        <v>0</v>
      </c>
      <c r="AX188" s="87">
        <f t="shared" si="348"/>
        <v>0</v>
      </c>
      <c r="AY188" s="93"/>
      <c r="AZ188" s="87">
        <f t="shared" si="425"/>
        <v>0</v>
      </c>
      <c r="BA188" s="87">
        <f t="shared" si="349"/>
        <v>0</v>
      </c>
      <c r="BB188" s="87">
        <f t="shared" si="350"/>
        <v>0</v>
      </c>
      <c r="BC188" s="87">
        <f t="shared" si="416"/>
        <v>0</v>
      </c>
      <c r="BD188" s="86" t="e">
        <f t="shared" si="273"/>
        <v>#NUM!</v>
      </c>
      <c r="BE188" s="87" t="e">
        <f t="shared" si="247"/>
        <v>#NUM!</v>
      </c>
      <c r="BF188" s="88">
        <f t="shared" si="351"/>
        <v>0</v>
      </c>
      <c r="BH188" s="87" t="e">
        <f t="shared" si="274"/>
        <v>#NUM!</v>
      </c>
      <c r="BK188" s="95">
        <v>42066</v>
      </c>
      <c r="BL188" s="96">
        <v>109</v>
      </c>
      <c r="CY188" s="108" t="str">
        <f t="shared" si="275"/>
        <v/>
      </c>
      <c r="CZ188" s="109" t="str">
        <f t="shared" si="276"/>
        <v/>
      </c>
      <c r="DA188" s="109" t="str">
        <f t="shared" si="277"/>
        <v/>
      </c>
      <c r="DB188" s="110" t="str">
        <f t="shared" si="426"/>
        <v/>
      </c>
      <c r="DD188" s="108" t="str">
        <f t="shared" si="278"/>
        <v/>
      </c>
      <c r="DE188" s="109" t="str">
        <f t="shared" si="352"/>
        <v/>
      </c>
      <c r="DF188" s="109" t="str">
        <f t="shared" si="279"/>
        <v/>
      </c>
      <c r="DG188" s="110" t="str">
        <f t="shared" si="427"/>
        <v/>
      </c>
      <c r="DI188" s="108" t="str">
        <f t="shared" si="353"/>
        <v/>
      </c>
      <c r="DJ188" s="109" t="str">
        <f t="shared" si="354"/>
        <v/>
      </c>
      <c r="DK188" s="109" t="str">
        <f t="shared" si="280"/>
        <v/>
      </c>
      <c r="DL188" s="110" t="str">
        <f t="shared" si="428"/>
        <v/>
      </c>
      <c r="DN188" s="108" t="str">
        <f t="shared" si="281"/>
        <v/>
      </c>
      <c r="DO188" s="109" t="str">
        <f t="shared" si="282"/>
        <v/>
      </c>
      <c r="DP188" s="109" t="str">
        <f t="shared" si="283"/>
        <v/>
      </c>
      <c r="DQ188" s="110" t="str">
        <f t="shared" si="429"/>
        <v/>
      </c>
      <c r="DS188" s="108" t="str">
        <f t="shared" si="355"/>
        <v/>
      </c>
      <c r="DT188" s="109" t="str">
        <f t="shared" si="356"/>
        <v/>
      </c>
      <c r="DU188" s="109" t="str">
        <f t="shared" si="284"/>
        <v/>
      </c>
      <c r="DV188" s="110" t="str">
        <f t="shared" si="430"/>
        <v/>
      </c>
      <c r="DX188" s="108" t="str">
        <f t="shared" si="285"/>
        <v/>
      </c>
      <c r="DY188" s="109" t="str">
        <f t="shared" si="357"/>
        <v/>
      </c>
      <c r="DZ188" s="109" t="str">
        <f t="shared" si="286"/>
        <v/>
      </c>
      <c r="EA188" s="110" t="str">
        <f t="shared" si="431"/>
        <v/>
      </c>
      <c r="EC188" s="108" t="str">
        <f t="shared" si="358"/>
        <v/>
      </c>
      <c r="ED188" s="109" t="str">
        <f t="shared" si="359"/>
        <v/>
      </c>
      <c r="EE188" s="109" t="str">
        <f t="shared" si="287"/>
        <v/>
      </c>
      <c r="EF188" s="110" t="str">
        <f t="shared" si="432"/>
        <v/>
      </c>
      <c r="EH188" s="108" t="str">
        <f t="shared" si="288"/>
        <v/>
      </c>
      <c r="EI188" s="109" t="str">
        <f t="shared" si="360"/>
        <v/>
      </c>
      <c r="EJ188" s="109" t="str">
        <f t="shared" si="289"/>
        <v/>
      </c>
      <c r="EK188" s="110" t="str">
        <f t="shared" si="433"/>
        <v/>
      </c>
      <c r="EM188" s="108" t="str">
        <f t="shared" si="361"/>
        <v/>
      </c>
      <c r="EN188" s="109" t="str">
        <f t="shared" si="362"/>
        <v/>
      </c>
      <c r="EO188" s="109" t="str">
        <f t="shared" si="290"/>
        <v/>
      </c>
      <c r="EP188" s="110" t="str">
        <f t="shared" si="434"/>
        <v/>
      </c>
      <c r="ER188" s="108" t="str">
        <f t="shared" si="291"/>
        <v/>
      </c>
      <c r="ES188" s="109" t="str">
        <f t="shared" si="363"/>
        <v/>
      </c>
      <c r="ET188" s="109" t="str">
        <f t="shared" si="292"/>
        <v/>
      </c>
      <c r="EU188" s="110" t="str">
        <f t="shared" si="435"/>
        <v/>
      </c>
      <c r="EW188" s="108" t="str">
        <f t="shared" si="364"/>
        <v/>
      </c>
      <c r="EX188" s="109" t="str">
        <f t="shared" si="365"/>
        <v/>
      </c>
      <c r="EY188" s="109" t="str">
        <f t="shared" si="293"/>
        <v/>
      </c>
      <c r="EZ188" s="110" t="str">
        <f t="shared" si="436"/>
        <v/>
      </c>
      <c r="FB188" s="108" t="str">
        <f t="shared" si="294"/>
        <v/>
      </c>
      <c r="FC188" s="109" t="str">
        <f t="shared" si="366"/>
        <v/>
      </c>
      <c r="FD188" s="109" t="str">
        <f t="shared" si="295"/>
        <v/>
      </c>
      <c r="FE188" s="110" t="str">
        <f t="shared" si="437"/>
        <v/>
      </c>
      <c r="FG188" s="108" t="str">
        <f t="shared" si="367"/>
        <v/>
      </c>
      <c r="FH188" s="109" t="str">
        <f t="shared" si="368"/>
        <v/>
      </c>
      <c r="FI188" s="109" t="str">
        <f t="shared" si="296"/>
        <v/>
      </c>
      <c r="FJ188" s="110" t="str">
        <f t="shared" si="438"/>
        <v/>
      </c>
      <c r="FL188" s="108" t="str">
        <f t="shared" si="297"/>
        <v/>
      </c>
      <c r="FM188" s="109" t="str">
        <f t="shared" si="369"/>
        <v/>
      </c>
      <c r="FN188" s="109" t="str">
        <f t="shared" si="298"/>
        <v/>
      </c>
      <c r="FO188" s="110" t="str">
        <f t="shared" si="439"/>
        <v/>
      </c>
      <c r="FQ188" s="108" t="str">
        <f t="shared" si="370"/>
        <v/>
      </c>
      <c r="FR188" s="109" t="str">
        <f t="shared" si="371"/>
        <v/>
      </c>
      <c r="FS188" s="109" t="str">
        <f t="shared" si="299"/>
        <v/>
      </c>
      <c r="FT188" s="110" t="str">
        <f t="shared" si="440"/>
        <v/>
      </c>
      <c r="FV188" s="108" t="str">
        <f t="shared" si="300"/>
        <v/>
      </c>
      <c r="FW188" s="109" t="str">
        <f t="shared" si="372"/>
        <v/>
      </c>
      <c r="FX188" s="109" t="str">
        <f t="shared" si="301"/>
        <v/>
      </c>
      <c r="FY188" s="110" t="str">
        <f t="shared" si="441"/>
        <v/>
      </c>
      <c r="GA188" s="108" t="str">
        <f t="shared" si="373"/>
        <v/>
      </c>
      <c r="GB188" s="109" t="str">
        <f t="shared" si="374"/>
        <v/>
      </c>
      <c r="GC188" s="109" t="str">
        <f t="shared" si="302"/>
        <v/>
      </c>
      <c r="GD188" s="110" t="str">
        <f t="shared" si="442"/>
        <v/>
      </c>
      <c r="GF188" s="108" t="str">
        <f t="shared" si="303"/>
        <v/>
      </c>
      <c r="GG188" s="109" t="str">
        <f t="shared" si="375"/>
        <v/>
      </c>
      <c r="GH188" s="109" t="str">
        <f t="shared" si="304"/>
        <v/>
      </c>
      <c r="GI188" s="110" t="str">
        <f t="shared" si="443"/>
        <v/>
      </c>
      <c r="GK188" s="108" t="str">
        <f t="shared" si="376"/>
        <v/>
      </c>
      <c r="GL188" s="109" t="str">
        <f t="shared" si="377"/>
        <v/>
      </c>
      <c r="GM188" s="109" t="str">
        <f t="shared" si="378"/>
        <v/>
      </c>
      <c r="GN188" s="110" t="str">
        <f t="shared" si="444"/>
        <v/>
      </c>
      <c r="GR188" s="108" t="str">
        <f t="shared" si="305"/>
        <v/>
      </c>
      <c r="GS188" s="109" t="str">
        <f t="shared" si="306"/>
        <v/>
      </c>
      <c r="GT188" s="109" t="str">
        <f t="shared" si="307"/>
        <v/>
      </c>
      <c r="GU188" s="110" t="str">
        <f t="shared" si="308"/>
        <v/>
      </c>
      <c r="GV188" s="51"/>
      <c r="GW188" s="108" t="str">
        <f t="shared" si="309"/>
        <v/>
      </c>
      <c r="GX188" s="109" t="str">
        <f t="shared" si="379"/>
        <v/>
      </c>
      <c r="GY188" s="109" t="str">
        <f t="shared" si="310"/>
        <v/>
      </c>
      <c r="GZ188" s="110" t="str">
        <f t="shared" si="311"/>
        <v/>
      </c>
      <c r="HA188" s="51"/>
      <c r="HB188" s="108" t="str">
        <f t="shared" si="380"/>
        <v/>
      </c>
      <c r="HC188" s="109" t="str">
        <f t="shared" si="381"/>
        <v/>
      </c>
      <c r="HD188" s="109" t="str">
        <f t="shared" si="312"/>
        <v/>
      </c>
      <c r="HE188" s="110" t="str">
        <f t="shared" si="382"/>
        <v/>
      </c>
      <c r="HF188" s="51"/>
      <c r="HG188" s="108" t="str">
        <f t="shared" si="313"/>
        <v/>
      </c>
      <c r="HH188" s="109" t="str">
        <f t="shared" si="383"/>
        <v/>
      </c>
      <c r="HI188" s="109" t="str">
        <f t="shared" si="314"/>
        <v/>
      </c>
      <c r="HJ188" s="110" t="str">
        <f t="shared" si="417"/>
        <v/>
      </c>
      <c r="HK188" s="51"/>
      <c r="HL188" s="108" t="str">
        <f t="shared" si="384"/>
        <v/>
      </c>
      <c r="HM188" s="109" t="str">
        <f t="shared" si="385"/>
        <v/>
      </c>
      <c r="HN188" s="109" t="str">
        <f t="shared" si="315"/>
        <v/>
      </c>
      <c r="HO188" s="110" t="str">
        <f t="shared" si="386"/>
        <v/>
      </c>
      <c r="HP188" s="51"/>
      <c r="HQ188" s="108" t="str">
        <f t="shared" si="316"/>
        <v/>
      </c>
      <c r="HR188" s="109" t="str">
        <f t="shared" si="387"/>
        <v/>
      </c>
      <c r="HS188" s="109" t="str">
        <f t="shared" si="317"/>
        <v/>
      </c>
      <c r="HT188" s="110" t="str">
        <f t="shared" si="418"/>
        <v/>
      </c>
      <c r="HU188" s="51"/>
      <c r="HV188" s="108" t="str">
        <f t="shared" si="388"/>
        <v/>
      </c>
      <c r="HW188" s="109" t="str">
        <f t="shared" si="389"/>
        <v/>
      </c>
      <c r="HX188" s="109" t="str">
        <f t="shared" si="318"/>
        <v/>
      </c>
      <c r="HY188" s="110" t="str">
        <f t="shared" si="390"/>
        <v/>
      </c>
      <c r="HZ188" s="51"/>
      <c r="IA188" s="108" t="str">
        <f t="shared" si="319"/>
        <v/>
      </c>
      <c r="IB188" s="109" t="str">
        <f t="shared" si="391"/>
        <v/>
      </c>
      <c r="IC188" s="109" t="str">
        <f t="shared" si="320"/>
        <v/>
      </c>
      <c r="ID188" s="110" t="str">
        <f t="shared" si="419"/>
        <v/>
      </c>
      <c r="IE188" s="51"/>
      <c r="IF188" s="108" t="str">
        <f t="shared" si="392"/>
        <v/>
      </c>
      <c r="IG188" s="109" t="str">
        <f t="shared" si="393"/>
        <v/>
      </c>
      <c r="IH188" s="109" t="str">
        <f t="shared" si="321"/>
        <v/>
      </c>
      <c r="II188" s="110" t="str">
        <f t="shared" si="394"/>
        <v/>
      </c>
      <c r="IJ188" s="51"/>
      <c r="IK188" s="108" t="str">
        <f t="shared" si="322"/>
        <v/>
      </c>
      <c r="IL188" s="109" t="str">
        <f t="shared" si="395"/>
        <v/>
      </c>
      <c r="IM188" s="109" t="str">
        <f t="shared" si="323"/>
        <v/>
      </c>
      <c r="IN188" s="110" t="str">
        <f t="shared" si="420"/>
        <v/>
      </c>
      <c r="IO188" s="51"/>
      <c r="IP188" s="108" t="str">
        <f t="shared" si="396"/>
        <v/>
      </c>
      <c r="IQ188" s="109" t="str">
        <f t="shared" si="397"/>
        <v/>
      </c>
      <c r="IR188" s="109" t="str">
        <f t="shared" si="324"/>
        <v/>
      </c>
      <c r="IS188" s="110" t="str">
        <f t="shared" si="398"/>
        <v/>
      </c>
      <c r="IT188" s="51"/>
      <c r="IU188" s="108" t="str">
        <f t="shared" si="325"/>
        <v/>
      </c>
      <c r="IV188" s="109" t="str">
        <f t="shared" si="399"/>
        <v/>
      </c>
      <c r="IW188" s="109" t="str">
        <f t="shared" si="326"/>
        <v/>
      </c>
      <c r="IX188" s="110" t="str">
        <f t="shared" si="421"/>
        <v/>
      </c>
      <c r="IY188" s="51"/>
      <c r="IZ188" s="108" t="str">
        <f t="shared" si="400"/>
        <v/>
      </c>
      <c r="JA188" s="109" t="str">
        <f t="shared" si="401"/>
        <v/>
      </c>
      <c r="JB188" s="109" t="str">
        <f t="shared" si="327"/>
        <v/>
      </c>
      <c r="JC188" s="110" t="str">
        <f t="shared" si="402"/>
        <v/>
      </c>
      <c r="JD188" s="51"/>
      <c r="JE188" s="108" t="str">
        <f t="shared" si="328"/>
        <v/>
      </c>
      <c r="JF188" s="109" t="str">
        <f t="shared" si="403"/>
        <v/>
      </c>
      <c r="JG188" s="109" t="str">
        <f t="shared" si="329"/>
        <v/>
      </c>
      <c r="JH188" s="110" t="str">
        <f t="shared" si="422"/>
        <v/>
      </c>
      <c r="JI188" s="51"/>
      <c r="JJ188" s="108" t="str">
        <f t="shared" si="404"/>
        <v/>
      </c>
      <c r="JK188" s="109" t="str">
        <f t="shared" si="405"/>
        <v/>
      </c>
      <c r="JL188" s="109" t="str">
        <f t="shared" si="330"/>
        <v/>
      </c>
      <c r="JM188" s="110" t="str">
        <f t="shared" si="406"/>
        <v/>
      </c>
      <c r="JN188" s="51"/>
      <c r="JO188" s="108" t="str">
        <f t="shared" si="331"/>
        <v/>
      </c>
      <c r="JP188" s="109" t="str">
        <f t="shared" si="407"/>
        <v/>
      </c>
      <c r="JQ188" s="109" t="str">
        <f t="shared" si="332"/>
        <v/>
      </c>
      <c r="JR188" s="110" t="str">
        <f t="shared" si="423"/>
        <v/>
      </c>
      <c r="JS188" s="51"/>
      <c r="JT188" s="108" t="str">
        <f t="shared" si="408"/>
        <v/>
      </c>
      <c r="JU188" s="109" t="str">
        <f t="shared" si="409"/>
        <v/>
      </c>
      <c r="JV188" s="109" t="str">
        <f t="shared" si="333"/>
        <v/>
      </c>
      <c r="JW188" s="110" t="str">
        <f t="shared" si="410"/>
        <v/>
      </c>
      <c r="JX188" s="51"/>
      <c r="JY188" s="108" t="str">
        <f t="shared" si="334"/>
        <v/>
      </c>
      <c r="JZ188" s="109" t="str">
        <f t="shared" si="411"/>
        <v/>
      </c>
      <c r="KA188" s="109" t="str">
        <f t="shared" si="335"/>
        <v/>
      </c>
      <c r="KB188" s="110" t="str">
        <f t="shared" si="424"/>
        <v/>
      </c>
      <c r="KC188" s="51"/>
      <c r="KD188" s="108" t="str">
        <f t="shared" si="412"/>
        <v/>
      </c>
      <c r="KE188" s="109" t="str">
        <f t="shared" si="413"/>
        <v/>
      </c>
      <c r="KF188" s="109" t="str">
        <f t="shared" si="336"/>
        <v/>
      </c>
      <c r="KG188" s="110" t="str">
        <f t="shared" si="337"/>
        <v/>
      </c>
    </row>
    <row r="189" spans="1:293" ht="12" customHeight="1">
      <c r="A189" s="105">
        <f t="array" ref="A189">MAX(IF($J$80:J188&gt;0,$C$80:C188,0))</f>
        <v>43535</v>
      </c>
      <c r="B189" s="81" t="str">
        <f t="shared" si="248"/>
        <v/>
      </c>
      <c r="C189" s="82">
        <f t="shared" si="414"/>
        <v>0</v>
      </c>
      <c r="D189" s="83" t="str">
        <f t="shared" si="249"/>
        <v/>
      </c>
      <c r="E189" s="83" t="str">
        <f t="shared" si="338"/>
        <v/>
      </c>
      <c r="F189" s="83" t="str">
        <f t="shared" si="250"/>
        <v/>
      </c>
      <c r="G189" s="83" t="str">
        <f t="shared" si="251"/>
        <v/>
      </c>
      <c r="H189" s="83" t="str">
        <f t="shared" si="252"/>
        <v/>
      </c>
      <c r="I189" s="105">
        <f t="array" ref="I189">MAX(IF($R$80:R188&gt;0,$L$80:L188,0))</f>
        <v>0</v>
      </c>
      <c r="J189" s="106"/>
      <c r="K189" s="2" t="str">
        <f t="shared" si="253"/>
        <v/>
      </c>
      <c r="L189" s="82">
        <f t="shared" si="415"/>
        <v>0</v>
      </c>
      <c r="M189" s="83" t="str">
        <f t="shared" si="254"/>
        <v/>
      </c>
      <c r="N189" s="83" t="str">
        <f t="shared" si="255"/>
        <v/>
      </c>
      <c r="O189" s="83" t="str">
        <f t="shared" si="256"/>
        <v/>
      </c>
      <c r="P189" s="83" t="str">
        <f t="shared" si="257"/>
        <v/>
      </c>
      <c r="Q189" s="83" t="str">
        <f t="shared" si="258"/>
        <v/>
      </c>
      <c r="R189" s="106"/>
      <c r="S189" s="1"/>
      <c r="U189" s="85" t="e">
        <f t="shared" si="244"/>
        <v>#NUM!</v>
      </c>
      <c r="V189" s="86" t="e">
        <f t="shared" si="339"/>
        <v>#NUM!</v>
      </c>
      <c r="W189" s="87" t="e">
        <f t="shared" si="259"/>
        <v>#NUM!</v>
      </c>
      <c r="X189" s="87" t="e">
        <f t="shared" si="260"/>
        <v>#NUM!</v>
      </c>
      <c r="Y189" s="87" t="e">
        <f t="shared" si="261"/>
        <v>#NUM!</v>
      </c>
      <c r="Z189" s="88" t="e">
        <f t="shared" si="245"/>
        <v>#NUM!</v>
      </c>
      <c r="AA189" t="s">
        <v>282</v>
      </c>
      <c r="AB189" s="89">
        <f t="shared" si="340"/>
        <v>0</v>
      </c>
      <c r="AC189" s="87">
        <f t="shared" si="262"/>
        <v>0</v>
      </c>
      <c r="AD189" s="87" t="str">
        <f t="shared" si="263"/>
        <v/>
      </c>
      <c r="AE189" s="87" t="str">
        <f t="shared" si="264"/>
        <v/>
      </c>
      <c r="AF189" s="86">
        <f t="shared" si="341"/>
        <v>0</v>
      </c>
      <c r="AG189" s="87">
        <f t="shared" si="246"/>
        <v>0</v>
      </c>
      <c r="AH189" s="87">
        <f t="shared" si="342"/>
        <v>0</v>
      </c>
      <c r="AI189" s="90"/>
      <c r="AJ189" s="87" t="e">
        <f t="shared" si="265"/>
        <v>#NUM!</v>
      </c>
      <c r="AK189" s="87" t="e">
        <f t="shared" si="343"/>
        <v>#NUM!</v>
      </c>
      <c r="AL189" s="87" t="e">
        <f t="shared" si="344"/>
        <v>#NUM!</v>
      </c>
      <c r="AM189" s="87" t="e">
        <f t="shared" si="345"/>
        <v>#NUM!</v>
      </c>
      <c r="AN189" s="86">
        <f t="shared" si="266"/>
        <v>0</v>
      </c>
      <c r="AO189" s="87">
        <f t="shared" si="267"/>
        <v>0</v>
      </c>
      <c r="AP189" s="88">
        <f t="shared" si="268"/>
        <v>0</v>
      </c>
      <c r="AR189" s="91">
        <f t="shared" si="269"/>
        <v>0</v>
      </c>
      <c r="AS189" s="92">
        <f t="shared" si="270"/>
        <v>0</v>
      </c>
      <c r="AT189" s="87" t="str">
        <f t="shared" si="271"/>
        <v/>
      </c>
      <c r="AU189" s="87" t="str">
        <f t="shared" si="272"/>
        <v/>
      </c>
      <c r="AV189" s="86">
        <f t="shared" si="346"/>
        <v>0</v>
      </c>
      <c r="AW189" s="87">
        <f t="shared" si="347"/>
        <v>0</v>
      </c>
      <c r="AX189" s="87">
        <f t="shared" si="348"/>
        <v>0</v>
      </c>
      <c r="AY189" s="93"/>
      <c r="AZ189" s="87">
        <f t="shared" si="425"/>
        <v>0</v>
      </c>
      <c r="BA189" s="87">
        <f t="shared" si="349"/>
        <v>0</v>
      </c>
      <c r="BB189" s="87">
        <f t="shared" si="350"/>
        <v>0</v>
      </c>
      <c r="BC189" s="87">
        <f t="shared" si="416"/>
        <v>0</v>
      </c>
      <c r="BD189" s="86" t="e">
        <f t="shared" si="273"/>
        <v>#NUM!</v>
      </c>
      <c r="BE189" s="87" t="e">
        <f t="shared" si="247"/>
        <v>#NUM!</v>
      </c>
      <c r="BF189" s="88">
        <f t="shared" si="351"/>
        <v>0</v>
      </c>
      <c r="BH189" s="87" t="e">
        <f t="shared" si="274"/>
        <v>#NUM!</v>
      </c>
      <c r="BK189" s="95">
        <v>42071</v>
      </c>
      <c r="BL189" s="96">
        <v>110</v>
      </c>
      <c r="CY189" s="108" t="str">
        <f t="shared" si="275"/>
        <v/>
      </c>
      <c r="CZ189" s="109" t="str">
        <f t="shared" si="276"/>
        <v/>
      </c>
      <c r="DA189" s="109" t="str">
        <f t="shared" si="277"/>
        <v/>
      </c>
      <c r="DB189" s="110" t="str">
        <f t="shared" si="426"/>
        <v/>
      </c>
      <c r="DD189" s="108" t="str">
        <f t="shared" si="278"/>
        <v/>
      </c>
      <c r="DE189" s="109" t="str">
        <f t="shared" si="352"/>
        <v/>
      </c>
      <c r="DF189" s="109" t="str">
        <f t="shared" si="279"/>
        <v/>
      </c>
      <c r="DG189" s="110" t="str">
        <f t="shared" si="427"/>
        <v/>
      </c>
      <c r="DI189" s="108" t="str">
        <f t="shared" si="353"/>
        <v/>
      </c>
      <c r="DJ189" s="109" t="str">
        <f t="shared" si="354"/>
        <v/>
      </c>
      <c r="DK189" s="109" t="str">
        <f t="shared" si="280"/>
        <v/>
      </c>
      <c r="DL189" s="110" t="str">
        <f t="shared" si="428"/>
        <v/>
      </c>
      <c r="DN189" s="108" t="str">
        <f t="shared" si="281"/>
        <v/>
      </c>
      <c r="DO189" s="109" t="str">
        <f t="shared" si="282"/>
        <v/>
      </c>
      <c r="DP189" s="109" t="str">
        <f t="shared" si="283"/>
        <v/>
      </c>
      <c r="DQ189" s="110" t="str">
        <f t="shared" si="429"/>
        <v/>
      </c>
      <c r="DS189" s="108" t="str">
        <f t="shared" si="355"/>
        <v/>
      </c>
      <c r="DT189" s="109" t="str">
        <f t="shared" si="356"/>
        <v/>
      </c>
      <c r="DU189" s="109" t="str">
        <f t="shared" si="284"/>
        <v/>
      </c>
      <c r="DV189" s="110" t="str">
        <f t="shared" si="430"/>
        <v/>
      </c>
      <c r="DX189" s="108" t="str">
        <f t="shared" si="285"/>
        <v/>
      </c>
      <c r="DY189" s="109" t="str">
        <f t="shared" si="357"/>
        <v/>
      </c>
      <c r="DZ189" s="109" t="str">
        <f t="shared" si="286"/>
        <v/>
      </c>
      <c r="EA189" s="110" t="str">
        <f t="shared" si="431"/>
        <v/>
      </c>
      <c r="EC189" s="108" t="str">
        <f t="shared" si="358"/>
        <v/>
      </c>
      <c r="ED189" s="109" t="str">
        <f t="shared" si="359"/>
        <v/>
      </c>
      <c r="EE189" s="109" t="str">
        <f t="shared" si="287"/>
        <v/>
      </c>
      <c r="EF189" s="110" t="str">
        <f t="shared" si="432"/>
        <v/>
      </c>
      <c r="EH189" s="108" t="str">
        <f t="shared" si="288"/>
        <v/>
      </c>
      <c r="EI189" s="109" t="str">
        <f t="shared" si="360"/>
        <v/>
      </c>
      <c r="EJ189" s="109" t="str">
        <f t="shared" si="289"/>
        <v/>
      </c>
      <c r="EK189" s="110" t="str">
        <f t="shared" si="433"/>
        <v/>
      </c>
      <c r="EM189" s="108" t="str">
        <f t="shared" si="361"/>
        <v/>
      </c>
      <c r="EN189" s="109" t="str">
        <f t="shared" si="362"/>
        <v/>
      </c>
      <c r="EO189" s="109" t="str">
        <f t="shared" si="290"/>
        <v/>
      </c>
      <c r="EP189" s="110" t="str">
        <f t="shared" si="434"/>
        <v/>
      </c>
      <c r="ER189" s="108" t="str">
        <f t="shared" si="291"/>
        <v/>
      </c>
      <c r="ES189" s="109" t="str">
        <f t="shared" si="363"/>
        <v/>
      </c>
      <c r="ET189" s="109" t="str">
        <f t="shared" si="292"/>
        <v/>
      </c>
      <c r="EU189" s="110" t="str">
        <f t="shared" si="435"/>
        <v/>
      </c>
      <c r="EW189" s="108" t="str">
        <f t="shared" si="364"/>
        <v/>
      </c>
      <c r="EX189" s="109" t="str">
        <f t="shared" si="365"/>
        <v/>
      </c>
      <c r="EY189" s="109" t="str">
        <f t="shared" si="293"/>
        <v/>
      </c>
      <c r="EZ189" s="110" t="str">
        <f t="shared" si="436"/>
        <v/>
      </c>
      <c r="FB189" s="108" t="str">
        <f t="shared" si="294"/>
        <v/>
      </c>
      <c r="FC189" s="109" t="str">
        <f t="shared" si="366"/>
        <v/>
      </c>
      <c r="FD189" s="109" t="str">
        <f t="shared" si="295"/>
        <v/>
      </c>
      <c r="FE189" s="110" t="str">
        <f t="shared" si="437"/>
        <v/>
      </c>
      <c r="FG189" s="108" t="str">
        <f t="shared" si="367"/>
        <v/>
      </c>
      <c r="FH189" s="109" t="str">
        <f t="shared" si="368"/>
        <v/>
      </c>
      <c r="FI189" s="109" t="str">
        <f t="shared" si="296"/>
        <v/>
      </c>
      <c r="FJ189" s="110" t="str">
        <f t="shared" si="438"/>
        <v/>
      </c>
      <c r="FL189" s="108" t="str">
        <f t="shared" si="297"/>
        <v/>
      </c>
      <c r="FM189" s="109" t="str">
        <f t="shared" si="369"/>
        <v/>
      </c>
      <c r="FN189" s="109" t="str">
        <f t="shared" si="298"/>
        <v/>
      </c>
      <c r="FO189" s="110" t="str">
        <f t="shared" si="439"/>
        <v/>
      </c>
      <c r="FQ189" s="108" t="str">
        <f t="shared" si="370"/>
        <v/>
      </c>
      <c r="FR189" s="109" t="str">
        <f t="shared" si="371"/>
        <v/>
      </c>
      <c r="FS189" s="109" t="str">
        <f t="shared" si="299"/>
        <v/>
      </c>
      <c r="FT189" s="110" t="str">
        <f t="shared" si="440"/>
        <v/>
      </c>
      <c r="FV189" s="108" t="str">
        <f t="shared" si="300"/>
        <v/>
      </c>
      <c r="FW189" s="109" t="str">
        <f t="shared" si="372"/>
        <v/>
      </c>
      <c r="FX189" s="109" t="str">
        <f t="shared" si="301"/>
        <v/>
      </c>
      <c r="FY189" s="110" t="str">
        <f t="shared" si="441"/>
        <v/>
      </c>
      <c r="GA189" s="108" t="str">
        <f t="shared" si="373"/>
        <v/>
      </c>
      <c r="GB189" s="109" t="str">
        <f t="shared" si="374"/>
        <v/>
      </c>
      <c r="GC189" s="109" t="str">
        <f t="shared" si="302"/>
        <v/>
      </c>
      <c r="GD189" s="110" t="str">
        <f t="shared" si="442"/>
        <v/>
      </c>
      <c r="GF189" s="108" t="str">
        <f t="shared" si="303"/>
        <v/>
      </c>
      <c r="GG189" s="109" t="str">
        <f t="shared" si="375"/>
        <v/>
      </c>
      <c r="GH189" s="109" t="str">
        <f t="shared" si="304"/>
        <v/>
      </c>
      <c r="GI189" s="110" t="str">
        <f t="shared" si="443"/>
        <v/>
      </c>
      <c r="GK189" s="108" t="str">
        <f t="shared" si="376"/>
        <v/>
      </c>
      <c r="GL189" s="109" t="str">
        <f t="shared" si="377"/>
        <v/>
      </c>
      <c r="GM189" s="109" t="str">
        <f t="shared" si="378"/>
        <v/>
      </c>
      <c r="GN189" s="110" t="str">
        <f t="shared" si="444"/>
        <v/>
      </c>
      <c r="GR189" s="108" t="str">
        <f t="shared" si="305"/>
        <v/>
      </c>
      <c r="GS189" s="109" t="str">
        <f t="shared" si="306"/>
        <v/>
      </c>
      <c r="GT189" s="109" t="str">
        <f t="shared" si="307"/>
        <v/>
      </c>
      <c r="GU189" s="110" t="str">
        <f t="shared" si="308"/>
        <v/>
      </c>
      <c r="GV189" s="51"/>
      <c r="GW189" s="108" t="str">
        <f t="shared" si="309"/>
        <v/>
      </c>
      <c r="GX189" s="109" t="str">
        <f t="shared" si="379"/>
        <v/>
      </c>
      <c r="GY189" s="109" t="str">
        <f t="shared" si="310"/>
        <v/>
      </c>
      <c r="GZ189" s="110" t="str">
        <f t="shared" si="311"/>
        <v/>
      </c>
      <c r="HA189" s="51"/>
      <c r="HB189" s="108" t="str">
        <f t="shared" si="380"/>
        <v/>
      </c>
      <c r="HC189" s="109" t="str">
        <f t="shared" si="381"/>
        <v/>
      </c>
      <c r="HD189" s="109" t="str">
        <f t="shared" si="312"/>
        <v/>
      </c>
      <c r="HE189" s="110" t="str">
        <f t="shared" si="382"/>
        <v/>
      </c>
      <c r="HF189" s="51"/>
      <c r="HG189" s="108" t="str">
        <f t="shared" si="313"/>
        <v/>
      </c>
      <c r="HH189" s="109" t="str">
        <f t="shared" si="383"/>
        <v/>
      </c>
      <c r="HI189" s="109" t="str">
        <f t="shared" si="314"/>
        <v/>
      </c>
      <c r="HJ189" s="110" t="str">
        <f t="shared" si="417"/>
        <v/>
      </c>
      <c r="HK189" s="51"/>
      <c r="HL189" s="108" t="str">
        <f t="shared" si="384"/>
        <v/>
      </c>
      <c r="HM189" s="109" t="str">
        <f t="shared" si="385"/>
        <v/>
      </c>
      <c r="HN189" s="109" t="str">
        <f t="shared" si="315"/>
        <v/>
      </c>
      <c r="HO189" s="110" t="str">
        <f t="shared" si="386"/>
        <v/>
      </c>
      <c r="HP189" s="51"/>
      <c r="HQ189" s="108" t="str">
        <f t="shared" si="316"/>
        <v/>
      </c>
      <c r="HR189" s="109" t="str">
        <f t="shared" si="387"/>
        <v/>
      </c>
      <c r="HS189" s="109" t="str">
        <f t="shared" si="317"/>
        <v/>
      </c>
      <c r="HT189" s="110" t="str">
        <f t="shared" si="418"/>
        <v/>
      </c>
      <c r="HU189" s="51"/>
      <c r="HV189" s="108" t="str">
        <f t="shared" si="388"/>
        <v/>
      </c>
      <c r="HW189" s="109" t="str">
        <f t="shared" si="389"/>
        <v/>
      </c>
      <c r="HX189" s="109" t="str">
        <f t="shared" si="318"/>
        <v/>
      </c>
      <c r="HY189" s="110" t="str">
        <f t="shared" si="390"/>
        <v/>
      </c>
      <c r="HZ189" s="51"/>
      <c r="IA189" s="108" t="str">
        <f t="shared" si="319"/>
        <v/>
      </c>
      <c r="IB189" s="109" t="str">
        <f t="shared" si="391"/>
        <v/>
      </c>
      <c r="IC189" s="109" t="str">
        <f t="shared" si="320"/>
        <v/>
      </c>
      <c r="ID189" s="110" t="str">
        <f t="shared" si="419"/>
        <v/>
      </c>
      <c r="IE189" s="51"/>
      <c r="IF189" s="108" t="str">
        <f t="shared" si="392"/>
        <v/>
      </c>
      <c r="IG189" s="109" t="str">
        <f t="shared" si="393"/>
        <v/>
      </c>
      <c r="IH189" s="109" t="str">
        <f t="shared" si="321"/>
        <v/>
      </c>
      <c r="II189" s="110" t="str">
        <f t="shared" si="394"/>
        <v/>
      </c>
      <c r="IJ189" s="51"/>
      <c r="IK189" s="108" t="str">
        <f t="shared" si="322"/>
        <v/>
      </c>
      <c r="IL189" s="109" t="str">
        <f t="shared" si="395"/>
        <v/>
      </c>
      <c r="IM189" s="109" t="str">
        <f t="shared" si="323"/>
        <v/>
      </c>
      <c r="IN189" s="110" t="str">
        <f t="shared" si="420"/>
        <v/>
      </c>
      <c r="IO189" s="51"/>
      <c r="IP189" s="108" t="str">
        <f t="shared" si="396"/>
        <v/>
      </c>
      <c r="IQ189" s="109" t="str">
        <f t="shared" si="397"/>
        <v/>
      </c>
      <c r="IR189" s="109" t="str">
        <f t="shared" si="324"/>
        <v/>
      </c>
      <c r="IS189" s="110" t="str">
        <f t="shared" si="398"/>
        <v/>
      </c>
      <c r="IT189" s="51"/>
      <c r="IU189" s="108" t="str">
        <f t="shared" si="325"/>
        <v/>
      </c>
      <c r="IV189" s="109" t="str">
        <f t="shared" si="399"/>
        <v/>
      </c>
      <c r="IW189" s="109" t="str">
        <f t="shared" si="326"/>
        <v/>
      </c>
      <c r="IX189" s="110" t="str">
        <f t="shared" si="421"/>
        <v/>
      </c>
      <c r="IY189" s="51"/>
      <c r="IZ189" s="108" t="str">
        <f t="shared" si="400"/>
        <v/>
      </c>
      <c r="JA189" s="109" t="str">
        <f t="shared" si="401"/>
        <v/>
      </c>
      <c r="JB189" s="109" t="str">
        <f t="shared" si="327"/>
        <v/>
      </c>
      <c r="JC189" s="110" t="str">
        <f t="shared" si="402"/>
        <v/>
      </c>
      <c r="JD189" s="51"/>
      <c r="JE189" s="108" t="str">
        <f t="shared" si="328"/>
        <v/>
      </c>
      <c r="JF189" s="109" t="str">
        <f t="shared" si="403"/>
        <v/>
      </c>
      <c r="JG189" s="109" t="str">
        <f t="shared" si="329"/>
        <v/>
      </c>
      <c r="JH189" s="110" t="str">
        <f t="shared" si="422"/>
        <v/>
      </c>
      <c r="JI189" s="51"/>
      <c r="JJ189" s="108" t="str">
        <f t="shared" si="404"/>
        <v/>
      </c>
      <c r="JK189" s="109" t="str">
        <f t="shared" si="405"/>
        <v/>
      </c>
      <c r="JL189" s="109" t="str">
        <f t="shared" si="330"/>
        <v/>
      </c>
      <c r="JM189" s="110" t="str">
        <f t="shared" si="406"/>
        <v/>
      </c>
      <c r="JN189" s="51"/>
      <c r="JO189" s="108" t="str">
        <f t="shared" si="331"/>
        <v/>
      </c>
      <c r="JP189" s="109" t="str">
        <f t="shared" si="407"/>
        <v/>
      </c>
      <c r="JQ189" s="109" t="str">
        <f t="shared" si="332"/>
        <v/>
      </c>
      <c r="JR189" s="110" t="str">
        <f t="shared" si="423"/>
        <v/>
      </c>
      <c r="JS189" s="51"/>
      <c r="JT189" s="108" t="str">
        <f t="shared" si="408"/>
        <v/>
      </c>
      <c r="JU189" s="109" t="str">
        <f t="shared" si="409"/>
        <v/>
      </c>
      <c r="JV189" s="109" t="str">
        <f t="shared" si="333"/>
        <v/>
      </c>
      <c r="JW189" s="110" t="str">
        <f t="shared" si="410"/>
        <v/>
      </c>
      <c r="JX189" s="51"/>
      <c r="JY189" s="108" t="str">
        <f t="shared" si="334"/>
        <v/>
      </c>
      <c r="JZ189" s="109" t="str">
        <f t="shared" si="411"/>
        <v/>
      </c>
      <c r="KA189" s="109" t="str">
        <f t="shared" si="335"/>
        <v/>
      </c>
      <c r="KB189" s="110" t="str">
        <f t="shared" si="424"/>
        <v/>
      </c>
      <c r="KC189" s="51"/>
      <c r="KD189" s="108" t="str">
        <f t="shared" si="412"/>
        <v/>
      </c>
      <c r="KE189" s="109" t="str">
        <f t="shared" si="413"/>
        <v/>
      </c>
      <c r="KF189" s="109" t="str">
        <f t="shared" si="336"/>
        <v/>
      </c>
      <c r="KG189" s="110" t="str">
        <f t="shared" si="337"/>
        <v/>
      </c>
    </row>
    <row r="190" spans="1:293" ht="12" customHeight="1">
      <c r="A190" s="105">
        <f t="array" ref="A190">MAX(IF($J$80:J189&gt;0,$C$80:C189,0))</f>
        <v>43535</v>
      </c>
      <c r="B190" s="81" t="str">
        <f t="shared" si="248"/>
        <v/>
      </c>
      <c r="C190" s="82">
        <f t="shared" si="414"/>
        <v>0</v>
      </c>
      <c r="D190" s="83" t="str">
        <f t="shared" si="249"/>
        <v/>
      </c>
      <c r="E190" s="83" t="str">
        <f t="shared" si="338"/>
        <v/>
      </c>
      <c r="F190" s="83" t="str">
        <f t="shared" si="250"/>
        <v/>
      </c>
      <c r="G190" s="83" t="str">
        <f t="shared" si="251"/>
        <v/>
      </c>
      <c r="H190" s="83" t="str">
        <f t="shared" si="252"/>
        <v/>
      </c>
      <c r="I190" s="105">
        <f t="array" ref="I190">MAX(IF($R$80:R189&gt;0,$L$80:L189,0))</f>
        <v>0</v>
      </c>
      <c r="J190" s="106"/>
      <c r="K190" s="2" t="str">
        <f t="shared" si="253"/>
        <v/>
      </c>
      <c r="L190" s="82">
        <f t="shared" si="415"/>
        <v>0</v>
      </c>
      <c r="M190" s="83" t="str">
        <f t="shared" si="254"/>
        <v/>
      </c>
      <c r="N190" s="83" t="str">
        <f t="shared" si="255"/>
        <v/>
      </c>
      <c r="O190" s="83" t="str">
        <f t="shared" si="256"/>
        <v/>
      </c>
      <c r="P190" s="83" t="str">
        <f t="shared" si="257"/>
        <v/>
      </c>
      <c r="Q190" s="83" t="str">
        <f t="shared" si="258"/>
        <v/>
      </c>
      <c r="R190" s="106"/>
      <c r="S190" s="1"/>
      <c r="U190" s="85" t="e">
        <f t="shared" si="244"/>
        <v>#NUM!</v>
      </c>
      <c r="V190" s="86" t="e">
        <f t="shared" si="339"/>
        <v>#NUM!</v>
      </c>
      <c r="W190" s="87" t="e">
        <f t="shared" si="259"/>
        <v>#NUM!</v>
      </c>
      <c r="X190" s="87" t="e">
        <f t="shared" si="260"/>
        <v>#NUM!</v>
      </c>
      <c r="Y190" s="87" t="e">
        <f t="shared" si="261"/>
        <v>#NUM!</v>
      </c>
      <c r="Z190" s="88" t="e">
        <f t="shared" si="245"/>
        <v>#NUM!</v>
      </c>
      <c r="AA190" t="s">
        <v>282</v>
      </c>
      <c r="AB190" s="89">
        <f t="shared" si="340"/>
        <v>0</v>
      </c>
      <c r="AC190" s="87">
        <f t="shared" si="262"/>
        <v>0</v>
      </c>
      <c r="AD190" s="87" t="str">
        <f t="shared" si="263"/>
        <v/>
      </c>
      <c r="AE190" s="87" t="str">
        <f t="shared" si="264"/>
        <v/>
      </c>
      <c r="AF190" s="86">
        <f t="shared" si="341"/>
        <v>0</v>
      </c>
      <c r="AG190" s="87">
        <f t="shared" si="246"/>
        <v>0</v>
      </c>
      <c r="AH190" s="87">
        <f t="shared" si="342"/>
        <v>0</v>
      </c>
      <c r="AI190" s="90"/>
      <c r="AJ190" s="87" t="e">
        <f t="shared" si="265"/>
        <v>#NUM!</v>
      </c>
      <c r="AK190" s="87" t="e">
        <f t="shared" si="343"/>
        <v>#NUM!</v>
      </c>
      <c r="AL190" s="87" t="e">
        <f t="shared" si="344"/>
        <v>#NUM!</v>
      </c>
      <c r="AM190" s="87" t="e">
        <f t="shared" si="345"/>
        <v>#NUM!</v>
      </c>
      <c r="AN190" s="86">
        <f t="shared" si="266"/>
        <v>0</v>
      </c>
      <c r="AO190" s="87">
        <f t="shared" si="267"/>
        <v>0</v>
      </c>
      <c r="AP190" s="88">
        <f t="shared" si="268"/>
        <v>0</v>
      </c>
      <c r="AR190" s="91">
        <f t="shared" si="269"/>
        <v>0</v>
      </c>
      <c r="AS190" s="92">
        <f t="shared" si="270"/>
        <v>0</v>
      </c>
      <c r="AT190" s="87" t="str">
        <f t="shared" si="271"/>
        <v/>
      </c>
      <c r="AU190" s="87" t="str">
        <f t="shared" si="272"/>
        <v/>
      </c>
      <c r="AV190" s="86">
        <f t="shared" si="346"/>
        <v>0</v>
      </c>
      <c r="AW190" s="87">
        <f t="shared" si="347"/>
        <v>0</v>
      </c>
      <c r="AX190" s="87">
        <f t="shared" si="348"/>
        <v>0</v>
      </c>
      <c r="AY190" s="93"/>
      <c r="AZ190" s="87">
        <f t="shared" si="425"/>
        <v>0</v>
      </c>
      <c r="BA190" s="87">
        <f t="shared" si="349"/>
        <v>0</v>
      </c>
      <c r="BB190" s="87">
        <f t="shared" si="350"/>
        <v>0</v>
      </c>
      <c r="BC190" s="87">
        <f t="shared" si="416"/>
        <v>0</v>
      </c>
      <c r="BD190" s="86" t="e">
        <f t="shared" si="273"/>
        <v>#NUM!</v>
      </c>
      <c r="BE190" s="87" t="e">
        <f t="shared" si="247"/>
        <v>#NUM!</v>
      </c>
      <c r="BF190" s="88">
        <f t="shared" si="351"/>
        <v>0</v>
      </c>
      <c r="BH190" s="87" t="e">
        <f t="shared" si="274"/>
        <v>#NUM!</v>
      </c>
      <c r="BK190" s="95">
        <v>42103</v>
      </c>
      <c r="BL190" s="96">
        <v>111</v>
      </c>
      <c r="CY190" s="108" t="str">
        <f t="shared" si="275"/>
        <v/>
      </c>
      <c r="CZ190" s="109" t="str">
        <f t="shared" si="276"/>
        <v/>
      </c>
      <c r="DA190" s="109" t="str">
        <f t="shared" si="277"/>
        <v/>
      </c>
      <c r="DB190" s="110" t="str">
        <f t="shared" si="426"/>
        <v/>
      </c>
      <c r="DD190" s="108" t="str">
        <f t="shared" si="278"/>
        <v/>
      </c>
      <c r="DE190" s="109" t="str">
        <f t="shared" si="352"/>
        <v/>
      </c>
      <c r="DF190" s="109" t="str">
        <f t="shared" si="279"/>
        <v/>
      </c>
      <c r="DG190" s="110" t="str">
        <f t="shared" si="427"/>
        <v/>
      </c>
      <c r="DI190" s="108" t="str">
        <f t="shared" si="353"/>
        <v/>
      </c>
      <c r="DJ190" s="109" t="str">
        <f t="shared" si="354"/>
        <v/>
      </c>
      <c r="DK190" s="109" t="str">
        <f t="shared" si="280"/>
        <v/>
      </c>
      <c r="DL190" s="110" t="str">
        <f t="shared" si="428"/>
        <v/>
      </c>
      <c r="DN190" s="108" t="str">
        <f t="shared" si="281"/>
        <v/>
      </c>
      <c r="DO190" s="109" t="str">
        <f t="shared" si="282"/>
        <v/>
      </c>
      <c r="DP190" s="109" t="str">
        <f t="shared" si="283"/>
        <v/>
      </c>
      <c r="DQ190" s="110" t="str">
        <f t="shared" si="429"/>
        <v/>
      </c>
      <c r="DS190" s="108" t="str">
        <f t="shared" si="355"/>
        <v/>
      </c>
      <c r="DT190" s="109" t="str">
        <f t="shared" si="356"/>
        <v/>
      </c>
      <c r="DU190" s="109" t="str">
        <f t="shared" si="284"/>
        <v/>
      </c>
      <c r="DV190" s="110" t="str">
        <f t="shared" si="430"/>
        <v/>
      </c>
      <c r="DX190" s="108" t="str">
        <f t="shared" si="285"/>
        <v/>
      </c>
      <c r="DY190" s="109" t="str">
        <f t="shared" si="357"/>
        <v/>
      </c>
      <c r="DZ190" s="109" t="str">
        <f t="shared" si="286"/>
        <v/>
      </c>
      <c r="EA190" s="110" t="str">
        <f t="shared" si="431"/>
        <v/>
      </c>
      <c r="EC190" s="108" t="str">
        <f t="shared" si="358"/>
        <v/>
      </c>
      <c r="ED190" s="109" t="str">
        <f t="shared" si="359"/>
        <v/>
      </c>
      <c r="EE190" s="109" t="str">
        <f t="shared" si="287"/>
        <v/>
      </c>
      <c r="EF190" s="110" t="str">
        <f t="shared" si="432"/>
        <v/>
      </c>
      <c r="EH190" s="108" t="str">
        <f t="shared" si="288"/>
        <v/>
      </c>
      <c r="EI190" s="109" t="str">
        <f t="shared" si="360"/>
        <v/>
      </c>
      <c r="EJ190" s="109" t="str">
        <f t="shared" si="289"/>
        <v/>
      </c>
      <c r="EK190" s="110" t="str">
        <f t="shared" si="433"/>
        <v/>
      </c>
      <c r="EM190" s="108" t="str">
        <f t="shared" si="361"/>
        <v/>
      </c>
      <c r="EN190" s="109" t="str">
        <f t="shared" si="362"/>
        <v/>
      </c>
      <c r="EO190" s="109" t="str">
        <f t="shared" si="290"/>
        <v/>
      </c>
      <c r="EP190" s="110" t="str">
        <f t="shared" si="434"/>
        <v/>
      </c>
      <c r="ER190" s="108" t="str">
        <f t="shared" si="291"/>
        <v/>
      </c>
      <c r="ES190" s="109" t="str">
        <f t="shared" si="363"/>
        <v/>
      </c>
      <c r="ET190" s="109" t="str">
        <f t="shared" si="292"/>
        <v/>
      </c>
      <c r="EU190" s="110" t="str">
        <f t="shared" si="435"/>
        <v/>
      </c>
      <c r="EW190" s="108" t="str">
        <f t="shared" si="364"/>
        <v/>
      </c>
      <c r="EX190" s="109" t="str">
        <f t="shared" si="365"/>
        <v/>
      </c>
      <c r="EY190" s="109" t="str">
        <f t="shared" si="293"/>
        <v/>
      </c>
      <c r="EZ190" s="110" t="str">
        <f t="shared" si="436"/>
        <v/>
      </c>
      <c r="FB190" s="108" t="str">
        <f t="shared" si="294"/>
        <v/>
      </c>
      <c r="FC190" s="109" t="str">
        <f t="shared" si="366"/>
        <v/>
      </c>
      <c r="FD190" s="109" t="str">
        <f t="shared" si="295"/>
        <v/>
      </c>
      <c r="FE190" s="110" t="str">
        <f t="shared" si="437"/>
        <v/>
      </c>
      <c r="FG190" s="108" t="str">
        <f t="shared" si="367"/>
        <v/>
      </c>
      <c r="FH190" s="109" t="str">
        <f t="shared" si="368"/>
        <v/>
      </c>
      <c r="FI190" s="109" t="str">
        <f t="shared" si="296"/>
        <v/>
      </c>
      <c r="FJ190" s="110" t="str">
        <f t="shared" si="438"/>
        <v/>
      </c>
      <c r="FL190" s="108" t="str">
        <f t="shared" si="297"/>
        <v/>
      </c>
      <c r="FM190" s="109" t="str">
        <f t="shared" si="369"/>
        <v/>
      </c>
      <c r="FN190" s="109" t="str">
        <f t="shared" si="298"/>
        <v/>
      </c>
      <c r="FO190" s="110" t="str">
        <f t="shared" si="439"/>
        <v/>
      </c>
      <c r="FQ190" s="108" t="str">
        <f t="shared" si="370"/>
        <v/>
      </c>
      <c r="FR190" s="109" t="str">
        <f t="shared" si="371"/>
        <v/>
      </c>
      <c r="FS190" s="109" t="str">
        <f t="shared" si="299"/>
        <v/>
      </c>
      <c r="FT190" s="110" t="str">
        <f t="shared" si="440"/>
        <v/>
      </c>
      <c r="FV190" s="108" t="str">
        <f t="shared" si="300"/>
        <v/>
      </c>
      <c r="FW190" s="109" t="str">
        <f t="shared" si="372"/>
        <v/>
      </c>
      <c r="FX190" s="109" t="str">
        <f t="shared" si="301"/>
        <v/>
      </c>
      <c r="FY190" s="110" t="str">
        <f t="shared" si="441"/>
        <v/>
      </c>
      <c r="GA190" s="108" t="str">
        <f t="shared" si="373"/>
        <v/>
      </c>
      <c r="GB190" s="109" t="str">
        <f t="shared" si="374"/>
        <v/>
      </c>
      <c r="GC190" s="109" t="str">
        <f t="shared" si="302"/>
        <v/>
      </c>
      <c r="GD190" s="110" t="str">
        <f t="shared" si="442"/>
        <v/>
      </c>
      <c r="GF190" s="108" t="str">
        <f t="shared" si="303"/>
        <v/>
      </c>
      <c r="GG190" s="109" t="str">
        <f t="shared" si="375"/>
        <v/>
      </c>
      <c r="GH190" s="109" t="str">
        <f t="shared" si="304"/>
        <v/>
      </c>
      <c r="GI190" s="110" t="str">
        <f t="shared" si="443"/>
        <v/>
      </c>
      <c r="GK190" s="108" t="str">
        <f t="shared" si="376"/>
        <v/>
      </c>
      <c r="GL190" s="109" t="str">
        <f t="shared" si="377"/>
        <v/>
      </c>
      <c r="GM190" s="109" t="str">
        <f t="shared" si="378"/>
        <v/>
      </c>
      <c r="GN190" s="110" t="str">
        <f t="shared" si="444"/>
        <v/>
      </c>
      <c r="GR190" s="108" t="str">
        <f t="shared" si="305"/>
        <v/>
      </c>
      <c r="GS190" s="109" t="str">
        <f t="shared" si="306"/>
        <v/>
      </c>
      <c r="GT190" s="109" t="str">
        <f t="shared" si="307"/>
        <v/>
      </c>
      <c r="GU190" s="110" t="str">
        <f t="shared" si="308"/>
        <v/>
      </c>
      <c r="GV190" s="51"/>
      <c r="GW190" s="108" t="str">
        <f t="shared" si="309"/>
        <v/>
      </c>
      <c r="GX190" s="109" t="str">
        <f t="shared" si="379"/>
        <v/>
      </c>
      <c r="GY190" s="109" t="str">
        <f t="shared" si="310"/>
        <v/>
      </c>
      <c r="GZ190" s="110" t="str">
        <f t="shared" si="311"/>
        <v/>
      </c>
      <c r="HA190" s="51"/>
      <c r="HB190" s="108" t="str">
        <f t="shared" si="380"/>
        <v/>
      </c>
      <c r="HC190" s="109" t="str">
        <f t="shared" si="381"/>
        <v/>
      </c>
      <c r="HD190" s="109" t="str">
        <f t="shared" si="312"/>
        <v/>
      </c>
      <c r="HE190" s="110" t="str">
        <f t="shared" si="382"/>
        <v/>
      </c>
      <c r="HF190" s="51"/>
      <c r="HG190" s="108" t="str">
        <f t="shared" si="313"/>
        <v/>
      </c>
      <c r="HH190" s="109" t="str">
        <f t="shared" si="383"/>
        <v/>
      </c>
      <c r="HI190" s="109" t="str">
        <f t="shared" si="314"/>
        <v/>
      </c>
      <c r="HJ190" s="110" t="str">
        <f t="shared" si="417"/>
        <v/>
      </c>
      <c r="HK190" s="51"/>
      <c r="HL190" s="108" t="str">
        <f t="shared" si="384"/>
        <v/>
      </c>
      <c r="HM190" s="109" t="str">
        <f t="shared" si="385"/>
        <v/>
      </c>
      <c r="HN190" s="109" t="str">
        <f t="shared" si="315"/>
        <v/>
      </c>
      <c r="HO190" s="110" t="str">
        <f t="shared" si="386"/>
        <v/>
      </c>
      <c r="HP190" s="51"/>
      <c r="HQ190" s="108" t="str">
        <f t="shared" si="316"/>
        <v/>
      </c>
      <c r="HR190" s="109" t="str">
        <f t="shared" si="387"/>
        <v/>
      </c>
      <c r="HS190" s="109" t="str">
        <f t="shared" si="317"/>
        <v/>
      </c>
      <c r="HT190" s="110" t="str">
        <f t="shared" si="418"/>
        <v/>
      </c>
      <c r="HU190" s="51"/>
      <c r="HV190" s="108" t="str">
        <f t="shared" si="388"/>
        <v/>
      </c>
      <c r="HW190" s="109" t="str">
        <f t="shared" si="389"/>
        <v/>
      </c>
      <c r="HX190" s="109" t="str">
        <f t="shared" si="318"/>
        <v/>
      </c>
      <c r="HY190" s="110" t="str">
        <f t="shared" si="390"/>
        <v/>
      </c>
      <c r="HZ190" s="51"/>
      <c r="IA190" s="108" t="str">
        <f t="shared" si="319"/>
        <v/>
      </c>
      <c r="IB190" s="109" t="str">
        <f t="shared" si="391"/>
        <v/>
      </c>
      <c r="IC190" s="109" t="str">
        <f t="shared" si="320"/>
        <v/>
      </c>
      <c r="ID190" s="110" t="str">
        <f t="shared" si="419"/>
        <v/>
      </c>
      <c r="IE190" s="51"/>
      <c r="IF190" s="108" t="str">
        <f t="shared" si="392"/>
        <v/>
      </c>
      <c r="IG190" s="109" t="str">
        <f t="shared" si="393"/>
        <v/>
      </c>
      <c r="IH190" s="109" t="str">
        <f t="shared" si="321"/>
        <v/>
      </c>
      <c r="II190" s="110" t="str">
        <f t="shared" si="394"/>
        <v/>
      </c>
      <c r="IJ190" s="51"/>
      <c r="IK190" s="108" t="str">
        <f t="shared" si="322"/>
        <v/>
      </c>
      <c r="IL190" s="109" t="str">
        <f t="shared" si="395"/>
        <v/>
      </c>
      <c r="IM190" s="109" t="str">
        <f t="shared" si="323"/>
        <v/>
      </c>
      <c r="IN190" s="110" t="str">
        <f t="shared" si="420"/>
        <v/>
      </c>
      <c r="IO190" s="51"/>
      <c r="IP190" s="108" t="str">
        <f t="shared" si="396"/>
        <v/>
      </c>
      <c r="IQ190" s="109" t="str">
        <f t="shared" si="397"/>
        <v/>
      </c>
      <c r="IR190" s="109" t="str">
        <f t="shared" si="324"/>
        <v/>
      </c>
      <c r="IS190" s="110" t="str">
        <f t="shared" si="398"/>
        <v/>
      </c>
      <c r="IT190" s="51"/>
      <c r="IU190" s="108" t="str">
        <f t="shared" si="325"/>
        <v/>
      </c>
      <c r="IV190" s="109" t="str">
        <f t="shared" si="399"/>
        <v/>
      </c>
      <c r="IW190" s="109" t="str">
        <f t="shared" si="326"/>
        <v/>
      </c>
      <c r="IX190" s="110" t="str">
        <f t="shared" si="421"/>
        <v/>
      </c>
      <c r="IY190" s="51"/>
      <c r="IZ190" s="108" t="str">
        <f t="shared" si="400"/>
        <v/>
      </c>
      <c r="JA190" s="109" t="str">
        <f t="shared" si="401"/>
        <v/>
      </c>
      <c r="JB190" s="109" t="str">
        <f t="shared" si="327"/>
        <v/>
      </c>
      <c r="JC190" s="110" t="str">
        <f t="shared" si="402"/>
        <v/>
      </c>
      <c r="JD190" s="51"/>
      <c r="JE190" s="108" t="str">
        <f t="shared" si="328"/>
        <v/>
      </c>
      <c r="JF190" s="109" t="str">
        <f t="shared" si="403"/>
        <v/>
      </c>
      <c r="JG190" s="109" t="str">
        <f t="shared" si="329"/>
        <v/>
      </c>
      <c r="JH190" s="110" t="str">
        <f t="shared" si="422"/>
        <v/>
      </c>
      <c r="JI190" s="51"/>
      <c r="JJ190" s="108" t="str">
        <f t="shared" si="404"/>
        <v/>
      </c>
      <c r="JK190" s="109" t="str">
        <f t="shared" si="405"/>
        <v/>
      </c>
      <c r="JL190" s="109" t="str">
        <f t="shared" si="330"/>
        <v/>
      </c>
      <c r="JM190" s="110" t="str">
        <f t="shared" si="406"/>
        <v/>
      </c>
      <c r="JN190" s="51"/>
      <c r="JO190" s="108" t="str">
        <f t="shared" si="331"/>
        <v/>
      </c>
      <c r="JP190" s="109" t="str">
        <f t="shared" si="407"/>
        <v/>
      </c>
      <c r="JQ190" s="109" t="str">
        <f t="shared" si="332"/>
        <v/>
      </c>
      <c r="JR190" s="110" t="str">
        <f t="shared" si="423"/>
        <v/>
      </c>
      <c r="JS190" s="51"/>
      <c r="JT190" s="108" t="str">
        <f t="shared" si="408"/>
        <v/>
      </c>
      <c r="JU190" s="109" t="str">
        <f t="shared" si="409"/>
        <v/>
      </c>
      <c r="JV190" s="109" t="str">
        <f t="shared" si="333"/>
        <v/>
      </c>
      <c r="JW190" s="110" t="str">
        <f t="shared" si="410"/>
        <v/>
      </c>
      <c r="JX190" s="51"/>
      <c r="JY190" s="108" t="str">
        <f t="shared" si="334"/>
        <v/>
      </c>
      <c r="JZ190" s="109" t="str">
        <f t="shared" si="411"/>
        <v/>
      </c>
      <c r="KA190" s="109" t="str">
        <f t="shared" si="335"/>
        <v/>
      </c>
      <c r="KB190" s="110" t="str">
        <f t="shared" si="424"/>
        <v/>
      </c>
      <c r="KC190" s="51"/>
      <c r="KD190" s="108" t="str">
        <f t="shared" si="412"/>
        <v/>
      </c>
      <c r="KE190" s="109" t="str">
        <f t="shared" si="413"/>
        <v/>
      </c>
      <c r="KF190" s="109" t="str">
        <f t="shared" si="336"/>
        <v/>
      </c>
      <c r="KG190" s="110" t="str">
        <f t="shared" si="337"/>
        <v/>
      </c>
    </row>
    <row r="191" spans="1:293" ht="12" customHeight="1">
      <c r="A191" s="105">
        <f t="array" ref="A191">MAX(IF($J$80:J190&gt;0,$C$80:C190,0))</f>
        <v>43535</v>
      </c>
      <c r="B191" s="81" t="str">
        <f t="shared" si="248"/>
        <v/>
      </c>
      <c r="C191" s="82">
        <f t="shared" si="414"/>
        <v>0</v>
      </c>
      <c r="D191" s="83" t="str">
        <f t="shared" si="249"/>
        <v/>
      </c>
      <c r="E191" s="83" t="str">
        <f t="shared" si="338"/>
        <v/>
      </c>
      <c r="F191" s="83" t="str">
        <f t="shared" si="250"/>
        <v/>
      </c>
      <c r="G191" s="83" t="str">
        <f t="shared" si="251"/>
        <v/>
      </c>
      <c r="H191" s="83" t="str">
        <f t="shared" si="252"/>
        <v/>
      </c>
      <c r="I191" s="105">
        <f t="array" ref="I191">MAX(IF($R$80:R190&gt;0,$L$80:L190,0))</f>
        <v>0</v>
      </c>
      <c r="J191" s="106"/>
      <c r="K191" s="2" t="str">
        <f t="shared" si="253"/>
        <v/>
      </c>
      <c r="L191" s="82">
        <f t="shared" si="415"/>
        <v>0</v>
      </c>
      <c r="M191" s="83" t="str">
        <f t="shared" si="254"/>
        <v/>
      </c>
      <c r="N191" s="83" t="str">
        <f t="shared" si="255"/>
        <v/>
      </c>
      <c r="O191" s="83" t="str">
        <f t="shared" si="256"/>
        <v/>
      </c>
      <c r="P191" s="83" t="str">
        <f t="shared" si="257"/>
        <v/>
      </c>
      <c r="Q191" s="83" t="str">
        <f t="shared" si="258"/>
        <v/>
      </c>
      <c r="R191" s="106"/>
      <c r="S191" s="1"/>
      <c r="U191" s="85" t="e">
        <f t="shared" si="244"/>
        <v>#NUM!</v>
      </c>
      <c r="V191" s="86" t="e">
        <f t="shared" si="339"/>
        <v>#NUM!</v>
      </c>
      <c r="W191" s="87" t="e">
        <f t="shared" si="259"/>
        <v>#NUM!</v>
      </c>
      <c r="X191" s="87" t="e">
        <f t="shared" si="260"/>
        <v>#NUM!</v>
      </c>
      <c r="Y191" s="87" t="e">
        <f t="shared" si="261"/>
        <v>#NUM!</v>
      </c>
      <c r="Z191" s="88" t="e">
        <f t="shared" si="245"/>
        <v>#NUM!</v>
      </c>
      <c r="AA191" t="s">
        <v>282</v>
      </c>
      <c r="AB191" s="89">
        <f t="shared" si="340"/>
        <v>0</v>
      </c>
      <c r="AC191" s="87">
        <f t="shared" si="262"/>
        <v>0</v>
      </c>
      <c r="AD191" s="87" t="str">
        <f t="shared" si="263"/>
        <v/>
      </c>
      <c r="AE191" s="87" t="str">
        <f t="shared" si="264"/>
        <v/>
      </c>
      <c r="AF191" s="86">
        <f t="shared" si="341"/>
        <v>0</v>
      </c>
      <c r="AG191" s="87">
        <f t="shared" si="246"/>
        <v>0</v>
      </c>
      <c r="AH191" s="87">
        <f t="shared" si="342"/>
        <v>0</v>
      </c>
      <c r="AI191" s="90"/>
      <c r="AJ191" s="87" t="e">
        <f t="shared" si="265"/>
        <v>#NUM!</v>
      </c>
      <c r="AK191" s="87" t="e">
        <f t="shared" si="343"/>
        <v>#NUM!</v>
      </c>
      <c r="AL191" s="87" t="e">
        <f t="shared" si="344"/>
        <v>#NUM!</v>
      </c>
      <c r="AM191" s="87" t="e">
        <f t="shared" si="345"/>
        <v>#NUM!</v>
      </c>
      <c r="AN191" s="86">
        <f t="shared" si="266"/>
        <v>0</v>
      </c>
      <c r="AO191" s="87">
        <f t="shared" si="267"/>
        <v>0</v>
      </c>
      <c r="AP191" s="88">
        <f t="shared" si="268"/>
        <v>0</v>
      </c>
      <c r="AR191" s="91">
        <f t="shared" si="269"/>
        <v>0</v>
      </c>
      <c r="AS191" s="92">
        <f t="shared" si="270"/>
        <v>0</v>
      </c>
      <c r="AT191" s="87" t="str">
        <f t="shared" si="271"/>
        <v/>
      </c>
      <c r="AU191" s="87" t="str">
        <f t="shared" si="272"/>
        <v/>
      </c>
      <c r="AV191" s="86">
        <f t="shared" si="346"/>
        <v>0</v>
      </c>
      <c r="AW191" s="87">
        <f t="shared" si="347"/>
        <v>0</v>
      </c>
      <c r="AX191" s="87">
        <f t="shared" si="348"/>
        <v>0</v>
      </c>
      <c r="AY191" s="93"/>
      <c r="AZ191" s="87">
        <f t="shared" si="425"/>
        <v>0</v>
      </c>
      <c r="BA191" s="87">
        <f t="shared" si="349"/>
        <v>0</v>
      </c>
      <c r="BB191" s="87">
        <f t="shared" si="350"/>
        <v>0</v>
      </c>
      <c r="BC191" s="87">
        <f t="shared" si="416"/>
        <v>0</v>
      </c>
      <c r="BD191" s="86" t="e">
        <f t="shared" si="273"/>
        <v>#NUM!</v>
      </c>
      <c r="BE191" s="87" t="e">
        <f t="shared" si="247"/>
        <v>#NUM!</v>
      </c>
      <c r="BF191" s="88">
        <f t="shared" si="351"/>
        <v>0</v>
      </c>
      <c r="BH191" s="87" t="e">
        <f t="shared" si="274"/>
        <v>#NUM!</v>
      </c>
      <c r="BK191" s="95">
        <v>42104</v>
      </c>
      <c r="BL191" s="96">
        <v>112</v>
      </c>
      <c r="CY191" s="108" t="str">
        <f t="shared" si="275"/>
        <v/>
      </c>
      <c r="CZ191" s="109" t="str">
        <f t="shared" si="276"/>
        <v/>
      </c>
      <c r="DA191" s="109" t="str">
        <f t="shared" si="277"/>
        <v/>
      </c>
      <c r="DB191" s="110" t="str">
        <f t="shared" si="426"/>
        <v/>
      </c>
      <c r="DD191" s="108" t="str">
        <f t="shared" si="278"/>
        <v/>
      </c>
      <c r="DE191" s="109" t="str">
        <f t="shared" si="352"/>
        <v/>
      </c>
      <c r="DF191" s="109" t="str">
        <f t="shared" si="279"/>
        <v/>
      </c>
      <c r="DG191" s="110" t="str">
        <f t="shared" si="427"/>
        <v/>
      </c>
      <c r="DI191" s="108" t="str">
        <f t="shared" si="353"/>
        <v/>
      </c>
      <c r="DJ191" s="109" t="str">
        <f t="shared" si="354"/>
        <v/>
      </c>
      <c r="DK191" s="109" t="str">
        <f t="shared" si="280"/>
        <v/>
      </c>
      <c r="DL191" s="110" t="str">
        <f t="shared" si="428"/>
        <v/>
      </c>
      <c r="DN191" s="108" t="str">
        <f t="shared" si="281"/>
        <v/>
      </c>
      <c r="DO191" s="109" t="str">
        <f t="shared" si="282"/>
        <v/>
      </c>
      <c r="DP191" s="109" t="str">
        <f t="shared" si="283"/>
        <v/>
      </c>
      <c r="DQ191" s="110" t="str">
        <f t="shared" si="429"/>
        <v/>
      </c>
      <c r="DS191" s="108" t="str">
        <f t="shared" si="355"/>
        <v/>
      </c>
      <c r="DT191" s="109" t="str">
        <f t="shared" si="356"/>
        <v/>
      </c>
      <c r="DU191" s="109" t="str">
        <f t="shared" si="284"/>
        <v/>
      </c>
      <c r="DV191" s="110" t="str">
        <f t="shared" si="430"/>
        <v/>
      </c>
      <c r="DX191" s="108" t="str">
        <f t="shared" si="285"/>
        <v/>
      </c>
      <c r="DY191" s="109" t="str">
        <f t="shared" si="357"/>
        <v/>
      </c>
      <c r="DZ191" s="109" t="str">
        <f t="shared" si="286"/>
        <v/>
      </c>
      <c r="EA191" s="110" t="str">
        <f t="shared" si="431"/>
        <v/>
      </c>
      <c r="EC191" s="108" t="str">
        <f t="shared" si="358"/>
        <v/>
      </c>
      <c r="ED191" s="109" t="str">
        <f t="shared" si="359"/>
        <v/>
      </c>
      <c r="EE191" s="109" t="str">
        <f t="shared" si="287"/>
        <v/>
      </c>
      <c r="EF191" s="110" t="str">
        <f t="shared" si="432"/>
        <v/>
      </c>
      <c r="EH191" s="108" t="str">
        <f t="shared" si="288"/>
        <v/>
      </c>
      <c r="EI191" s="109" t="str">
        <f t="shared" si="360"/>
        <v/>
      </c>
      <c r="EJ191" s="109" t="str">
        <f t="shared" si="289"/>
        <v/>
      </c>
      <c r="EK191" s="110" t="str">
        <f t="shared" si="433"/>
        <v/>
      </c>
      <c r="EM191" s="108" t="str">
        <f t="shared" si="361"/>
        <v/>
      </c>
      <c r="EN191" s="109" t="str">
        <f t="shared" si="362"/>
        <v/>
      </c>
      <c r="EO191" s="109" t="str">
        <f t="shared" si="290"/>
        <v/>
      </c>
      <c r="EP191" s="110" t="str">
        <f t="shared" si="434"/>
        <v/>
      </c>
      <c r="ER191" s="108" t="str">
        <f t="shared" si="291"/>
        <v/>
      </c>
      <c r="ES191" s="109" t="str">
        <f t="shared" si="363"/>
        <v/>
      </c>
      <c r="ET191" s="109" t="str">
        <f t="shared" si="292"/>
        <v/>
      </c>
      <c r="EU191" s="110" t="str">
        <f t="shared" si="435"/>
        <v/>
      </c>
      <c r="EW191" s="108" t="str">
        <f t="shared" si="364"/>
        <v/>
      </c>
      <c r="EX191" s="109" t="str">
        <f t="shared" si="365"/>
        <v/>
      </c>
      <c r="EY191" s="109" t="str">
        <f t="shared" si="293"/>
        <v/>
      </c>
      <c r="EZ191" s="110" t="str">
        <f t="shared" si="436"/>
        <v/>
      </c>
      <c r="FB191" s="108" t="str">
        <f t="shared" si="294"/>
        <v/>
      </c>
      <c r="FC191" s="109" t="str">
        <f t="shared" si="366"/>
        <v/>
      </c>
      <c r="FD191" s="109" t="str">
        <f t="shared" si="295"/>
        <v/>
      </c>
      <c r="FE191" s="110" t="str">
        <f t="shared" si="437"/>
        <v/>
      </c>
      <c r="FG191" s="108" t="str">
        <f t="shared" si="367"/>
        <v/>
      </c>
      <c r="FH191" s="109" t="str">
        <f t="shared" si="368"/>
        <v/>
      </c>
      <c r="FI191" s="109" t="str">
        <f t="shared" si="296"/>
        <v/>
      </c>
      <c r="FJ191" s="110" t="str">
        <f t="shared" si="438"/>
        <v/>
      </c>
      <c r="FL191" s="108" t="str">
        <f t="shared" si="297"/>
        <v/>
      </c>
      <c r="FM191" s="109" t="str">
        <f t="shared" si="369"/>
        <v/>
      </c>
      <c r="FN191" s="109" t="str">
        <f t="shared" si="298"/>
        <v/>
      </c>
      <c r="FO191" s="110" t="str">
        <f t="shared" si="439"/>
        <v/>
      </c>
      <c r="FQ191" s="108" t="str">
        <f t="shared" si="370"/>
        <v/>
      </c>
      <c r="FR191" s="109" t="str">
        <f t="shared" si="371"/>
        <v/>
      </c>
      <c r="FS191" s="109" t="str">
        <f t="shared" si="299"/>
        <v/>
      </c>
      <c r="FT191" s="110" t="str">
        <f t="shared" si="440"/>
        <v/>
      </c>
      <c r="FV191" s="108" t="str">
        <f t="shared" si="300"/>
        <v/>
      </c>
      <c r="FW191" s="109" t="str">
        <f t="shared" si="372"/>
        <v/>
      </c>
      <c r="FX191" s="109" t="str">
        <f t="shared" si="301"/>
        <v/>
      </c>
      <c r="FY191" s="110" t="str">
        <f t="shared" si="441"/>
        <v/>
      </c>
      <c r="GA191" s="108" t="str">
        <f t="shared" si="373"/>
        <v/>
      </c>
      <c r="GB191" s="109" t="str">
        <f t="shared" si="374"/>
        <v/>
      </c>
      <c r="GC191" s="109" t="str">
        <f t="shared" si="302"/>
        <v/>
      </c>
      <c r="GD191" s="110" t="str">
        <f t="shared" si="442"/>
        <v/>
      </c>
      <c r="GF191" s="108" t="str">
        <f t="shared" si="303"/>
        <v/>
      </c>
      <c r="GG191" s="109" t="str">
        <f t="shared" si="375"/>
        <v/>
      </c>
      <c r="GH191" s="109" t="str">
        <f t="shared" si="304"/>
        <v/>
      </c>
      <c r="GI191" s="110" t="str">
        <f t="shared" si="443"/>
        <v/>
      </c>
      <c r="GK191" s="108" t="str">
        <f t="shared" si="376"/>
        <v/>
      </c>
      <c r="GL191" s="109" t="str">
        <f t="shared" si="377"/>
        <v/>
      </c>
      <c r="GM191" s="109" t="str">
        <f t="shared" si="378"/>
        <v/>
      </c>
      <c r="GN191" s="110" t="str">
        <f t="shared" si="444"/>
        <v/>
      </c>
      <c r="GR191" s="108" t="str">
        <f t="shared" si="305"/>
        <v/>
      </c>
      <c r="GS191" s="109" t="str">
        <f t="shared" si="306"/>
        <v/>
      </c>
      <c r="GT191" s="109" t="str">
        <f t="shared" si="307"/>
        <v/>
      </c>
      <c r="GU191" s="110" t="str">
        <f t="shared" si="308"/>
        <v/>
      </c>
      <c r="GV191" s="51"/>
      <c r="GW191" s="108" t="str">
        <f t="shared" si="309"/>
        <v/>
      </c>
      <c r="GX191" s="109" t="str">
        <f t="shared" si="379"/>
        <v/>
      </c>
      <c r="GY191" s="109" t="str">
        <f t="shared" si="310"/>
        <v/>
      </c>
      <c r="GZ191" s="110" t="str">
        <f t="shared" si="311"/>
        <v/>
      </c>
      <c r="HA191" s="51"/>
      <c r="HB191" s="108" t="str">
        <f t="shared" si="380"/>
        <v/>
      </c>
      <c r="HC191" s="109" t="str">
        <f t="shared" si="381"/>
        <v/>
      </c>
      <c r="HD191" s="109" t="str">
        <f t="shared" si="312"/>
        <v/>
      </c>
      <c r="HE191" s="110" t="str">
        <f t="shared" si="382"/>
        <v/>
      </c>
      <c r="HF191" s="51"/>
      <c r="HG191" s="108" t="str">
        <f t="shared" si="313"/>
        <v/>
      </c>
      <c r="HH191" s="109" t="str">
        <f t="shared" si="383"/>
        <v/>
      </c>
      <c r="HI191" s="109" t="str">
        <f t="shared" si="314"/>
        <v/>
      </c>
      <c r="HJ191" s="110" t="str">
        <f t="shared" si="417"/>
        <v/>
      </c>
      <c r="HK191" s="51"/>
      <c r="HL191" s="108" t="str">
        <f t="shared" si="384"/>
        <v/>
      </c>
      <c r="HM191" s="109" t="str">
        <f t="shared" si="385"/>
        <v/>
      </c>
      <c r="HN191" s="109" t="str">
        <f t="shared" si="315"/>
        <v/>
      </c>
      <c r="HO191" s="110" t="str">
        <f t="shared" si="386"/>
        <v/>
      </c>
      <c r="HP191" s="51"/>
      <c r="HQ191" s="108" t="str">
        <f t="shared" si="316"/>
        <v/>
      </c>
      <c r="HR191" s="109" t="str">
        <f t="shared" si="387"/>
        <v/>
      </c>
      <c r="HS191" s="109" t="str">
        <f t="shared" si="317"/>
        <v/>
      </c>
      <c r="HT191" s="110" t="str">
        <f t="shared" si="418"/>
        <v/>
      </c>
      <c r="HU191" s="51"/>
      <c r="HV191" s="108" t="str">
        <f t="shared" si="388"/>
        <v/>
      </c>
      <c r="HW191" s="109" t="str">
        <f t="shared" si="389"/>
        <v/>
      </c>
      <c r="HX191" s="109" t="str">
        <f t="shared" si="318"/>
        <v/>
      </c>
      <c r="HY191" s="110" t="str">
        <f t="shared" si="390"/>
        <v/>
      </c>
      <c r="HZ191" s="51"/>
      <c r="IA191" s="108" t="str">
        <f t="shared" si="319"/>
        <v/>
      </c>
      <c r="IB191" s="109" t="str">
        <f t="shared" si="391"/>
        <v/>
      </c>
      <c r="IC191" s="109" t="str">
        <f t="shared" si="320"/>
        <v/>
      </c>
      <c r="ID191" s="110" t="str">
        <f t="shared" si="419"/>
        <v/>
      </c>
      <c r="IE191" s="51"/>
      <c r="IF191" s="108" t="str">
        <f t="shared" si="392"/>
        <v/>
      </c>
      <c r="IG191" s="109" t="str">
        <f t="shared" si="393"/>
        <v/>
      </c>
      <c r="IH191" s="109" t="str">
        <f t="shared" si="321"/>
        <v/>
      </c>
      <c r="II191" s="110" t="str">
        <f t="shared" si="394"/>
        <v/>
      </c>
      <c r="IJ191" s="51"/>
      <c r="IK191" s="108" t="str">
        <f t="shared" si="322"/>
        <v/>
      </c>
      <c r="IL191" s="109" t="str">
        <f t="shared" si="395"/>
        <v/>
      </c>
      <c r="IM191" s="109" t="str">
        <f t="shared" si="323"/>
        <v/>
      </c>
      <c r="IN191" s="110" t="str">
        <f t="shared" si="420"/>
        <v/>
      </c>
      <c r="IO191" s="51"/>
      <c r="IP191" s="108" t="str">
        <f t="shared" si="396"/>
        <v/>
      </c>
      <c r="IQ191" s="109" t="str">
        <f t="shared" si="397"/>
        <v/>
      </c>
      <c r="IR191" s="109" t="str">
        <f t="shared" si="324"/>
        <v/>
      </c>
      <c r="IS191" s="110" t="str">
        <f t="shared" si="398"/>
        <v/>
      </c>
      <c r="IT191" s="51"/>
      <c r="IU191" s="108" t="str">
        <f t="shared" si="325"/>
        <v/>
      </c>
      <c r="IV191" s="109" t="str">
        <f t="shared" si="399"/>
        <v/>
      </c>
      <c r="IW191" s="109" t="str">
        <f t="shared" si="326"/>
        <v/>
      </c>
      <c r="IX191" s="110" t="str">
        <f t="shared" si="421"/>
        <v/>
      </c>
      <c r="IY191" s="51"/>
      <c r="IZ191" s="108" t="str">
        <f t="shared" si="400"/>
        <v/>
      </c>
      <c r="JA191" s="109" t="str">
        <f t="shared" si="401"/>
        <v/>
      </c>
      <c r="JB191" s="109" t="str">
        <f t="shared" si="327"/>
        <v/>
      </c>
      <c r="JC191" s="110" t="str">
        <f t="shared" si="402"/>
        <v/>
      </c>
      <c r="JD191" s="51"/>
      <c r="JE191" s="108" t="str">
        <f t="shared" si="328"/>
        <v/>
      </c>
      <c r="JF191" s="109" t="str">
        <f t="shared" si="403"/>
        <v/>
      </c>
      <c r="JG191" s="109" t="str">
        <f t="shared" si="329"/>
        <v/>
      </c>
      <c r="JH191" s="110" t="str">
        <f t="shared" si="422"/>
        <v/>
      </c>
      <c r="JI191" s="51"/>
      <c r="JJ191" s="108" t="str">
        <f t="shared" si="404"/>
        <v/>
      </c>
      <c r="JK191" s="109" t="str">
        <f t="shared" si="405"/>
        <v/>
      </c>
      <c r="JL191" s="109" t="str">
        <f t="shared" si="330"/>
        <v/>
      </c>
      <c r="JM191" s="110" t="str">
        <f t="shared" si="406"/>
        <v/>
      </c>
      <c r="JN191" s="51"/>
      <c r="JO191" s="108" t="str">
        <f t="shared" si="331"/>
        <v/>
      </c>
      <c r="JP191" s="109" t="str">
        <f t="shared" si="407"/>
        <v/>
      </c>
      <c r="JQ191" s="109" t="str">
        <f t="shared" si="332"/>
        <v/>
      </c>
      <c r="JR191" s="110" t="str">
        <f t="shared" si="423"/>
        <v/>
      </c>
      <c r="JS191" s="51"/>
      <c r="JT191" s="108" t="str">
        <f t="shared" si="408"/>
        <v/>
      </c>
      <c r="JU191" s="109" t="str">
        <f t="shared" si="409"/>
        <v/>
      </c>
      <c r="JV191" s="109" t="str">
        <f t="shared" si="333"/>
        <v/>
      </c>
      <c r="JW191" s="110" t="str">
        <f t="shared" si="410"/>
        <v/>
      </c>
      <c r="JX191" s="51"/>
      <c r="JY191" s="108" t="str">
        <f t="shared" si="334"/>
        <v/>
      </c>
      <c r="JZ191" s="109" t="str">
        <f t="shared" si="411"/>
        <v/>
      </c>
      <c r="KA191" s="109" t="str">
        <f t="shared" si="335"/>
        <v/>
      </c>
      <c r="KB191" s="110" t="str">
        <f t="shared" si="424"/>
        <v/>
      </c>
      <c r="KC191" s="51"/>
      <c r="KD191" s="108" t="str">
        <f t="shared" si="412"/>
        <v/>
      </c>
      <c r="KE191" s="109" t="str">
        <f t="shared" si="413"/>
        <v/>
      </c>
      <c r="KF191" s="109" t="str">
        <f t="shared" si="336"/>
        <v/>
      </c>
      <c r="KG191" s="110" t="str">
        <f t="shared" si="337"/>
        <v/>
      </c>
    </row>
    <row r="192" spans="1:293" ht="12" customHeight="1">
      <c r="A192" s="105">
        <f t="array" ref="A192">MAX(IF($J$80:J191&gt;0,$C$80:C191,0))</f>
        <v>43535</v>
      </c>
      <c r="B192" s="81" t="str">
        <f t="shared" si="248"/>
        <v/>
      </c>
      <c r="C192" s="82">
        <f t="shared" si="414"/>
        <v>0</v>
      </c>
      <c r="D192" s="83" t="str">
        <f t="shared" si="249"/>
        <v/>
      </c>
      <c r="E192" s="83" t="str">
        <f t="shared" si="338"/>
        <v/>
      </c>
      <c r="F192" s="83" t="str">
        <f t="shared" si="250"/>
        <v/>
      </c>
      <c r="G192" s="83" t="str">
        <f t="shared" si="251"/>
        <v/>
      </c>
      <c r="H192" s="83" t="str">
        <f t="shared" si="252"/>
        <v/>
      </c>
      <c r="I192" s="105">
        <f t="array" ref="I192">MAX(IF($R$80:R191&gt;0,$L$80:L191,0))</f>
        <v>0</v>
      </c>
      <c r="J192" s="106"/>
      <c r="K192" s="2" t="str">
        <f t="shared" si="253"/>
        <v/>
      </c>
      <c r="L192" s="82">
        <f t="shared" si="415"/>
        <v>0</v>
      </c>
      <c r="M192" s="83" t="str">
        <f t="shared" si="254"/>
        <v/>
      </c>
      <c r="N192" s="83" t="str">
        <f t="shared" si="255"/>
        <v/>
      </c>
      <c r="O192" s="83" t="str">
        <f t="shared" si="256"/>
        <v/>
      </c>
      <c r="P192" s="83" t="str">
        <f t="shared" si="257"/>
        <v/>
      </c>
      <c r="Q192" s="83" t="str">
        <f t="shared" si="258"/>
        <v/>
      </c>
      <c r="R192" s="106"/>
      <c r="S192" s="1"/>
      <c r="U192" s="85" t="e">
        <f t="shared" si="244"/>
        <v>#NUM!</v>
      </c>
      <c r="V192" s="86" t="e">
        <f t="shared" si="339"/>
        <v>#NUM!</v>
      </c>
      <c r="W192" s="87" t="e">
        <f t="shared" si="259"/>
        <v>#NUM!</v>
      </c>
      <c r="X192" s="87" t="e">
        <f t="shared" si="260"/>
        <v>#NUM!</v>
      </c>
      <c r="Y192" s="87" t="e">
        <f t="shared" si="261"/>
        <v>#NUM!</v>
      </c>
      <c r="Z192" s="88" t="e">
        <f t="shared" si="245"/>
        <v>#NUM!</v>
      </c>
      <c r="AA192" t="s">
        <v>282</v>
      </c>
      <c r="AB192" s="89">
        <f t="shared" si="340"/>
        <v>0</v>
      </c>
      <c r="AC192" s="87">
        <f t="shared" si="262"/>
        <v>0</v>
      </c>
      <c r="AD192" s="87" t="str">
        <f t="shared" si="263"/>
        <v/>
      </c>
      <c r="AE192" s="87" t="str">
        <f t="shared" si="264"/>
        <v/>
      </c>
      <c r="AF192" s="86">
        <f t="shared" si="341"/>
        <v>0</v>
      </c>
      <c r="AG192" s="87">
        <f t="shared" si="246"/>
        <v>0</v>
      </c>
      <c r="AH192" s="87">
        <f t="shared" si="342"/>
        <v>0</v>
      </c>
      <c r="AI192" s="90"/>
      <c r="AJ192" s="87" t="e">
        <f t="shared" si="265"/>
        <v>#NUM!</v>
      </c>
      <c r="AK192" s="87" t="e">
        <f t="shared" si="343"/>
        <v>#NUM!</v>
      </c>
      <c r="AL192" s="87" t="e">
        <f t="shared" si="344"/>
        <v>#NUM!</v>
      </c>
      <c r="AM192" s="87" t="e">
        <f t="shared" si="345"/>
        <v>#NUM!</v>
      </c>
      <c r="AN192" s="86">
        <f t="shared" si="266"/>
        <v>0</v>
      </c>
      <c r="AO192" s="87">
        <f t="shared" si="267"/>
        <v>0</v>
      </c>
      <c r="AP192" s="88">
        <f t="shared" si="268"/>
        <v>0</v>
      </c>
      <c r="AR192" s="91">
        <f t="shared" si="269"/>
        <v>0</v>
      </c>
      <c r="AS192" s="92">
        <f t="shared" si="270"/>
        <v>0</v>
      </c>
      <c r="AT192" s="87" t="str">
        <f t="shared" si="271"/>
        <v/>
      </c>
      <c r="AU192" s="87" t="str">
        <f t="shared" si="272"/>
        <v/>
      </c>
      <c r="AV192" s="86">
        <f t="shared" si="346"/>
        <v>0</v>
      </c>
      <c r="AW192" s="87">
        <f t="shared" si="347"/>
        <v>0</v>
      </c>
      <c r="AX192" s="87">
        <f t="shared" si="348"/>
        <v>0</v>
      </c>
      <c r="AY192" s="93"/>
      <c r="AZ192" s="87">
        <f t="shared" si="425"/>
        <v>0</v>
      </c>
      <c r="BA192" s="87">
        <f t="shared" si="349"/>
        <v>0</v>
      </c>
      <c r="BB192" s="87">
        <f t="shared" si="350"/>
        <v>0</v>
      </c>
      <c r="BC192" s="87">
        <f t="shared" si="416"/>
        <v>0</v>
      </c>
      <c r="BD192" s="86" t="e">
        <f t="shared" si="273"/>
        <v>#NUM!</v>
      </c>
      <c r="BE192" s="87" t="e">
        <f t="shared" si="247"/>
        <v>#NUM!</v>
      </c>
      <c r="BF192" s="88">
        <f t="shared" si="351"/>
        <v>0</v>
      </c>
      <c r="BH192" s="87" t="e">
        <f t="shared" si="274"/>
        <v>#NUM!</v>
      </c>
      <c r="BK192" s="95">
        <v>42107</v>
      </c>
      <c r="BL192" s="96">
        <v>113</v>
      </c>
      <c r="CY192" s="108" t="str">
        <f t="shared" si="275"/>
        <v/>
      </c>
      <c r="CZ192" s="109" t="str">
        <f t="shared" si="276"/>
        <v/>
      </c>
      <c r="DA192" s="109" t="str">
        <f t="shared" si="277"/>
        <v/>
      </c>
      <c r="DB192" s="110" t="str">
        <f t="shared" si="426"/>
        <v/>
      </c>
      <c r="DD192" s="108" t="str">
        <f t="shared" si="278"/>
        <v/>
      </c>
      <c r="DE192" s="109" t="str">
        <f t="shared" si="352"/>
        <v/>
      </c>
      <c r="DF192" s="109" t="str">
        <f t="shared" si="279"/>
        <v/>
      </c>
      <c r="DG192" s="110" t="str">
        <f t="shared" si="427"/>
        <v/>
      </c>
      <c r="DI192" s="108" t="str">
        <f t="shared" si="353"/>
        <v/>
      </c>
      <c r="DJ192" s="109" t="str">
        <f t="shared" si="354"/>
        <v/>
      </c>
      <c r="DK192" s="109" t="str">
        <f t="shared" si="280"/>
        <v/>
      </c>
      <c r="DL192" s="110" t="str">
        <f t="shared" si="428"/>
        <v/>
      </c>
      <c r="DN192" s="108" t="str">
        <f t="shared" si="281"/>
        <v/>
      </c>
      <c r="DO192" s="109" t="str">
        <f t="shared" si="282"/>
        <v/>
      </c>
      <c r="DP192" s="109" t="str">
        <f t="shared" si="283"/>
        <v/>
      </c>
      <c r="DQ192" s="110" t="str">
        <f t="shared" si="429"/>
        <v/>
      </c>
      <c r="DS192" s="108" t="str">
        <f t="shared" si="355"/>
        <v/>
      </c>
      <c r="DT192" s="109" t="str">
        <f t="shared" si="356"/>
        <v/>
      </c>
      <c r="DU192" s="109" t="str">
        <f t="shared" si="284"/>
        <v/>
      </c>
      <c r="DV192" s="110" t="str">
        <f t="shared" si="430"/>
        <v/>
      </c>
      <c r="DX192" s="108" t="str">
        <f t="shared" si="285"/>
        <v/>
      </c>
      <c r="DY192" s="109" t="str">
        <f t="shared" si="357"/>
        <v/>
      </c>
      <c r="DZ192" s="109" t="str">
        <f t="shared" si="286"/>
        <v/>
      </c>
      <c r="EA192" s="110" t="str">
        <f t="shared" si="431"/>
        <v/>
      </c>
      <c r="EC192" s="108" t="str">
        <f t="shared" si="358"/>
        <v/>
      </c>
      <c r="ED192" s="109" t="str">
        <f t="shared" si="359"/>
        <v/>
      </c>
      <c r="EE192" s="109" t="str">
        <f t="shared" si="287"/>
        <v/>
      </c>
      <c r="EF192" s="110" t="str">
        <f t="shared" si="432"/>
        <v/>
      </c>
      <c r="EH192" s="108" t="str">
        <f t="shared" si="288"/>
        <v/>
      </c>
      <c r="EI192" s="109" t="str">
        <f t="shared" si="360"/>
        <v/>
      </c>
      <c r="EJ192" s="109" t="str">
        <f t="shared" si="289"/>
        <v/>
      </c>
      <c r="EK192" s="110" t="str">
        <f t="shared" si="433"/>
        <v/>
      </c>
      <c r="EM192" s="108" t="str">
        <f t="shared" si="361"/>
        <v/>
      </c>
      <c r="EN192" s="109" t="str">
        <f t="shared" si="362"/>
        <v/>
      </c>
      <c r="EO192" s="109" t="str">
        <f t="shared" si="290"/>
        <v/>
      </c>
      <c r="EP192" s="110" t="str">
        <f t="shared" si="434"/>
        <v/>
      </c>
      <c r="ER192" s="108" t="str">
        <f t="shared" si="291"/>
        <v/>
      </c>
      <c r="ES192" s="109" t="str">
        <f t="shared" si="363"/>
        <v/>
      </c>
      <c r="ET192" s="109" t="str">
        <f t="shared" si="292"/>
        <v/>
      </c>
      <c r="EU192" s="110" t="str">
        <f t="shared" si="435"/>
        <v/>
      </c>
      <c r="EW192" s="108" t="str">
        <f t="shared" si="364"/>
        <v/>
      </c>
      <c r="EX192" s="109" t="str">
        <f t="shared" si="365"/>
        <v/>
      </c>
      <c r="EY192" s="109" t="str">
        <f t="shared" si="293"/>
        <v/>
      </c>
      <c r="EZ192" s="110" t="str">
        <f t="shared" si="436"/>
        <v/>
      </c>
      <c r="FB192" s="108" t="str">
        <f t="shared" si="294"/>
        <v/>
      </c>
      <c r="FC192" s="109" t="str">
        <f t="shared" si="366"/>
        <v/>
      </c>
      <c r="FD192" s="109" t="str">
        <f t="shared" si="295"/>
        <v/>
      </c>
      <c r="FE192" s="110" t="str">
        <f t="shared" si="437"/>
        <v/>
      </c>
      <c r="FG192" s="108" t="str">
        <f t="shared" si="367"/>
        <v/>
      </c>
      <c r="FH192" s="109" t="str">
        <f t="shared" si="368"/>
        <v/>
      </c>
      <c r="FI192" s="109" t="str">
        <f t="shared" si="296"/>
        <v/>
      </c>
      <c r="FJ192" s="110" t="str">
        <f t="shared" si="438"/>
        <v/>
      </c>
      <c r="FL192" s="108" t="str">
        <f t="shared" si="297"/>
        <v/>
      </c>
      <c r="FM192" s="109" t="str">
        <f t="shared" si="369"/>
        <v/>
      </c>
      <c r="FN192" s="109" t="str">
        <f t="shared" si="298"/>
        <v/>
      </c>
      <c r="FO192" s="110" t="str">
        <f t="shared" si="439"/>
        <v/>
      </c>
      <c r="FQ192" s="108" t="str">
        <f t="shared" si="370"/>
        <v/>
      </c>
      <c r="FR192" s="109" t="str">
        <f t="shared" si="371"/>
        <v/>
      </c>
      <c r="FS192" s="109" t="str">
        <f t="shared" si="299"/>
        <v/>
      </c>
      <c r="FT192" s="110" t="str">
        <f t="shared" si="440"/>
        <v/>
      </c>
      <c r="FV192" s="108" t="str">
        <f t="shared" si="300"/>
        <v/>
      </c>
      <c r="FW192" s="109" t="str">
        <f t="shared" si="372"/>
        <v/>
      </c>
      <c r="FX192" s="109" t="str">
        <f t="shared" si="301"/>
        <v/>
      </c>
      <c r="FY192" s="110" t="str">
        <f t="shared" si="441"/>
        <v/>
      </c>
      <c r="GA192" s="108" t="str">
        <f t="shared" si="373"/>
        <v/>
      </c>
      <c r="GB192" s="109" t="str">
        <f t="shared" si="374"/>
        <v/>
      </c>
      <c r="GC192" s="109" t="str">
        <f t="shared" si="302"/>
        <v/>
      </c>
      <c r="GD192" s="110" t="str">
        <f t="shared" si="442"/>
        <v/>
      </c>
      <c r="GF192" s="108" t="str">
        <f t="shared" si="303"/>
        <v/>
      </c>
      <c r="GG192" s="109" t="str">
        <f t="shared" si="375"/>
        <v/>
      </c>
      <c r="GH192" s="109" t="str">
        <f t="shared" si="304"/>
        <v/>
      </c>
      <c r="GI192" s="110" t="str">
        <f t="shared" si="443"/>
        <v/>
      </c>
      <c r="GK192" s="108" t="str">
        <f t="shared" si="376"/>
        <v/>
      </c>
      <c r="GL192" s="109" t="str">
        <f t="shared" si="377"/>
        <v/>
      </c>
      <c r="GM192" s="109" t="str">
        <f t="shared" si="378"/>
        <v/>
      </c>
      <c r="GN192" s="110" t="str">
        <f t="shared" si="444"/>
        <v/>
      </c>
      <c r="GR192" s="108" t="str">
        <f t="shared" si="305"/>
        <v/>
      </c>
      <c r="GS192" s="109" t="str">
        <f t="shared" si="306"/>
        <v/>
      </c>
      <c r="GT192" s="109" t="str">
        <f t="shared" si="307"/>
        <v/>
      </c>
      <c r="GU192" s="110" t="str">
        <f t="shared" si="308"/>
        <v/>
      </c>
      <c r="GV192" s="51"/>
      <c r="GW192" s="108" t="str">
        <f t="shared" si="309"/>
        <v/>
      </c>
      <c r="GX192" s="109" t="str">
        <f t="shared" si="379"/>
        <v/>
      </c>
      <c r="GY192" s="109" t="str">
        <f t="shared" si="310"/>
        <v/>
      </c>
      <c r="GZ192" s="110" t="str">
        <f t="shared" si="311"/>
        <v/>
      </c>
      <c r="HA192" s="51"/>
      <c r="HB192" s="108" t="str">
        <f t="shared" si="380"/>
        <v/>
      </c>
      <c r="HC192" s="109" t="str">
        <f t="shared" si="381"/>
        <v/>
      </c>
      <c r="HD192" s="109" t="str">
        <f t="shared" si="312"/>
        <v/>
      </c>
      <c r="HE192" s="110" t="str">
        <f t="shared" si="382"/>
        <v/>
      </c>
      <c r="HF192" s="51"/>
      <c r="HG192" s="108" t="str">
        <f t="shared" si="313"/>
        <v/>
      </c>
      <c r="HH192" s="109" t="str">
        <f t="shared" si="383"/>
        <v/>
      </c>
      <c r="HI192" s="109" t="str">
        <f t="shared" si="314"/>
        <v/>
      </c>
      <c r="HJ192" s="110" t="str">
        <f t="shared" si="417"/>
        <v/>
      </c>
      <c r="HK192" s="51"/>
      <c r="HL192" s="108" t="str">
        <f t="shared" si="384"/>
        <v/>
      </c>
      <c r="HM192" s="109" t="str">
        <f t="shared" si="385"/>
        <v/>
      </c>
      <c r="HN192" s="109" t="str">
        <f t="shared" si="315"/>
        <v/>
      </c>
      <c r="HO192" s="110" t="str">
        <f t="shared" si="386"/>
        <v/>
      </c>
      <c r="HP192" s="51"/>
      <c r="HQ192" s="108" t="str">
        <f t="shared" si="316"/>
        <v/>
      </c>
      <c r="HR192" s="109" t="str">
        <f t="shared" si="387"/>
        <v/>
      </c>
      <c r="HS192" s="109" t="str">
        <f t="shared" si="317"/>
        <v/>
      </c>
      <c r="HT192" s="110" t="str">
        <f t="shared" si="418"/>
        <v/>
      </c>
      <c r="HU192" s="51"/>
      <c r="HV192" s="108" t="str">
        <f t="shared" si="388"/>
        <v/>
      </c>
      <c r="HW192" s="109" t="str">
        <f t="shared" si="389"/>
        <v/>
      </c>
      <c r="HX192" s="109" t="str">
        <f t="shared" si="318"/>
        <v/>
      </c>
      <c r="HY192" s="110" t="str">
        <f t="shared" si="390"/>
        <v/>
      </c>
      <c r="HZ192" s="51"/>
      <c r="IA192" s="108" t="str">
        <f t="shared" si="319"/>
        <v/>
      </c>
      <c r="IB192" s="109" t="str">
        <f t="shared" si="391"/>
        <v/>
      </c>
      <c r="IC192" s="109" t="str">
        <f t="shared" si="320"/>
        <v/>
      </c>
      <c r="ID192" s="110" t="str">
        <f t="shared" si="419"/>
        <v/>
      </c>
      <c r="IE192" s="51"/>
      <c r="IF192" s="108" t="str">
        <f t="shared" si="392"/>
        <v/>
      </c>
      <c r="IG192" s="109" t="str">
        <f t="shared" si="393"/>
        <v/>
      </c>
      <c r="IH192" s="109" t="str">
        <f t="shared" si="321"/>
        <v/>
      </c>
      <c r="II192" s="110" t="str">
        <f t="shared" si="394"/>
        <v/>
      </c>
      <c r="IJ192" s="51"/>
      <c r="IK192" s="108" t="str">
        <f t="shared" si="322"/>
        <v/>
      </c>
      <c r="IL192" s="109" t="str">
        <f t="shared" si="395"/>
        <v/>
      </c>
      <c r="IM192" s="109" t="str">
        <f t="shared" si="323"/>
        <v/>
      </c>
      <c r="IN192" s="110" t="str">
        <f t="shared" si="420"/>
        <v/>
      </c>
      <c r="IO192" s="51"/>
      <c r="IP192" s="108" t="str">
        <f t="shared" si="396"/>
        <v/>
      </c>
      <c r="IQ192" s="109" t="str">
        <f t="shared" si="397"/>
        <v/>
      </c>
      <c r="IR192" s="109" t="str">
        <f t="shared" si="324"/>
        <v/>
      </c>
      <c r="IS192" s="110" t="str">
        <f t="shared" si="398"/>
        <v/>
      </c>
      <c r="IT192" s="51"/>
      <c r="IU192" s="108" t="str">
        <f t="shared" si="325"/>
        <v/>
      </c>
      <c r="IV192" s="109" t="str">
        <f t="shared" si="399"/>
        <v/>
      </c>
      <c r="IW192" s="109" t="str">
        <f t="shared" si="326"/>
        <v/>
      </c>
      <c r="IX192" s="110" t="str">
        <f t="shared" si="421"/>
        <v/>
      </c>
      <c r="IY192" s="51"/>
      <c r="IZ192" s="108" t="str">
        <f t="shared" si="400"/>
        <v/>
      </c>
      <c r="JA192" s="109" t="str">
        <f t="shared" si="401"/>
        <v/>
      </c>
      <c r="JB192" s="109" t="str">
        <f t="shared" si="327"/>
        <v/>
      </c>
      <c r="JC192" s="110" t="str">
        <f t="shared" si="402"/>
        <v/>
      </c>
      <c r="JD192" s="51"/>
      <c r="JE192" s="108" t="str">
        <f t="shared" si="328"/>
        <v/>
      </c>
      <c r="JF192" s="109" t="str">
        <f t="shared" si="403"/>
        <v/>
      </c>
      <c r="JG192" s="109" t="str">
        <f t="shared" si="329"/>
        <v/>
      </c>
      <c r="JH192" s="110" t="str">
        <f t="shared" si="422"/>
        <v/>
      </c>
      <c r="JI192" s="51"/>
      <c r="JJ192" s="108" t="str">
        <f t="shared" si="404"/>
        <v/>
      </c>
      <c r="JK192" s="109" t="str">
        <f t="shared" si="405"/>
        <v/>
      </c>
      <c r="JL192" s="109" t="str">
        <f t="shared" si="330"/>
        <v/>
      </c>
      <c r="JM192" s="110" t="str">
        <f t="shared" si="406"/>
        <v/>
      </c>
      <c r="JN192" s="51"/>
      <c r="JO192" s="108" t="str">
        <f t="shared" si="331"/>
        <v/>
      </c>
      <c r="JP192" s="109" t="str">
        <f t="shared" si="407"/>
        <v/>
      </c>
      <c r="JQ192" s="109" t="str">
        <f t="shared" si="332"/>
        <v/>
      </c>
      <c r="JR192" s="110" t="str">
        <f t="shared" si="423"/>
        <v/>
      </c>
      <c r="JS192" s="51"/>
      <c r="JT192" s="108" t="str">
        <f t="shared" si="408"/>
        <v/>
      </c>
      <c r="JU192" s="109" t="str">
        <f t="shared" si="409"/>
        <v/>
      </c>
      <c r="JV192" s="109" t="str">
        <f t="shared" si="333"/>
        <v/>
      </c>
      <c r="JW192" s="110" t="str">
        <f t="shared" si="410"/>
        <v/>
      </c>
      <c r="JX192" s="51"/>
      <c r="JY192" s="108" t="str">
        <f t="shared" si="334"/>
        <v/>
      </c>
      <c r="JZ192" s="109" t="str">
        <f t="shared" si="411"/>
        <v/>
      </c>
      <c r="KA192" s="109" t="str">
        <f t="shared" si="335"/>
        <v/>
      </c>
      <c r="KB192" s="110" t="str">
        <f t="shared" si="424"/>
        <v/>
      </c>
      <c r="KC192" s="51"/>
      <c r="KD192" s="108" t="str">
        <f t="shared" si="412"/>
        <v/>
      </c>
      <c r="KE192" s="109" t="str">
        <f t="shared" si="413"/>
        <v/>
      </c>
      <c r="KF192" s="109" t="str">
        <f t="shared" si="336"/>
        <v/>
      </c>
      <c r="KG192" s="110" t="str">
        <f t="shared" si="337"/>
        <v/>
      </c>
    </row>
    <row r="193" spans="1:293" ht="12" customHeight="1">
      <c r="A193" s="105">
        <f t="array" ref="A193">MAX(IF($J$80:J192&gt;0,$C$80:C192,0))</f>
        <v>43535</v>
      </c>
      <c r="B193" s="81" t="str">
        <f t="shared" si="248"/>
        <v/>
      </c>
      <c r="C193" s="82">
        <f t="shared" si="414"/>
        <v>0</v>
      </c>
      <c r="D193" s="83" t="str">
        <f t="shared" si="249"/>
        <v/>
      </c>
      <c r="E193" s="83" t="str">
        <f t="shared" si="338"/>
        <v/>
      </c>
      <c r="F193" s="83" t="str">
        <f t="shared" si="250"/>
        <v/>
      </c>
      <c r="G193" s="83" t="str">
        <f t="shared" si="251"/>
        <v/>
      </c>
      <c r="H193" s="83" t="str">
        <f t="shared" si="252"/>
        <v/>
      </c>
      <c r="I193" s="105">
        <f t="array" ref="I193">MAX(IF($R$80:R192&gt;0,$L$80:L192,0))</f>
        <v>0</v>
      </c>
      <c r="J193" s="106"/>
      <c r="K193" s="2" t="str">
        <f t="shared" si="253"/>
        <v/>
      </c>
      <c r="L193" s="82">
        <f t="shared" si="415"/>
        <v>0</v>
      </c>
      <c r="M193" s="83" t="str">
        <f t="shared" si="254"/>
        <v/>
      </c>
      <c r="N193" s="83" t="str">
        <f t="shared" si="255"/>
        <v/>
      </c>
      <c r="O193" s="83" t="str">
        <f t="shared" si="256"/>
        <v/>
      </c>
      <c r="P193" s="83" t="str">
        <f t="shared" si="257"/>
        <v/>
      </c>
      <c r="Q193" s="83" t="str">
        <f t="shared" si="258"/>
        <v/>
      </c>
      <c r="R193" s="106"/>
      <c r="S193" s="1"/>
      <c r="U193" s="85" t="e">
        <f t="shared" si="244"/>
        <v>#NUM!</v>
      </c>
      <c r="V193" s="86" t="e">
        <f t="shared" si="339"/>
        <v>#NUM!</v>
      </c>
      <c r="W193" s="87" t="e">
        <f t="shared" si="259"/>
        <v>#NUM!</v>
      </c>
      <c r="X193" s="87" t="e">
        <f t="shared" si="260"/>
        <v>#NUM!</v>
      </c>
      <c r="Y193" s="87" t="e">
        <f t="shared" si="261"/>
        <v>#NUM!</v>
      </c>
      <c r="Z193" s="88" t="e">
        <f t="shared" si="245"/>
        <v>#NUM!</v>
      </c>
      <c r="AA193" t="s">
        <v>282</v>
      </c>
      <c r="AB193" s="89">
        <f t="shared" si="340"/>
        <v>0</v>
      </c>
      <c r="AC193" s="87">
        <f t="shared" si="262"/>
        <v>0</v>
      </c>
      <c r="AD193" s="87" t="str">
        <f t="shared" si="263"/>
        <v/>
      </c>
      <c r="AE193" s="87" t="str">
        <f t="shared" si="264"/>
        <v/>
      </c>
      <c r="AF193" s="86">
        <f t="shared" si="341"/>
        <v>0</v>
      </c>
      <c r="AG193" s="87">
        <f t="shared" si="246"/>
        <v>0</v>
      </c>
      <c r="AH193" s="87">
        <f t="shared" si="342"/>
        <v>0</v>
      </c>
      <c r="AI193" s="90"/>
      <c r="AJ193" s="87" t="e">
        <f t="shared" si="265"/>
        <v>#NUM!</v>
      </c>
      <c r="AK193" s="87" t="e">
        <f t="shared" si="343"/>
        <v>#NUM!</v>
      </c>
      <c r="AL193" s="87" t="e">
        <f t="shared" si="344"/>
        <v>#NUM!</v>
      </c>
      <c r="AM193" s="87" t="e">
        <f t="shared" si="345"/>
        <v>#NUM!</v>
      </c>
      <c r="AN193" s="86">
        <f t="shared" si="266"/>
        <v>0</v>
      </c>
      <c r="AO193" s="87">
        <f t="shared" si="267"/>
        <v>0</v>
      </c>
      <c r="AP193" s="88">
        <f t="shared" si="268"/>
        <v>0</v>
      </c>
      <c r="AR193" s="91">
        <f t="shared" si="269"/>
        <v>0</v>
      </c>
      <c r="AS193" s="92">
        <f t="shared" si="270"/>
        <v>0</v>
      </c>
      <c r="AT193" s="87" t="str">
        <f t="shared" si="271"/>
        <v/>
      </c>
      <c r="AU193" s="87" t="str">
        <f t="shared" si="272"/>
        <v/>
      </c>
      <c r="AV193" s="86">
        <f t="shared" si="346"/>
        <v>0</v>
      </c>
      <c r="AW193" s="87">
        <f t="shared" si="347"/>
        <v>0</v>
      </c>
      <c r="AX193" s="87">
        <f t="shared" si="348"/>
        <v>0</v>
      </c>
      <c r="AY193" s="93"/>
      <c r="AZ193" s="87">
        <f t="shared" si="425"/>
        <v>0</v>
      </c>
      <c r="BA193" s="87">
        <f t="shared" si="349"/>
        <v>0</v>
      </c>
      <c r="BB193" s="87">
        <f t="shared" si="350"/>
        <v>0</v>
      </c>
      <c r="BC193" s="87">
        <f t="shared" si="416"/>
        <v>0</v>
      </c>
      <c r="BD193" s="86" t="e">
        <f t="shared" si="273"/>
        <v>#NUM!</v>
      </c>
      <c r="BE193" s="87" t="e">
        <f t="shared" si="247"/>
        <v>#NUM!</v>
      </c>
      <c r="BF193" s="88">
        <f t="shared" si="351"/>
        <v>0</v>
      </c>
      <c r="BH193" s="87" t="e">
        <f t="shared" si="274"/>
        <v>#NUM!</v>
      </c>
      <c r="BK193" s="95">
        <v>42133</v>
      </c>
      <c r="BL193" s="96">
        <v>114</v>
      </c>
      <c r="CY193" s="108" t="str">
        <f t="shared" si="275"/>
        <v/>
      </c>
      <c r="CZ193" s="109" t="str">
        <f t="shared" si="276"/>
        <v/>
      </c>
      <c r="DA193" s="109" t="str">
        <f t="shared" si="277"/>
        <v/>
      </c>
      <c r="DB193" s="110" t="str">
        <f t="shared" si="426"/>
        <v/>
      </c>
      <c r="DD193" s="108" t="str">
        <f t="shared" si="278"/>
        <v/>
      </c>
      <c r="DE193" s="109" t="str">
        <f t="shared" si="352"/>
        <v/>
      </c>
      <c r="DF193" s="109" t="str">
        <f t="shared" si="279"/>
        <v/>
      </c>
      <c r="DG193" s="110" t="str">
        <f t="shared" si="427"/>
        <v/>
      </c>
      <c r="DI193" s="108" t="str">
        <f t="shared" si="353"/>
        <v/>
      </c>
      <c r="DJ193" s="109" t="str">
        <f t="shared" si="354"/>
        <v/>
      </c>
      <c r="DK193" s="109" t="str">
        <f t="shared" si="280"/>
        <v/>
      </c>
      <c r="DL193" s="110" t="str">
        <f t="shared" si="428"/>
        <v/>
      </c>
      <c r="DN193" s="108" t="str">
        <f t="shared" si="281"/>
        <v/>
      </c>
      <c r="DO193" s="109" t="str">
        <f t="shared" si="282"/>
        <v/>
      </c>
      <c r="DP193" s="109" t="str">
        <f t="shared" si="283"/>
        <v/>
      </c>
      <c r="DQ193" s="110" t="str">
        <f t="shared" si="429"/>
        <v/>
      </c>
      <c r="DS193" s="108" t="str">
        <f t="shared" si="355"/>
        <v/>
      </c>
      <c r="DT193" s="109" t="str">
        <f t="shared" si="356"/>
        <v/>
      </c>
      <c r="DU193" s="109" t="str">
        <f t="shared" si="284"/>
        <v/>
      </c>
      <c r="DV193" s="110" t="str">
        <f t="shared" si="430"/>
        <v/>
      </c>
      <c r="DX193" s="108" t="str">
        <f t="shared" si="285"/>
        <v/>
      </c>
      <c r="DY193" s="109" t="str">
        <f t="shared" si="357"/>
        <v/>
      </c>
      <c r="DZ193" s="109" t="str">
        <f t="shared" si="286"/>
        <v/>
      </c>
      <c r="EA193" s="110" t="str">
        <f t="shared" si="431"/>
        <v/>
      </c>
      <c r="EC193" s="108" t="str">
        <f t="shared" si="358"/>
        <v/>
      </c>
      <c r="ED193" s="109" t="str">
        <f t="shared" si="359"/>
        <v/>
      </c>
      <c r="EE193" s="109" t="str">
        <f t="shared" si="287"/>
        <v/>
      </c>
      <c r="EF193" s="110" t="str">
        <f t="shared" si="432"/>
        <v/>
      </c>
      <c r="EH193" s="108" t="str">
        <f t="shared" si="288"/>
        <v/>
      </c>
      <c r="EI193" s="109" t="str">
        <f t="shared" si="360"/>
        <v/>
      </c>
      <c r="EJ193" s="109" t="str">
        <f t="shared" si="289"/>
        <v/>
      </c>
      <c r="EK193" s="110" t="str">
        <f t="shared" si="433"/>
        <v/>
      </c>
      <c r="EM193" s="108" t="str">
        <f t="shared" si="361"/>
        <v/>
      </c>
      <c r="EN193" s="109" t="str">
        <f t="shared" si="362"/>
        <v/>
      </c>
      <c r="EO193" s="109" t="str">
        <f t="shared" si="290"/>
        <v/>
      </c>
      <c r="EP193" s="110" t="str">
        <f t="shared" si="434"/>
        <v/>
      </c>
      <c r="ER193" s="108" t="str">
        <f t="shared" si="291"/>
        <v/>
      </c>
      <c r="ES193" s="109" t="str">
        <f t="shared" si="363"/>
        <v/>
      </c>
      <c r="ET193" s="109" t="str">
        <f t="shared" si="292"/>
        <v/>
      </c>
      <c r="EU193" s="110" t="str">
        <f t="shared" si="435"/>
        <v/>
      </c>
      <c r="EW193" s="108" t="str">
        <f t="shared" si="364"/>
        <v/>
      </c>
      <c r="EX193" s="109" t="str">
        <f t="shared" si="365"/>
        <v/>
      </c>
      <c r="EY193" s="109" t="str">
        <f t="shared" si="293"/>
        <v/>
      </c>
      <c r="EZ193" s="110" t="str">
        <f t="shared" si="436"/>
        <v/>
      </c>
      <c r="FB193" s="108" t="str">
        <f t="shared" si="294"/>
        <v/>
      </c>
      <c r="FC193" s="109" t="str">
        <f t="shared" si="366"/>
        <v/>
      </c>
      <c r="FD193" s="109" t="str">
        <f t="shared" si="295"/>
        <v/>
      </c>
      <c r="FE193" s="110" t="str">
        <f t="shared" si="437"/>
        <v/>
      </c>
      <c r="FG193" s="108" t="str">
        <f t="shared" si="367"/>
        <v/>
      </c>
      <c r="FH193" s="109" t="str">
        <f t="shared" si="368"/>
        <v/>
      </c>
      <c r="FI193" s="109" t="str">
        <f t="shared" si="296"/>
        <v/>
      </c>
      <c r="FJ193" s="110" t="str">
        <f t="shared" si="438"/>
        <v/>
      </c>
      <c r="FL193" s="108" t="str">
        <f t="shared" si="297"/>
        <v/>
      </c>
      <c r="FM193" s="109" t="str">
        <f t="shared" si="369"/>
        <v/>
      </c>
      <c r="FN193" s="109" t="str">
        <f t="shared" si="298"/>
        <v/>
      </c>
      <c r="FO193" s="110" t="str">
        <f t="shared" si="439"/>
        <v/>
      </c>
      <c r="FQ193" s="108" t="str">
        <f t="shared" si="370"/>
        <v/>
      </c>
      <c r="FR193" s="109" t="str">
        <f t="shared" si="371"/>
        <v/>
      </c>
      <c r="FS193" s="109" t="str">
        <f t="shared" si="299"/>
        <v/>
      </c>
      <c r="FT193" s="110" t="str">
        <f t="shared" si="440"/>
        <v/>
      </c>
      <c r="FV193" s="108" t="str">
        <f t="shared" si="300"/>
        <v/>
      </c>
      <c r="FW193" s="109" t="str">
        <f t="shared" si="372"/>
        <v/>
      </c>
      <c r="FX193" s="109" t="str">
        <f t="shared" si="301"/>
        <v/>
      </c>
      <c r="FY193" s="110" t="str">
        <f t="shared" si="441"/>
        <v/>
      </c>
      <c r="GA193" s="108" t="str">
        <f t="shared" si="373"/>
        <v/>
      </c>
      <c r="GB193" s="109" t="str">
        <f t="shared" si="374"/>
        <v/>
      </c>
      <c r="GC193" s="109" t="str">
        <f t="shared" si="302"/>
        <v/>
      </c>
      <c r="GD193" s="110" t="str">
        <f t="shared" si="442"/>
        <v/>
      </c>
      <c r="GF193" s="108" t="str">
        <f t="shared" si="303"/>
        <v/>
      </c>
      <c r="GG193" s="109" t="str">
        <f t="shared" si="375"/>
        <v/>
      </c>
      <c r="GH193" s="109" t="str">
        <f t="shared" si="304"/>
        <v/>
      </c>
      <c r="GI193" s="110" t="str">
        <f t="shared" si="443"/>
        <v/>
      </c>
      <c r="GK193" s="108" t="str">
        <f t="shared" si="376"/>
        <v/>
      </c>
      <c r="GL193" s="109" t="str">
        <f t="shared" si="377"/>
        <v/>
      </c>
      <c r="GM193" s="109" t="str">
        <f t="shared" si="378"/>
        <v/>
      </c>
      <c r="GN193" s="110" t="str">
        <f t="shared" si="444"/>
        <v/>
      </c>
      <c r="GR193" s="108" t="str">
        <f t="shared" si="305"/>
        <v/>
      </c>
      <c r="GS193" s="109" t="str">
        <f t="shared" si="306"/>
        <v/>
      </c>
      <c r="GT193" s="109" t="str">
        <f t="shared" si="307"/>
        <v/>
      </c>
      <c r="GU193" s="110" t="str">
        <f t="shared" si="308"/>
        <v/>
      </c>
      <c r="GV193" s="51"/>
      <c r="GW193" s="108" t="str">
        <f t="shared" si="309"/>
        <v/>
      </c>
      <c r="GX193" s="109" t="str">
        <f t="shared" si="379"/>
        <v/>
      </c>
      <c r="GY193" s="109" t="str">
        <f t="shared" si="310"/>
        <v/>
      </c>
      <c r="GZ193" s="110" t="str">
        <f t="shared" si="311"/>
        <v/>
      </c>
      <c r="HA193" s="51"/>
      <c r="HB193" s="108" t="str">
        <f t="shared" si="380"/>
        <v/>
      </c>
      <c r="HC193" s="109" t="str">
        <f t="shared" si="381"/>
        <v/>
      </c>
      <c r="HD193" s="109" t="str">
        <f t="shared" si="312"/>
        <v/>
      </c>
      <c r="HE193" s="110" t="str">
        <f t="shared" si="382"/>
        <v/>
      </c>
      <c r="HF193" s="51"/>
      <c r="HG193" s="108" t="str">
        <f t="shared" si="313"/>
        <v/>
      </c>
      <c r="HH193" s="109" t="str">
        <f t="shared" si="383"/>
        <v/>
      </c>
      <c r="HI193" s="109" t="str">
        <f t="shared" si="314"/>
        <v/>
      </c>
      <c r="HJ193" s="110" t="str">
        <f t="shared" si="417"/>
        <v/>
      </c>
      <c r="HK193" s="51"/>
      <c r="HL193" s="108" t="str">
        <f t="shared" si="384"/>
        <v/>
      </c>
      <c r="HM193" s="109" t="str">
        <f t="shared" si="385"/>
        <v/>
      </c>
      <c r="HN193" s="109" t="str">
        <f t="shared" si="315"/>
        <v/>
      </c>
      <c r="HO193" s="110" t="str">
        <f t="shared" si="386"/>
        <v/>
      </c>
      <c r="HP193" s="51"/>
      <c r="HQ193" s="108" t="str">
        <f t="shared" si="316"/>
        <v/>
      </c>
      <c r="HR193" s="109" t="str">
        <f t="shared" si="387"/>
        <v/>
      </c>
      <c r="HS193" s="109" t="str">
        <f t="shared" si="317"/>
        <v/>
      </c>
      <c r="HT193" s="110" t="str">
        <f t="shared" si="418"/>
        <v/>
      </c>
      <c r="HU193" s="51"/>
      <c r="HV193" s="108" t="str">
        <f t="shared" si="388"/>
        <v/>
      </c>
      <c r="HW193" s="109" t="str">
        <f t="shared" si="389"/>
        <v/>
      </c>
      <c r="HX193" s="109" t="str">
        <f t="shared" si="318"/>
        <v/>
      </c>
      <c r="HY193" s="110" t="str">
        <f t="shared" si="390"/>
        <v/>
      </c>
      <c r="HZ193" s="51"/>
      <c r="IA193" s="108" t="str">
        <f t="shared" si="319"/>
        <v/>
      </c>
      <c r="IB193" s="109" t="str">
        <f t="shared" si="391"/>
        <v/>
      </c>
      <c r="IC193" s="109" t="str">
        <f t="shared" si="320"/>
        <v/>
      </c>
      <c r="ID193" s="110" t="str">
        <f t="shared" si="419"/>
        <v/>
      </c>
      <c r="IE193" s="51"/>
      <c r="IF193" s="108" t="str">
        <f t="shared" si="392"/>
        <v/>
      </c>
      <c r="IG193" s="109" t="str">
        <f t="shared" si="393"/>
        <v/>
      </c>
      <c r="IH193" s="109" t="str">
        <f t="shared" si="321"/>
        <v/>
      </c>
      <c r="II193" s="110" t="str">
        <f t="shared" si="394"/>
        <v/>
      </c>
      <c r="IJ193" s="51"/>
      <c r="IK193" s="108" t="str">
        <f t="shared" si="322"/>
        <v/>
      </c>
      <c r="IL193" s="109" t="str">
        <f t="shared" si="395"/>
        <v/>
      </c>
      <c r="IM193" s="109" t="str">
        <f t="shared" si="323"/>
        <v/>
      </c>
      <c r="IN193" s="110" t="str">
        <f t="shared" si="420"/>
        <v/>
      </c>
      <c r="IO193" s="51"/>
      <c r="IP193" s="108" t="str">
        <f t="shared" si="396"/>
        <v/>
      </c>
      <c r="IQ193" s="109" t="str">
        <f t="shared" si="397"/>
        <v/>
      </c>
      <c r="IR193" s="109" t="str">
        <f t="shared" si="324"/>
        <v/>
      </c>
      <c r="IS193" s="110" t="str">
        <f t="shared" si="398"/>
        <v/>
      </c>
      <c r="IT193" s="51"/>
      <c r="IU193" s="108" t="str">
        <f t="shared" si="325"/>
        <v/>
      </c>
      <c r="IV193" s="109" t="str">
        <f t="shared" si="399"/>
        <v/>
      </c>
      <c r="IW193" s="109" t="str">
        <f t="shared" si="326"/>
        <v/>
      </c>
      <c r="IX193" s="110" t="str">
        <f t="shared" si="421"/>
        <v/>
      </c>
      <c r="IY193" s="51"/>
      <c r="IZ193" s="108" t="str">
        <f t="shared" si="400"/>
        <v/>
      </c>
      <c r="JA193" s="109" t="str">
        <f t="shared" si="401"/>
        <v/>
      </c>
      <c r="JB193" s="109" t="str">
        <f t="shared" si="327"/>
        <v/>
      </c>
      <c r="JC193" s="110" t="str">
        <f t="shared" si="402"/>
        <v/>
      </c>
      <c r="JD193" s="51"/>
      <c r="JE193" s="108" t="str">
        <f t="shared" si="328"/>
        <v/>
      </c>
      <c r="JF193" s="109" t="str">
        <f t="shared" si="403"/>
        <v/>
      </c>
      <c r="JG193" s="109" t="str">
        <f t="shared" si="329"/>
        <v/>
      </c>
      <c r="JH193" s="110" t="str">
        <f t="shared" si="422"/>
        <v/>
      </c>
      <c r="JI193" s="51"/>
      <c r="JJ193" s="108" t="str">
        <f t="shared" si="404"/>
        <v/>
      </c>
      <c r="JK193" s="109" t="str">
        <f t="shared" si="405"/>
        <v/>
      </c>
      <c r="JL193" s="109" t="str">
        <f t="shared" si="330"/>
        <v/>
      </c>
      <c r="JM193" s="110" t="str">
        <f t="shared" si="406"/>
        <v/>
      </c>
      <c r="JN193" s="51"/>
      <c r="JO193" s="108" t="str">
        <f t="shared" si="331"/>
        <v/>
      </c>
      <c r="JP193" s="109" t="str">
        <f t="shared" si="407"/>
        <v/>
      </c>
      <c r="JQ193" s="109" t="str">
        <f t="shared" si="332"/>
        <v/>
      </c>
      <c r="JR193" s="110" t="str">
        <f t="shared" si="423"/>
        <v/>
      </c>
      <c r="JS193" s="51"/>
      <c r="JT193" s="108" t="str">
        <f t="shared" si="408"/>
        <v/>
      </c>
      <c r="JU193" s="109" t="str">
        <f t="shared" si="409"/>
        <v/>
      </c>
      <c r="JV193" s="109" t="str">
        <f t="shared" si="333"/>
        <v/>
      </c>
      <c r="JW193" s="110" t="str">
        <f t="shared" si="410"/>
        <v/>
      </c>
      <c r="JX193" s="51"/>
      <c r="JY193" s="108" t="str">
        <f t="shared" si="334"/>
        <v/>
      </c>
      <c r="JZ193" s="109" t="str">
        <f t="shared" si="411"/>
        <v/>
      </c>
      <c r="KA193" s="109" t="str">
        <f t="shared" si="335"/>
        <v/>
      </c>
      <c r="KB193" s="110" t="str">
        <f t="shared" si="424"/>
        <v/>
      </c>
      <c r="KC193" s="51"/>
      <c r="KD193" s="108" t="str">
        <f t="shared" si="412"/>
        <v/>
      </c>
      <c r="KE193" s="109" t="str">
        <f t="shared" si="413"/>
        <v/>
      </c>
      <c r="KF193" s="109" t="str">
        <f t="shared" si="336"/>
        <v/>
      </c>
      <c r="KG193" s="110" t="str">
        <f t="shared" si="337"/>
        <v/>
      </c>
    </row>
    <row r="194" spans="1:293" ht="12" customHeight="1">
      <c r="A194" s="105">
        <f t="array" ref="A194">MAX(IF($J$80:J193&gt;0,$C$80:C193,0))</f>
        <v>43535</v>
      </c>
      <c r="B194" s="81" t="str">
        <f t="shared" si="248"/>
        <v/>
      </c>
      <c r="C194" s="82">
        <f t="shared" si="414"/>
        <v>0</v>
      </c>
      <c r="D194" s="83" t="str">
        <f t="shared" si="249"/>
        <v/>
      </c>
      <c r="E194" s="83" t="str">
        <f t="shared" si="338"/>
        <v/>
      </c>
      <c r="F194" s="83" t="str">
        <f t="shared" si="250"/>
        <v/>
      </c>
      <c r="G194" s="83" t="str">
        <f t="shared" si="251"/>
        <v/>
      </c>
      <c r="H194" s="83" t="str">
        <f t="shared" si="252"/>
        <v/>
      </c>
      <c r="I194" s="105">
        <f t="array" ref="I194">MAX(IF($R$80:R193&gt;0,$L$80:L193,0))</f>
        <v>0</v>
      </c>
      <c r="J194" s="106"/>
      <c r="K194" s="2" t="str">
        <f t="shared" si="253"/>
        <v/>
      </c>
      <c r="L194" s="82">
        <f t="shared" si="415"/>
        <v>0</v>
      </c>
      <c r="M194" s="83" t="str">
        <f t="shared" si="254"/>
        <v/>
      </c>
      <c r="N194" s="83" t="str">
        <f t="shared" si="255"/>
        <v/>
      </c>
      <c r="O194" s="83" t="str">
        <f t="shared" si="256"/>
        <v/>
      </c>
      <c r="P194" s="83" t="str">
        <f t="shared" si="257"/>
        <v/>
      </c>
      <c r="Q194" s="83" t="str">
        <f t="shared" si="258"/>
        <v/>
      </c>
      <c r="R194" s="106"/>
      <c r="S194" s="1"/>
      <c r="U194" s="85" t="e">
        <f t="shared" si="244"/>
        <v>#NUM!</v>
      </c>
      <c r="V194" s="86" t="e">
        <f t="shared" si="339"/>
        <v>#NUM!</v>
      </c>
      <c r="W194" s="87" t="e">
        <f t="shared" si="259"/>
        <v>#NUM!</v>
      </c>
      <c r="X194" s="87" t="e">
        <f t="shared" si="260"/>
        <v>#NUM!</v>
      </c>
      <c r="Y194" s="87" t="e">
        <f t="shared" si="261"/>
        <v>#NUM!</v>
      </c>
      <c r="Z194" s="88" t="e">
        <f t="shared" si="245"/>
        <v>#NUM!</v>
      </c>
      <c r="AA194" t="s">
        <v>282</v>
      </c>
      <c r="AB194" s="89">
        <f t="shared" si="340"/>
        <v>0</v>
      </c>
      <c r="AC194" s="87">
        <f t="shared" si="262"/>
        <v>0</v>
      </c>
      <c r="AD194" s="87" t="str">
        <f t="shared" si="263"/>
        <v/>
      </c>
      <c r="AE194" s="87" t="str">
        <f t="shared" si="264"/>
        <v/>
      </c>
      <c r="AF194" s="86">
        <f t="shared" si="341"/>
        <v>0</v>
      </c>
      <c r="AG194" s="87">
        <f t="shared" si="246"/>
        <v>0</v>
      </c>
      <c r="AH194" s="87">
        <f t="shared" si="342"/>
        <v>0</v>
      </c>
      <c r="AI194" s="90"/>
      <c r="AJ194" s="87" t="e">
        <f t="shared" si="265"/>
        <v>#NUM!</v>
      </c>
      <c r="AK194" s="87" t="e">
        <f t="shared" si="343"/>
        <v>#NUM!</v>
      </c>
      <c r="AL194" s="87" t="e">
        <f t="shared" si="344"/>
        <v>#NUM!</v>
      </c>
      <c r="AM194" s="87" t="e">
        <f t="shared" si="345"/>
        <v>#NUM!</v>
      </c>
      <c r="AN194" s="86">
        <f t="shared" si="266"/>
        <v>0</v>
      </c>
      <c r="AO194" s="87">
        <f t="shared" si="267"/>
        <v>0</v>
      </c>
      <c r="AP194" s="88">
        <f t="shared" si="268"/>
        <v>0</v>
      </c>
      <c r="AR194" s="91">
        <f t="shared" si="269"/>
        <v>0</v>
      </c>
      <c r="AS194" s="92">
        <f t="shared" si="270"/>
        <v>0</v>
      </c>
      <c r="AT194" s="87" t="str">
        <f t="shared" si="271"/>
        <v/>
      </c>
      <c r="AU194" s="87" t="str">
        <f t="shared" si="272"/>
        <v/>
      </c>
      <c r="AV194" s="86">
        <f t="shared" si="346"/>
        <v>0</v>
      </c>
      <c r="AW194" s="87">
        <f t="shared" si="347"/>
        <v>0</v>
      </c>
      <c r="AX194" s="87">
        <f t="shared" si="348"/>
        <v>0</v>
      </c>
      <c r="AY194" s="93"/>
      <c r="AZ194" s="87">
        <f t="shared" si="425"/>
        <v>0</v>
      </c>
      <c r="BA194" s="87">
        <f t="shared" si="349"/>
        <v>0</v>
      </c>
      <c r="BB194" s="87">
        <f t="shared" si="350"/>
        <v>0</v>
      </c>
      <c r="BC194" s="87">
        <f t="shared" si="416"/>
        <v>0</v>
      </c>
      <c r="BD194" s="86" t="e">
        <f t="shared" si="273"/>
        <v>#NUM!</v>
      </c>
      <c r="BE194" s="87" t="e">
        <f t="shared" si="247"/>
        <v>#NUM!</v>
      </c>
      <c r="BF194" s="88">
        <f t="shared" si="351"/>
        <v>0</v>
      </c>
      <c r="BH194" s="87" t="e">
        <f t="shared" si="274"/>
        <v>#NUM!</v>
      </c>
      <c r="BK194" s="95">
        <v>42136</v>
      </c>
      <c r="BL194" s="96">
        <v>115</v>
      </c>
      <c r="CY194" s="108" t="str">
        <f t="shared" si="275"/>
        <v/>
      </c>
      <c r="CZ194" s="109" t="str">
        <f t="shared" si="276"/>
        <v/>
      </c>
      <c r="DA194" s="109" t="str">
        <f t="shared" si="277"/>
        <v/>
      </c>
      <c r="DB194" s="110" t="str">
        <f t="shared" si="426"/>
        <v/>
      </c>
      <c r="DD194" s="108" t="str">
        <f t="shared" si="278"/>
        <v/>
      </c>
      <c r="DE194" s="109" t="str">
        <f t="shared" si="352"/>
        <v/>
      </c>
      <c r="DF194" s="109" t="str">
        <f t="shared" si="279"/>
        <v/>
      </c>
      <c r="DG194" s="110" t="str">
        <f t="shared" si="427"/>
        <v/>
      </c>
      <c r="DI194" s="108" t="str">
        <f t="shared" si="353"/>
        <v/>
      </c>
      <c r="DJ194" s="109" t="str">
        <f t="shared" si="354"/>
        <v/>
      </c>
      <c r="DK194" s="109" t="str">
        <f t="shared" si="280"/>
        <v/>
      </c>
      <c r="DL194" s="110" t="str">
        <f t="shared" si="428"/>
        <v/>
      </c>
      <c r="DN194" s="108" t="str">
        <f t="shared" si="281"/>
        <v/>
      </c>
      <c r="DO194" s="109" t="str">
        <f t="shared" si="282"/>
        <v/>
      </c>
      <c r="DP194" s="109" t="str">
        <f t="shared" si="283"/>
        <v/>
      </c>
      <c r="DQ194" s="110" t="str">
        <f t="shared" si="429"/>
        <v/>
      </c>
      <c r="DS194" s="108" t="str">
        <f t="shared" si="355"/>
        <v/>
      </c>
      <c r="DT194" s="109" t="str">
        <f t="shared" si="356"/>
        <v/>
      </c>
      <c r="DU194" s="109" t="str">
        <f t="shared" si="284"/>
        <v/>
      </c>
      <c r="DV194" s="110" t="str">
        <f t="shared" si="430"/>
        <v/>
      </c>
      <c r="DX194" s="108" t="str">
        <f t="shared" si="285"/>
        <v/>
      </c>
      <c r="DY194" s="109" t="str">
        <f t="shared" si="357"/>
        <v/>
      </c>
      <c r="DZ194" s="109" t="str">
        <f t="shared" si="286"/>
        <v/>
      </c>
      <c r="EA194" s="110" t="str">
        <f t="shared" si="431"/>
        <v/>
      </c>
      <c r="EC194" s="108" t="str">
        <f t="shared" si="358"/>
        <v/>
      </c>
      <c r="ED194" s="109" t="str">
        <f t="shared" si="359"/>
        <v/>
      </c>
      <c r="EE194" s="109" t="str">
        <f t="shared" si="287"/>
        <v/>
      </c>
      <c r="EF194" s="110" t="str">
        <f t="shared" si="432"/>
        <v/>
      </c>
      <c r="EH194" s="108" t="str">
        <f t="shared" si="288"/>
        <v/>
      </c>
      <c r="EI194" s="109" t="str">
        <f t="shared" si="360"/>
        <v/>
      </c>
      <c r="EJ194" s="109" t="str">
        <f t="shared" si="289"/>
        <v/>
      </c>
      <c r="EK194" s="110" t="str">
        <f t="shared" si="433"/>
        <v/>
      </c>
      <c r="EM194" s="108" t="str">
        <f t="shared" si="361"/>
        <v/>
      </c>
      <c r="EN194" s="109" t="str">
        <f t="shared" si="362"/>
        <v/>
      </c>
      <c r="EO194" s="109" t="str">
        <f t="shared" si="290"/>
        <v/>
      </c>
      <c r="EP194" s="110" t="str">
        <f t="shared" si="434"/>
        <v/>
      </c>
      <c r="ER194" s="108" t="str">
        <f t="shared" si="291"/>
        <v/>
      </c>
      <c r="ES194" s="109" t="str">
        <f t="shared" si="363"/>
        <v/>
      </c>
      <c r="ET194" s="109" t="str">
        <f t="shared" si="292"/>
        <v/>
      </c>
      <c r="EU194" s="110" t="str">
        <f t="shared" si="435"/>
        <v/>
      </c>
      <c r="EW194" s="108" t="str">
        <f t="shared" si="364"/>
        <v/>
      </c>
      <c r="EX194" s="109" t="str">
        <f t="shared" si="365"/>
        <v/>
      </c>
      <c r="EY194" s="109" t="str">
        <f t="shared" si="293"/>
        <v/>
      </c>
      <c r="EZ194" s="110" t="str">
        <f t="shared" si="436"/>
        <v/>
      </c>
      <c r="FB194" s="108" t="str">
        <f t="shared" si="294"/>
        <v/>
      </c>
      <c r="FC194" s="109" t="str">
        <f t="shared" si="366"/>
        <v/>
      </c>
      <c r="FD194" s="109" t="str">
        <f t="shared" si="295"/>
        <v/>
      </c>
      <c r="FE194" s="110" t="str">
        <f t="shared" si="437"/>
        <v/>
      </c>
      <c r="FG194" s="108" t="str">
        <f t="shared" si="367"/>
        <v/>
      </c>
      <c r="FH194" s="109" t="str">
        <f t="shared" si="368"/>
        <v/>
      </c>
      <c r="FI194" s="109" t="str">
        <f t="shared" si="296"/>
        <v/>
      </c>
      <c r="FJ194" s="110" t="str">
        <f t="shared" si="438"/>
        <v/>
      </c>
      <c r="FL194" s="108" t="str">
        <f t="shared" si="297"/>
        <v/>
      </c>
      <c r="FM194" s="109" t="str">
        <f t="shared" si="369"/>
        <v/>
      </c>
      <c r="FN194" s="109" t="str">
        <f t="shared" si="298"/>
        <v/>
      </c>
      <c r="FO194" s="110" t="str">
        <f t="shared" si="439"/>
        <v/>
      </c>
      <c r="FQ194" s="108" t="str">
        <f t="shared" si="370"/>
        <v/>
      </c>
      <c r="FR194" s="109" t="str">
        <f t="shared" si="371"/>
        <v/>
      </c>
      <c r="FS194" s="109" t="str">
        <f t="shared" si="299"/>
        <v/>
      </c>
      <c r="FT194" s="110" t="str">
        <f t="shared" si="440"/>
        <v/>
      </c>
      <c r="FV194" s="108" t="str">
        <f t="shared" si="300"/>
        <v/>
      </c>
      <c r="FW194" s="109" t="str">
        <f t="shared" si="372"/>
        <v/>
      </c>
      <c r="FX194" s="109" t="str">
        <f t="shared" si="301"/>
        <v/>
      </c>
      <c r="FY194" s="110" t="str">
        <f t="shared" si="441"/>
        <v/>
      </c>
      <c r="GA194" s="108" t="str">
        <f t="shared" si="373"/>
        <v/>
      </c>
      <c r="GB194" s="109" t="str">
        <f t="shared" si="374"/>
        <v/>
      </c>
      <c r="GC194" s="109" t="str">
        <f t="shared" si="302"/>
        <v/>
      </c>
      <c r="GD194" s="110" t="str">
        <f t="shared" si="442"/>
        <v/>
      </c>
      <c r="GF194" s="108" t="str">
        <f t="shared" si="303"/>
        <v/>
      </c>
      <c r="GG194" s="109" t="str">
        <f t="shared" si="375"/>
        <v/>
      </c>
      <c r="GH194" s="109" t="str">
        <f t="shared" si="304"/>
        <v/>
      </c>
      <c r="GI194" s="110" t="str">
        <f t="shared" si="443"/>
        <v/>
      </c>
      <c r="GK194" s="108" t="str">
        <f t="shared" si="376"/>
        <v/>
      </c>
      <c r="GL194" s="109" t="str">
        <f t="shared" si="377"/>
        <v/>
      </c>
      <c r="GM194" s="109" t="str">
        <f t="shared" si="378"/>
        <v/>
      </c>
      <c r="GN194" s="110" t="str">
        <f t="shared" si="444"/>
        <v/>
      </c>
      <c r="GR194" s="108" t="str">
        <f t="shared" si="305"/>
        <v/>
      </c>
      <c r="GS194" s="109" t="str">
        <f t="shared" si="306"/>
        <v/>
      </c>
      <c r="GT194" s="109" t="str">
        <f t="shared" si="307"/>
        <v/>
      </c>
      <c r="GU194" s="110" t="str">
        <f t="shared" si="308"/>
        <v/>
      </c>
      <c r="GV194" s="51"/>
      <c r="GW194" s="108" t="str">
        <f t="shared" si="309"/>
        <v/>
      </c>
      <c r="GX194" s="109" t="str">
        <f t="shared" si="379"/>
        <v/>
      </c>
      <c r="GY194" s="109" t="str">
        <f t="shared" si="310"/>
        <v/>
      </c>
      <c r="GZ194" s="110" t="str">
        <f t="shared" si="311"/>
        <v/>
      </c>
      <c r="HA194" s="51"/>
      <c r="HB194" s="108" t="str">
        <f t="shared" si="380"/>
        <v/>
      </c>
      <c r="HC194" s="109" t="str">
        <f t="shared" si="381"/>
        <v/>
      </c>
      <c r="HD194" s="109" t="str">
        <f t="shared" si="312"/>
        <v/>
      </c>
      <c r="HE194" s="110" t="str">
        <f t="shared" si="382"/>
        <v/>
      </c>
      <c r="HF194" s="51"/>
      <c r="HG194" s="108" t="str">
        <f t="shared" si="313"/>
        <v/>
      </c>
      <c r="HH194" s="109" t="str">
        <f t="shared" si="383"/>
        <v/>
      </c>
      <c r="HI194" s="109" t="str">
        <f t="shared" si="314"/>
        <v/>
      </c>
      <c r="HJ194" s="110" t="str">
        <f t="shared" si="417"/>
        <v/>
      </c>
      <c r="HK194" s="51"/>
      <c r="HL194" s="108" t="str">
        <f t="shared" si="384"/>
        <v/>
      </c>
      <c r="HM194" s="109" t="str">
        <f t="shared" si="385"/>
        <v/>
      </c>
      <c r="HN194" s="109" t="str">
        <f t="shared" si="315"/>
        <v/>
      </c>
      <c r="HO194" s="110" t="str">
        <f t="shared" si="386"/>
        <v/>
      </c>
      <c r="HP194" s="51"/>
      <c r="HQ194" s="108" t="str">
        <f t="shared" si="316"/>
        <v/>
      </c>
      <c r="HR194" s="109" t="str">
        <f t="shared" si="387"/>
        <v/>
      </c>
      <c r="HS194" s="109" t="str">
        <f t="shared" si="317"/>
        <v/>
      </c>
      <c r="HT194" s="110" t="str">
        <f t="shared" si="418"/>
        <v/>
      </c>
      <c r="HU194" s="51"/>
      <c r="HV194" s="108" t="str">
        <f t="shared" si="388"/>
        <v/>
      </c>
      <c r="HW194" s="109" t="str">
        <f t="shared" si="389"/>
        <v/>
      </c>
      <c r="HX194" s="109" t="str">
        <f t="shared" si="318"/>
        <v/>
      </c>
      <c r="HY194" s="110" t="str">
        <f t="shared" si="390"/>
        <v/>
      </c>
      <c r="HZ194" s="51"/>
      <c r="IA194" s="108" t="str">
        <f t="shared" si="319"/>
        <v/>
      </c>
      <c r="IB194" s="109" t="str">
        <f t="shared" si="391"/>
        <v/>
      </c>
      <c r="IC194" s="109" t="str">
        <f t="shared" si="320"/>
        <v/>
      </c>
      <c r="ID194" s="110" t="str">
        <f t="shared" si="419"/>
        <v/>
      </c>
      <c r="IE194" s="51"/>
      <c r="IF194" s="108" t="str">
        <f t="shared" si="392"/>
        <v/>
      </c>
      <c r="IG194" s="109" t="str">
        <f t="shared" si="393"/>
        <v/>
      </c>
      <c r="IH194" s="109" t="str">
        <f t="shared" si="321"/>
        <v/>
      </c>
      <c r="II194" s="110" t="str">
        <f t="shared" si="394"/>
        <v/>
      </c>
      <c r="IJ194" s="51"/>
      <c r="IK194" s="108" t="str">
        <f t="shared" si="322"/>
        <v/>
      </c>
      <c r="IL194" s="109" t="str">
        <f t="shared" si="395"/>
        <v/>
      </c>
      <c r="IM194" s="109" t="str">
        <f t="shared" si="323"/>
        <v/>
      </c>
      <c r="IN194" s="110" t="str">
        <f t="shared" si="420"/>
        <v/>
      </c>
      <c r="IO194" s="51"/>
      <c r="IP194" s="108" t="str">
        <f t="shared" si="396"/>
        <v/>
      </c>
      <c r="IQ194" s="109" t="str">
        <f t="shared" si="397"/>
        <v/>
      </c>
      <c r="IR194" s="109" t="str">
        <f t="shared" si="324"/>
        <v/>
      </c>
      <c r="IS194" s="110" t="str">
        <f t="shared" si="398"/>
        <v/>
      </c>
      <c r="IT194" s="51"/>
      <c r="IU194" s="108" t="str">
        <f t="shared" si="325"/>
        <v/>
      </c>
      <c r="IV194" s="109" t="str">
        <f t="shared" si="399"/>
        <v/>
      </c>
      <c r="IW194" s="109" t="str">
        <f t="shared" si="326"/>
        <v/>
      </c>
      <c r="IX194" s="110" t="str">
        <f t="shared" si="421"/>
        <v/>
      </c>
      <c r="IY194" s="51"/>
      <c r="IZ194" s="108" t="str">
        <f t="shared" si="400"/>
        <v/>
      </c>
      <c r="JA194" s="109" t="str">
        <f t="shared" si="401"/>
        <v/>
      </c>
      <c r="JB194" s="109" t="str">
        <f t="shared" si="327"/>
        <v/>
      </c>
      <c r="JC194" s="110" t="str">
        <f t="shared" si="402"/>
        <v/>
      </c>
      <c r="JD194" s="51"/>
      <c r="JE194" s="108" t="str">
        <f t="shared" si="328"/>
        <v/>
      </c>
      <c r="JF194" s="109" t="str">
        <f t="shared" si="403"/>
        <v/>
      </c>
      <c r="JG194" s="109" t="str">
        <f t="shared" si="329"/>
        <v/>
      </c>
      <c r="JH194" s="110" t="str">
        <f t="shared" si="422"/>
        <v/>
      </c>
      <c r="JI194" s="51"/>
      <c r="JJ194" s="108" t="str">
        <f t="shared" si="404"/>
        <v/>
      </c>
      <c r="JK194" s="109" t="str">
        <f t="shared" si="405"/>
        <v/>
      </c>
      <c r="JL194" s="109" t="str">
        <f t="shared" si="330"/>
        <v/>
      </c>
      <c r="JM194" s="110" t="str">
        <f t="shared" si="406"/>
        <v/>
      </c>
      <c r="JN194" s="51"/>
      <c r="JO194" s="108" t="str">
        <f t="shared" si="331"/>
        <v/>
      </c>
      <c r="JP194" s="109" t="str">
        <f t="shared" si="407"/>
        <v/>
      </c>
      <c r="JQ194" s="109" t="str">
        <f t="shared" si="332"/>
        <v/>
      </c>
      <c r="JR194" s="110" t="str">
        <f t="shared" si="423"/>
        <v/>
      </c>
      <c r="JS194" s="51"/>
      <c r="JT194" s="108" t="str">
        <f t="shared" si="408"/>
        <v/>
      </c>
      <c r="JU194" s="109" t="str">
        <f t="shared" si="409"/>
        <v/>
      </c>
      <c r="JV194" s="109" t="str">
        <f t="shared" si="333"/>
        <v/>
      </c>
      <c r="JW194" s="110" t="str">
        <f t="shared" si="410"/>
        <v/>
      </c>
      <c r="JX194" s="51"/>
      <c r="JY194" s="108" t="str">
        <f t="shared" si="334"/>
        <v/>
      </c>
      <c r="JZ194" s="109" t="str">
        <f t="shared" si="411"/>
        <v/>
      </c>
      <c r="KA194" s="109" t="str">
        <f t="shared" si="335"/>
        <v/>
      </c>
      <c r="KB194" s="110" t="str">
        <f t="shared" si="424"/>
        <v/>
      </c>
      <c r="KC194" s="51"/>
      <c r="KD194" s="108" t="str">
        <f t="shared" si="412"/>
        <v/>
      </c>
      <c r="KE194" s="109" t="str">
        <f t="shared" si="413"/>
        <v/>
      </c>
      <c r="KF194" s="109" t="str">
        <f t="shared" si="336"/>
        <v/>
      </c>
      <c r="KG194" s="110" t="str">
        <f t="shared" si="337"/>
        <v/>
      </c>
    </row>
    <row r="195" spans="1:293" ht="12" customHeight="1">
      <c r="A195" s="105">
        <f t="array" ref="A195">MAX(IF($J$80:J194&gt;0,$C$80:C194,0))</f>
        <v>43535</v>
      </c>
      <c r="B195" s="81" t="str">
        <f t="shared" si="248"/>
        <v/>
      </c>
      <c r="C195" s="82">
        <f t="shared" si="414"/>
        <v>0</v>
      </c>
      <c r="D195" s="83" t="str">
        <f t="shared" si="249"/>
        <v/>
      </c>
      <c r="E195" s="83" t="str">
        <f t="shared" si="338"/>
        <v/>
      </c>
      <c r="F195" s="83" t="str">
        <f t="shared" si="250"/>
        <v/>
      </c>
      <c r="G195" s="83" t="str">
        <f t="shared" si="251"/>
        <v/>
      </c>
      <c r="H195" s="83" t="str">
        <f t="shared" si="252"/>
        <v/>
      </c>
      <c r="I195" s="105">
        <f t="array" ref="I195">MAX(IF($R$80:R194&gt;0,$L$80:L194,0))</f>
        <v>0</v>
      </c>
      <c r="J195" s="106"/>
      <c r="K195" s="2" t="str">
        <f t="shared" si="253"/>
        <v/>
      </c>
      <c r="L195" s="82">
        <f t="shared" si="415"/>
        <v>0</v>
      </c>
      <c r="M195" s="83" t="str">
        <f t="shared" si="254"/>
        <v/>
      </c>
      <c r="N195" s="83" t="str">
        <f t="shared" si="255"/>
        <v/>
      </c>
      <c r="O195" s="83" t="str">
        <f t="shared" si="256"/>
        <v/>
      </c>
      <c r="P195" s="83" t="str">
        <f t="shared" si="257"/>
        <v/>
      </c>
      <c r="Q195" s="83" t="str">
        <f t="shared" si="258"/>
        <v/>
      </c>
      <c r="R195" s="106"/>
      <c r="S195" s="1"/>
      <c r="U195" s="85" t="e">
        <f t="shared" si="244"/>
        <v>#NUM!</v>
      </c>
      <c r="V195" s="86" t="e">
        <f t="shared" si="339"/>
        <v>#NUM!</v>
      </c>
      <c r="W195" s="87" t="e">
        <f t="shared" si="259"/>
        <v>#NUM!</v>
      </c>
      <c r="X195" s="87" t="e">
        <f t="shared" si="260"/>
        <v>#NUM!</v>
      </c>
      <c r="Y195" s="87" t="e">
        <f t="shared" si="261"/>
        <v>#NUM!</v>
      </c>
      <c r="Z195" s="88" t="e">
        <f t="shared" si="245"/>
        <v>#NUM!</v>
      </c>
      <c r="AA195" t="s">
        <v>282</v>
      </c>
      <c r="AB195" s="89">
        <f t="shared" si="340"/>
        <v>0</v>
      </c>
      <c r="AC195" s="87">
        <f t="shared" si="262"/>
        <v>0</v>
      </c>
      <c r="AD195" s="87" t="str">
        <f t="shared" si="263"/>
        <v/>
      </c>
      <c r="AE195" s="87" t="str">
        <f t="shared" si="264"/>
        <v/>
      </c>
      <c r="AF195" s="86">
        <f t="shared" si="341"/>
        <v>0</v>
      </c>
      <c r="AG195" s="87">
        <f t="shared" si="246"/>
        <v>0</v>
      </c>
      <c r="AH195" s="87">
        <f t="shared" si="342"/>
        <v>0</v>
      </c>
      <c r="AI195" s="90"/>
      <c r="AJ195" s="87" t="e">
        <f t="shared" si="265"/>
        <v>#NUM!</v>
      </c>
      <c r="AK195" s="87" t="e">
        <f t="shared" si="343"/>
        <v>#NUM!</v>
      </c>
      <c r="AL195" s="87" t="e">
        <f t="shared" si="344"/>
        <v>#NUM!</v>
      </c>
      <c r="AM195" s="87" t="e">
        <f t="shared" si="345"/>
        <v>#NUM!</v>
      </c>
      <c r="AN195" s="86">
        <f t="shared" si="266"/>
        <v>0</v>
      </c>
      <c r="AO195" s="87">
        <f t="shared" si="267"/>
        <v>0</v>
      </c>
      <c r="AP195" s="88">
        <f t="shared" si="268"/>
        <v>0</v>
      </c>
      <c r="AR195" s="91">
        <f t="shared" si="269"/>
        <v>0</v>
      </c>
      <c r="AS195" s="92">
        <f t="shared" si="270"/>
        <v>0</v>
      </c>
      <c r="AT195" s="87" t="str">
        <f t="shared" si="271"/>
        <v/>
      </c>
      <c r="AU195" s="87" t="str">
        <f t="shared" si="272"/>
        <v/>
      </c>
      <c r="AV195" s="86">
        <f t="shared" si="346"/>
        <v>0</v>
      </c>
      <c r="AW195" s="87">
        <f t="shared" si="347"/>
        <v>0</v>
      </c>
      <c r="AX195" s="87">
        <f t="shared" si="348"/>
        <v>0</v>
      </c>
      <c r="AY195" s="93"/>
      <c r="AZ195" s="87">
        <f t="shared" si="425"/>
        <v>0</v>
      </c>
      <c r="BA195" s="87">
        <f t="shared" si="349"/>
        <v>0</v>
      </c>
      <c r="BB195" s="87">
        <f t="shared" si="350"/>
        <v>0</v>
      </c>
      <c r="BC195" s="87">
        <f t="shared" si="416"/>
        <v>0</v>
      </c>
      <c r="BD195" s="86" t="e">
        <f t="shared" si="273"/>
        <v>#NUM!</v>
      </c>
      <c r="BE195" s="87" t="e">
        <f t="shared" si="247"/>
        <v>#NUM!</v>
      </c>
      <c r="BF195" s="88">
        <f t="shared" si="351"/>
        <v>0</v>
      </c>
      <c r="BH195" s="87" t="e">
        <f t="shared" si="274"/>
        <v>#NUM!</v>
      </c>
      <c r="BK195" s="95">
        <v>42150</v>
      </c>
      <c r="BL195" s="96">
        <v>116</v>
      </c>
      <c r="CY195" s="108" t="str">
        <f t="shared" si="275"/>
        <v/>
      </c>
      <c r="CZ195" s="109" t="str">
        <f t="shared" si="276"/>
        <v/>
      </c>
      <c r="DA195" s="109" t="str">
        <f t="shared" si="277"/>
        <v/>
      </c>
      <c r="DB195" s="110" t="str">
        <f t="shared" si="426"/>
        <v/>
      </c>
      <c r="DD195" s="108" t="str">
        <f t="shared" si="278"/>
        <v/>
      </c>
      <c r="DE195" s="109" t="str">
        <f t="shared" si="352"/>
        <v/>
      </c>
      <c r="DF195" s="109" t="str">
        <f t="shared" si="279"/>
        <v/>
      </c>
      <c r="DG195" s="110" t="str">
        <f t="shared" si="427"/>
        <v/>
      </c>
      <c r="DI195" s="108" t="str">
        <f t="shared" si="353"/>
        <v/>
      </c>
      <c r="DJ195" s="109" t="str">
        <f t="shared" si="354"/>
        <v/>
      </c>
      <c r="DK195" s="109" t="str">
        <f t="shared" si="280"/>
        <v/>
      </c>
      <c r="DL195" s="110" t="str">
        <f t="shared" si="428"/>
        <v/>
      </c>
      <c r="DN195" s="108" t="str">
        <f t="shared" si="281"/>
        <v/>
      </c>
      <c r="DO195" s="109" t="str">
        <f t="shared" si="282"/>
        <v/>
      </c>
      <c r="DP195" s="109" t="str">
        <f t="shared" si="283"/>
        <v/>
      </c>
      <c r="DQ195" s="110" t="str">
        <f t="shared" si="429"/>
        <v/>
      </c>
      <c r="DS195" s="108" t="str">
        <f t="shared" si="355"/>
        <v/>
      </c>
      <c r="DT195" s="109" t="str">
        <f t="shared" si="356"/>
        <v/>
      </c>
      <c r="DU195" s="109" t="str">
        <f t="shared" si="284"/>
        <v/>
      </c>
      <c r="DV195" s="110" t="str">
        <f t="shared" si="430"/>
        <v/>
      </c>
      <c r="DX195" s="108" t="str">
        <f t="shared" si="285"/>
        <v/>
      </c>
      <c r="DY195" s="109" t="str">
        <f t="shared" si="357"/>
        <v/>
      </c>
      <c r="DZ195" s="109" t="str">
        <f t="shared" si="286"/>
        <v/>
      </c>
      <c r="EA195" s="110" t="str">
        <f t="shared" si="431"/>
        <v/>
      </c>
      <c r="EC195" s="108" t="str">
        <f t="shared" si="358"/>
        <v/>
      </c>
      <c r="ED195" s="109" t="str">
        <f t="shared" si="359"/>
        <v/>
      </c>
      <c r="EE195" s="109" t="str">
        <f t="shared" si="287"/>
        <v/>
      </c>
      <c r="EF195" s="110" t="str">
        <f t="shared" si="432"/>
        <v/>
      </c>
      <c r="EH195" s="108" t="str">
        <f t="shared" si="288"/>
        <v/>
      </c>
      <c r="EI195" s="109" t="str">
        <f t="shared" si="360"/>
        <v/>
      </c>
      <c r="EJ195" s="109" t="str">
        <f t="shared" si="289"/>
        <v/>
      </c>
      <c r="EK195" s="110" t="str">
        <f t="shared" si="433"/>
        <v/>
      </c>
      <c r="EM195" s="108" t="str">
        <f t="shared" si="361"/>
        <v/>
      </c>
      <c r="EN195" s="109" t="str">
        <f t="shared" si="362"/>
        <v/>
      </c>
      <c r="EO195" s="109" t="str">
        <f t="shared" si="290"/>
        <v/>
      </c>
      <c r="EP195" s="110" t="str">
        <f t="shared" si="434"/>
        <v/>
      </c>
      <c r="ER195" s="108" t="str">
        <f t="shared" si="291"/>
        <v/>
      </c>
      <c r="ES195" s="109" t="str">
        <f t="shared" si="363"/>
        <v/>
      </c>
      <c r="ET195" s="109" t="str">
        <f t="shared" si="292"/>
        <v/>
      </c>
      <c r="EU195" s="110" t="str">
        <f t="shared" si="435"/>
        <v/>
      </c>
      <c r="EW195" s="108" t="str">
        <f t="shared" si="364"/>
        <v/>
      </c>
      <c r="EX195" s="109" t="str">
        <f t="shared" si="365"/>
        <v/>
      </c>
      <c r="EY195" s="109" t="str">
        <f t="shared" si="293"/>
        <v/>
      </c>
      <c r="EZ195" s="110" t="str">
        <f t="shared" si="436"/>
        <v/>
      </c>
      <c r="FB195" s="108" t="str">
        <f t="shared" si="294"/>
        <v/>
      </c>
      <c r="FC195" s="109" t="str">
        <f t="shared" si="366"/>
        <v/>
      </c>
      <c r="FD195" s="109" t="str">
        <f t="shared" si="295"/>
        <v/>
      </c>
      <c r="FE195" s="110" t="str">
        <f t="shared" si="437"/>
        <v/>
      </c>
      <c r="FG195" s="108" t="str">
        <f t="shared" si="367"/>
        <v/>
      </c>
      <c r="FH195" s="109" t="str">
        <f t="shared" si="368"/>
        <v/>
      </c>
      <c r="FI195" s="109" t="str">
        <f t="shared" si="296"/>
        <v/>
      </c>
      <c r="FJ195" s="110" t="str">
        <f t="shared" si="438"/>
        <v/>
      </c>
      <c r="FL195" s="108" t="str">
        <f t="shared" si="297"/>
        <v/>
      </c>
      <c r="FM195" s="109" t="str">
        <f t="shared" si="369"/>
        <v/>
      </c>
      <c r="FN195" s="109" t="str">
        <f t="shared" si="298"/>
        <v/>
      </c>
      <c r="FO195" s="110" t="str">
        <f t="shared" si="439"/>
        <v/>
      </c>
      <c r="FQ195" s="108" t="str">
        <f t="shared" si="370"/>
        <v/>
      </c>
      <c r="FR195" s="109" t="str">
        <f t="shared" si="371"/>
        <v/>
      </c>
      <c r="FS195" s="109" t="str">
        <f t="shared" si="299"/>
        <v/>
      </c>
      <c r="FT195" s="110" t="str">
        <f t="shared" si="440"/>
        <v/>
      </c>
      <c r="FV195" s="108" t="str">
        <f t="shared" si="300"/>
        <v/>
      </c>
      <c r="FW195" s="109" t="str">
        <f t="shared" si="372"/>
        <v/>
      </c>
      <c r="FX195" s="109" t="str">
        <f t="shared" si="301"/>
        <v/>
      </c>
      <c r="FY195" s="110" t="str">
        <f t="shared" si="441"/>
        <v/>
      </c>
      <c r="GA195" s="108" t="str">
        <f t="shared" si="373"/>
        <v/>
      </c>
      <c r="GB195" s="109" t="str">
        <f t="shared" si="374"/>
        <v/>
      </c>
      <c r="GC195" s="109" t="str">
        <f t="shared" si="302"/>
        <v/>
      </c>
      <c r="GD195" s="110" t="str">
        <f t="shared" si="442"/>
        <v/>
      </c>
      <c r="GF195" s="108" t="str">
        <f t="shared" si="303"/>
        <v/>
      </c>
      <c r="GG195" s="109" t="str">
        <f t="shared" si="375"/>
        <v/>
      </c>
      <c r="GH195" s="109" t="str">
        <f t="shared" si="304"/>
        <v/>
      </c>
      <c r="GI195" s="110" t="str">
        <f t="shared" si="443"/>
        <v/>
      </c>
      <c r="GK195" s="108" t="str">
        <f t="shared" si="376"/>
        <v/>
      </c>
      <c r="GL195" s="109" t="str">
        <f t="shared" si="377"/>
        <v/>
      </c>
      <c r="GM195" s="109" t="str">
        <f t="shared" si="378"/>
        <v/>
      </c>
      <c r="GN195" s="110" t="str">
        <f t="shared" si="444"/>
        <v/>
      </c>
      <c r="GR195" s="108" t="str">
        <f t="shared" si="305"/>
        <v/>
      </c>
      <c r="GS195" s="109" t="str">
        <f t="shared" si="306"/>
        <v/>
      </c>
      <c r="GT195" s="109" t="str">
        <f t="shared" si="307"/>
        <v/>
      </c>
      <c r="GU195" s="110" t="str">
        <f t="shared" si="308"/>
        <v/>
      </c>
      <c r="GV195" s="51"/>
      <c r="GW195" s="108" t="str">
        <f t="shared" si="309"/>
        <v/>
      </c>
      <c r="GX195" s="109" t="str">
        <f t="shared" si="379"/>
        <v/>
      </c>
      <c r="GY195" s="109" t="str">
        <f t="shared" si="310"/>
        <v/>
      </c>
      <c r="GZ195" s="110" t="str">
        <f t="shared" si="311"/>
        <v/>
      </c>
      <c r="HA195" s="51"/>
      <c r="HB195" s="108" t="str">
        <f t="shared" si="380"/>
        <v/>
      </c>
      <c r="HC195" s="109" t="str">
        <f t="shared" si="381"/>
        <v/>
      </c>
      <c r="HD195" s="109" t="str">
        <f t="shared" si="312"/>
        <v/>
      </c>
      <c r="HE195" s="110" t="str">
        <f t="shared" si="382"/>
        <v/>
      </c>
      <c r="HF195" s="51"/>
      <c r="HG195" s="108" t="str">
        <f t="shared" si="313"/>
        <v/>
      </c>
      <c r="HH195" s="109" t="str">
        <f t="shared" si="383"/>
        <v/>
      </c>
      <c r="HI195" s="109" t="str">
        <f t="shared" si="314"/>
        <v/>
      </c>
      <c r="HJ195" s="110" t="str">
        <f t="shared" si="417"/>
        <v/>
      </c>
      <c r="HK195" s="51"/>
      <c r="HL195" s="108" t="str">
        <f t="shared" si="384"/>
        <v/>
      </c>
      <c r="HM195" s="109" t="str">
        <f t="shared" si="385"/>
        <v/>
      </c>
      <c r="HN195" s="109" t="str">
        <f t="shared" si="315"/>
        <v/>
      </c>
      <c r="HO195" s="110" t="str">
        <f t="shared" si="386"/>
        <v/>
      </c>
      <c r="HP195" s="51"/>
      <c r="HQ195" s="108" t="str">
        <f t="shared" si="316"/>
        <v/>
      </c>
      <c r="HR195" s="109" t="str">
        <f t="shared" si="387"/>
        <v/>
      </c>
      <c r="HS195" s="109" t="str">
        <f t="shared" si="317"/>
        <v/>
      </c>
      <c r="HT195" s="110" t="str">
        <f t="shared" si="418"/>
        <v/>
      </c>
      <c r="HU195" s="51"/>
      <c r="HV195" s="108" t="str">
        <f t="shared" si="388"/>
        <v/>
      </c>
      <c r="HW195" s="109" t="str">
        <f t="shared" si="389"/>
        <v/>
      </c>
      <c r="HX195" s="109" t="str">
        <f t="shared" si="318"/>
        <v/>
      </c>
      <c r="HY195" s="110" t="str">
        <f t="shared" si="390"/>
        <v/>
      </c>
      <c r="HZ195" s="51"/>
      <c r="IA195" s="108" t="str">
        <f t="shared" si="319"/>
        <v/>
      </c>
      <c r="IB195" s="109" t="str">
        <f t="shared" si="391"/>
        <v/>
      </c>
      <c r="IC195" s="109" t="str">
        <f t="shared" si="320"/>
        <v/>
      </c>
      <c r="ID195" s="110" t="str">
        <f t="shared" si="419"/>
        <v/>
      </c>
      <c r="IE195" s="51"/>
      <c r="IF195" s="108" t="str">
        <f t="shared" si="392"/>
        <v/>
      </c>
      <c r="IG195" s="109" t="str">
        <f t="shared" si="393"/>
        <v/>
      </c>
      <c r="IH195" s="109" t="str">
        <f t="shared" si="321"/>
        <v/>
      </c>
      <c r="II195" s="110" t="str">
        <f t="shared" si="394"/>
        <v/>
      </c>
      <c r="IJ195" s="51"/>
      <c r="IK195" s="108" t="str">
        <f t="shared" si="322"/>
        <v/>
      </c>
      <c r="IL195" s="109" t="str">
        <f t="shared" si="395"/>
        <v/>
      </c>
      <c r="IM195" s="109" t="str">
        <f t="shared" si="323"/>
        <v/>
      </c>
      <c r="IN195" s="110" t="str">
        <f t="shared" si="420"/>
        <v/>
      </c>
      <c r="IO195" s="51"/>
      <c r="IP195" s="108" t="str">
        <f t="shared" si="396"/>
        <v/>
      </c>
      <c r="IQ195" s="109" t="str">
        <f t="shared" si="397"/>
        <v/>
      </c>
      <c r="IR195" s="109" t="str">
        <f t="shared" si="324"/>
        <v/>
      </c>
      <c r="IS195" s="110" t="str">
        <f t="shared" si="398"/>
        <v/>
      </c>
      <c r="IT195" s="51"/>
      <c r="IU195" s="108" t="str">
        <f t="shared" si="325"/>
        <v/>
      </c>
      <c r="IV195" s="109" t="str">
        <f t="shared" si="399"/>
        <v/>
      </c>
      <c r="IW195" s="109" t="str">
        <f t="shared" si="326"/>
        <v/>
      </c>
      <c r="IX195" s="110" t="str">
        <f t="shared" si="421"/>
        <v/>
      </c>
      <c r="IY195" s="51"/>
      <c r="IZ195" s="108" t="str">
        <f t="shared" si="400"/>
        <v/>
      </c>
      <c r="JA195" s="109" t="str">
        <f t="shared" si="401"/>
        <v/>
      </c>
      <c r="JB195" s="109" t="str">
        <f t="shared" si="327"/>
        <v/>
      </c>
      <c r="JC195" s="110" t="str">
        <f t="shared" si="402"/>
        <v/>
      </c>
      <c r="JD195" s="51"/>
      <c r="JE195" s="108" t="str">
        <f t="shared" si="328"/>
        <v/>
      </c>
      <c r="JF195" s="109" t="str">
        <f t="shared" si="403"/>
        <v/>
      </c>
      <c r="JG195" s="109" t="str">
        <f t="shared" si="329"/>
        <v/>
      </c>
      <c r="JH195" s="110" t="str">
        <f t="shared" si="422"/>
        <v/>
      </c>
      <c r="JI195" s="51"/>
      <c r="JJ195" s="108" t="str">
        <f t="shared" si="404"/>
        <v/>
      </c>
      <c r="JK195" s="109" t="str">
        <f t="shared" si="405"/>
        <v/>
      </c>
      <c r="JL195" s="109" t="str">
        <f t="shared" si="330"/>
        <v/>
      </c>
      <c r="JM195" s="110" t="str">
        <f t="shared" si="406"/>
        <v/>
      </c>
      <c r="JN195" s="51"/>
      <c r="JO195" s="108" t="str">
        <f t="shared" si="331"/>
        <v/>
      </c>
      <c r="JP195" s="109" t="str">
        <f t="shared" si="407"/>
        <v/>
      </c>
      <c r="JQ195" s="109" t="str">
        <f t="shared" si="332"/>
        <v/>
      </c>
      <c r="JR195" s="110" t="str">
        <f t="shared" si="423"/>
        <v/>
      </c>
      <c r="JS195" s="51"/>
      <c r="JT195" s="108" t="str">
        <f t="shared" si="408"/>
        <v/>
      </c>
      <c r="JU195" s="109" t="str">
        <f t="shared" si="409"/>
        <v/>
      </c>
      <c r="JV195" s="109" t="str">
        <f t="shared" si="333"/>
        <v/>
      </c>
      <c r="JW195" s="110" t="str">
        <f t="shared" si="410"/>
        <v/>
      </c>
      <c r="JX195" s="51"/>
      <c r="JY195" s="108" t="str">
        <f t="shared" si="334"/>
        <v/>
      </c>
      <c r="JZ195" s="109" t="str">
        <f t="shared" si="411"/>
        <v/>
      </c>
      <c r="KA195" s="109" t="str">
        <f t="shared" si="335"/>
        <v/>
      </c>
      <c r="KB195" s="110" t="str">
        <f t="shared" si="424"/>
        <v/>
      </c>
      <c r="KC195" s="51"/>
      <c r="KD195" s="108" t="str">
        <f t="shared" si="412"/>
        <v/>
      </c>
      <c r="KE195" s="109" t="str">
        <f t="shared" si="413"/>
        <v/>
      </c>
      <c r="KF195" s="109" t="str">
        <f t="shared" si="336"/>
        <v/>
      </c>
      <c r="KG195" s="110" t="str">
        <f t="shared" si="337"/>
        <v/>
      </c>
    </row>
    <row r="196" spans="1:293" ht="12" customHeight="1">
      <c r="A196" s="105">
        <f t="array" ref="A196">MAX(IF($J$80:J195&gt;0,$C$80:C195,0))</f>
        <v>43535</v>
      </c>
      <c r="B196" s="81" t="str">
        <f t="shared" si="248"/>
        <v/>
      </c>
      <c r="C196" s="82">
        <f t="shared" si="414"/>
        <v>0</v>
      </c>
      <c r="D196" s="83" t="str">
        <f t="shared" si="249"/>
        <v/>
      </c>
      <c r="E196" s="83" t="str">
        <f t="shared" si="338"/>
        <v/>
      </c>
      <c r="F196" s="83" t="str">
        <f t="shared" si="250"/>
        <v/>
      </c>
      <c r="G196" s="83" t="str">
        <f t="shared" si="251"/>
        <v/>
      </c>
      <c r="H196" s="83" t="str">
        <f t="shared" si="252"/>
        <v/>
      </c>
      <c r="I196" s="105">
        <f t="array" ref="I196">MAX(IF($R$80:R195&gt;0,$L$80:L195,0))</f>
        <v>0</v>
      </c>
      <c r="J196" s="106"/>
      <c r="K196" s="2" t="str">
        <f t="shared" si="253"/>
        <v/>
      </c>
      <c r="L196" s="82">
        <f t="shared" si="415"/>
        <v>0</v>
      </c>
      <c r="M196" s="83" t="str">
        <f t="shared" si="254"/>
        <v/>
      </c>
      <c r="N196" s="83" t="str">
        <f t="shared" si="255"/>
        <v/>
      </c>
      <c r="O196" s="83" t="str">
        <f t="shared" si="256"/>
        <v/>
      </c>
      <c r="P196" s="83" t="str">
        <f t="shared" si="257"/>
        <v/>
      </c>
      <c r="Q196" s="83" t="str">
        <f t="shared" si="258"/>
        <v/>
      </c>
      <c r="R196" s="106"/>
      <c r="S196" s="1"/>
      <c r="U196" s="85" t="e">
        <f t="shared" si="244"/>
        <v>#NUM!</v>
      </c>
      <c r="V196" s="86" t="e">
        <f t="shared" si="339"/>
        <v>#NUM!</v>
      </c>
      <c r="W196" s="87" t="e">
        <f t="shared" si="259"/>
        <v>#NUM!</v>
      </c>
      <c r="X196" s="87" t="e">
        <f t="shared" si="260"/>
        <v>#NUM!</v>
      </c>
      <c r="Y196" s="87" t="e">
        <f t="shared" si="261"/>
        <v>#NUM!</v>
      </c>
      <c r="Z196" s="88" t="e">
        <f t="shared" si="245"/>
        <v>#NUM!</v>
      </c>
      <c r="AA196" t="s">
        <v>282</v>
      </c>
      <c r="AB196" s="89">
        <f t="shared" si="340"/>
        <v>0</v>
      </c>
      <c r="AC196" s="87">
        <f t="shared" si="262"/>
        <v>0</v>
      </c>
      <c r="AD196" s="87" t="str">
        <f t="shared" si="263"/>
        <v/>
      </c>
      <c r="AE196" s="87" t="str">
        <f t="shared" si="264"/>
        <v/>
      </c>
      <c r="AF196" s="86">
        <f t="shared" si="341"/>
        <v>0</v>
      </c>
      <c r="AG196" s="87">
        <f t="shared" si="246"/>
        <v>0</v>
      </c>
      <c r="AH196" s="87">
        <f t="shared" si="342"/>
        <v>0</v>
      </c>
      <c r="AI196" s="90"/>
      <c r="AJ196" s="87" t="e">
        <f t="shared" si="265"/>
        <v>#NUM!</v>
      </c>
      <c r="AK196" s="87" t="e">
        <f t="shared" si="343"/>
        <v>#NUM!</v>
      </c>
      <c r="AL196" s="87" t="e">
        <f t="shared" si="344"/>
        <v>#NUM!</v>
      </c>
      <c r="AM196" s="87" t="e">
        <f t="shared" si="345"/>
        <v>#NUM!</v>
      </c>
      <c r="AN196" s="86">
        <f t="shared" si="266"/>
        <v>0</v>
      </c>
      <c r="AO196" s="87">
        <f t="shared" si="267"/>
        <v>0</v>
      </c>
      <c r="AP196" s="88">
        <f t="shared" si="268"/>
        <v>0</v>
      </c>
      <c r="AR196" s="91">
        <f t="shared" si="269"/>
        <v>0</v>
      </c>
      <c r="AS196" s="92">
        <f t="shared" si="270"/>
        <v>0</v>
      </c>
      <c r="AT196" s="87" t="str">
        <f t="shared" si="271"/>
        <v/>
      </c>
      <c r="AU196" s="87" t="str">
        <f t="shared" si="272"/>
        <v/>
      </c>
      <c r="AV196" s="86">
        <f t="shared" si="346"/>
        <v>0</v>
      </c>
      <c r="AW196" s="87">
        <f t="shared" si="347"/>
        <v>0</v>
      </c>
      <c r="AX196" s="87">
        <f t="shared" si="348"/>
        <v>0</v>
      </c>
      <c r="AY196" s="93"/>
      <c r="AZ196" s="87">
        <f t="shared" si="425"/>
        <v>0</v>
      </c>
      <c r="BA196" s="87">
        <f t="shared" si="349"/>
        <v>0</v>
      </c>
      <c r="BB196" s="87">
        <f t="shared" si="350"/>
        <v>0</v>
      </c>
      <c r="BC196" s="87">
        <f t="shared" si="416"/>
        <v>0</v>
      </c>
      <c r="BD196" s="86" t="e">
        <f t="shared" si="273"/>
        <v>#NUM!</v>
      </c>
      <c r="BE196" s="87" t="e">
        <f t="shared" si="247"/>
        <v>#NUM!</v>
      </c>
      <c r="BF196" s="88">
        <f t="shared" si="351"/>
        <v>0</v>
      </c>
      <c r="BH196" s="87" t="e">
        <f t="shared" si="274"/>
        <v>#NUM!</v>
      </c>
      <c r="BK196" s="95">
        <v>42244</v>
      </c>
      <c r="BL196" s="96">
        <v>117</v>
      </c>
      <c r="CY196" s="108" t="str">
        <f t="shared" si="275"/>
        <v/>
      </c>
      <c r="CZ196" s="109" t="str">
        <f t="shared" si="276"/>
        <v/>
      </c>
      <c r="DA196" s="109" t="str">
        <f t="shared" si="277"/>
        <v/>
      </c>
      <c r="DB196" s="110" t="str">
        <f t="shared" si="426"/>
        <v/>
      </c>
      <c r="DD196" s="108" t="str">
        <f t="shared" si="278"/>
        <v/>
      </c>
      <c r="DE196" s="109" t="str">
        <f t="shared" si="352"/>
        <v/>
      </c>
      <c r="DF196" s="109" t="str">
        <f t="shared" si="279"/>
        <v/>
      </c>
      <c r="DG196" s="110" t="str">
        <f t="shared" si="427"/>
        <v/>
      </c>
      <c r="DI196" s="108" t="str">
        <f t="shared" si="353"/>
        <v/>
      </c>
      <c r="DJ196" s="109" t="str">
        <f t="shared" si="354"/>
        <v/>
      </c>
      <c r="DK196" s="109" t="str">
        <f t="shared" si="280"/>
        <v/>
      </c>
      <c r="DL196" s="110" t="str">
        <f t="shared" si="428"/>
        <v/>
      </c>
      <c r="DN196" s="108" t="str">
        <f t="shared" si="281"/>
        <v/>
      </c>
      <c r="DO196" s="109" t="str">
        <f t="shared" si="282"/>
        <v/>
      </c>
      <c r="DP196" s="109" t="str">
        <f t="shared" si="283"/>
        <v/>
      </c>
      <c r="DQ196" s="110" t="str">
        <f t="shared" si="429"/>
        <v/>
      </c>
      <c r="DS196" s="108" t="str">
        <f t="shared" si="355"/>
        <v/>
      </c>
      <c r="DT196" s="109" t="str">
        <f t="shared" si="356"/>
        <v/>
      </c>
      <c r="DU196" s="109" t="str">
        <f t="shared" si="284"/>
        <v/>
      </c>
      <c r="DV196" s="110" t="str">
        <f t="shared" si="430"/>
        <v/>
      </c>
      <c r="DX196" s="108" t="str">
        <f t="shared" si="285"/>
        <v/>
      </c>
      <c r="DY196" s="109" t="str">
        <f t="shared" si="357"/>
        <v/>
      </c>
      <c r="DZ196" s="109" t="str">
        <f t="shared" si="286"/>
        <v/>
      </c>
      <c r="EA196" s="110" t="str">
        <f t="shared" si="431"/>
        <v/>
      </c>
      <c r="EC196" s="108" t="str">
        <f t="shared" si="358"/>
        <v/>
      </c>
      <c r="ED196" s="109" t="str">
        <f t="shared" si="359"/>
        <v/>
      </c>
      <c r="EE196" s="109" t="str">
        <f t="shared" si="287"/>
        <v/>
      </c>
      <c r="EF196" s="110" t="str">
        <f t="shared" si="432"/>
        <v/>
      </c>
      <c r="EH196" s="108" t="str">
        <f t="shared" si="288"/>
        <v/>
      </c>
      <c r="EI196" s="109" t="str">
        <f t="shared" si="360"/>
        <v/>
      </c>
      <c r="EJ196" s="109" t="str">
        <f t="shared" si="289"/>
        <v/>
      </c>
      <c r="EK196" s="110" t="str">
        <f t="shared" si="433"/>
        <v/>
      </c>
      <c r="EM196" s="108" t="str">
        <f t="shared" si="361"/>
        <v/>
      </c>
      <c r="EN196" s="109" t="str">
        <f t="shared" si="362"/>
        <v/>
      </c>
      <c r="EO196" s="109" t="str">
        <f t="shared" si="290"/>
        <v/>
      </c>
      <c r="EP196" s="110" t="str">
        <f t="shared" si="434"/>
        <v/>
      </c>
      <c r="ER196" s="108" t="str">
        <f t="shared" si="291"/>
        <v/>
      </c>
      <c r="ES196" s="109" t="str">
        <f t="shared" si="363"/>
        <v/>
      </c>
      <c r="ET196" s="109" t="str">
        <f t="shared" si="292"/>
        <v/>
      </c>
      <c r="EU196" s="110" t="str">
        <f t="shared" si="435"/>
        <v/>
      </c>
      <c r="EW196" s="108" t="str">
        <f t="shared" si="364"/>
        <v/>
      </c>
      <c r="EX196" s="109" t="str">
        <f t="shared" si="365"/>
        <v/>
      </c>
      <c r="EY196" s="109" t="str">
        <f t="shared" si="293"/>
        <v/>
      </c>
      <c r="EZ196" s="110" t="str">
        <f t="shared" si="436"/>
        <v/>
      </c>
      <c r="FB196" s="108" t="str">
        <f t="shared" si="294"/>
        <v/>
      </c>
      <c r="FC196" s="109" t="str">
        <f t="shared" si="366"/>
        <v/>
      </c>
      <c r="FD196" s="109" t="str">
        <f t="shared" si="295"/>
        <v/>
      </c>
      <c r="FE196" s="110" t="str">
        <f t="shared" si="437"/>
        <v/>
      </c>
      <c r="FG196" s="108" t="str">
        <f t="shared" si="367"/>
        <v/>
      </c>
      <c r="FH196" s="109" t="str">
        <f t="shared" si="368"/>
        <v/>
      </c>
      <c r="FI196" s="109" t="str">
        <f t="shared" si="296"/>
        <v/>
      </c>
      <c r="FJ196" s="110" t="str">
        <f t="shared" si="438"/>
        <v/>
      </c>
      <c r="FL196" s="108" t="str">
        <f t="shared" si="297"/>
        <v/>
      </c>
      <c r="FM196" s="109" t="str">
        <f t="shared" si="369"/>
        <v/>
      </c>
      <c r="FN196" s="109" t="str">
        <f t="shared" si="298"/>
        <v/>
      </c>
      <c r="FO196" s="110" t="str">
        <f t="shared" si="439"/>
        <v/>
      </c>
      <c r="FQ196" s="108" t="str">
        <f t="shared" si="370"/>
        <v/>
      </c>
      <c r="FR196" s="109" t="str">
        <f t="shared" si="371"/>
        <v/>
      </c>
      <c r="FS196" s="109" t="str">
        <f t="shared" si="299"/>
        <v/>
      </c>
      <c r="FT196" s="110" t="str">
        <f t="shared" si="440"/>
        <v/>
      </c>
      <c r="FV196" s="108" t="str">
        <f t="shared" si="300"/>
        <v/>
      </c>
      <c r="FW196" s="109" t="str">
        <f t="shared" si="372"/>
        <v/>
      </c>
      <c r="FX196" s="109" t="str">
        <f t="shared" si="301"/>
        <v/>
      </c>
      <c r="FY196" s="110" t="str">
        <f t="shared" si="441"/>
        <v/>
      </c>
      <c r="GA196" s="108" t="str">
        <f t="shared" si="373"/>
        <v/>
      </c>
      <c r="GB196" s="109" t="str">
        <f t="shared" si="374"/>
        <v/>
      </c>
      <c r="GC196" s="109" t="str">
        <f t="shared" si="302"/>
        <v/>
      </c>
      <c r="GD196" s="110" t="str">
        <f t="shared" si="442"/>
        <v/>
      </c>
      <c r="GF196" s="108" t="str">
        <f t="shared" si="303"/>
        <v/>
      </c>
      <c r="GG196" s="109" t="str">
        <f t="shared" si="375"/>
        <v/>
      </c>
      <c r="GH196" s="109" t="str">
        <f t="shared" si="304"/>
        <v/>
      </c>
      <c r="GI196" s="110" t="str">
        <f t="shared" si="443"/>
        <v/>
      </c>
      <c r="GK196" s="108" t="str">
        <f t="shared" si="376"/>
        <v/>
      </c>
      <c r="GL196" s="109" t="str">
        <f t="shared" si="377"/>
        <v/>
      </c>
      <c r="GM196" s="109" t="str">
        <f t="shared" si="378"/>
        <v/>
      </c>
      <c r="GN196" s="110" t="str">
        <f t="shared" si="444"/>
        <v/>
      </c>
      <c r="GR196" s="108" t="str">
        <f t="shared" si="305"/>
        <v/>
      </c>
      <c r="GS196" s="109" t="str">
        <f t="shared" si="306"/>
        <v/>
      </c>
      <c r="GT196" s="109" t="str">
        <f t="shared" si="307"/>
        <v/>
      </c>
      <c r="GU196" s="110" t="str">
        <f t="shared" si="308"/>
        <v/>
      </c>
      <c r="GV196" s="51"/>
      <c r="GW196" s="108" t="str">
        <f t="shared" si="309"/>
        <v/>
      </c>
      <c r="GX196" s="109" t="str">
        <f t="shared" si="379"/>
        <v/>
      </c>
      <c r="GY196" s="109" t="str">
        <f t="shared" si="310"/>
        <v/>
      </c>
      <c r="GZ196" s="110" t="str">
        <f t="shared" si="311"/>
        <v/>
      </c>
      <c r="HA196" s="51"/>
      <c r="HB196" s="108" t="str">
        <f t="shared" si="380"/>
        <v/>
      </c>
      <c r="HC196" s="109" t="str">
        <f t="shared" si="381"/>
        <v/>
      </c>
      <c r="HD196" s="109" t="str">
        <f t="shared" si="312"/>
        <v/>
      </c>
      <c r="HE196" s="110" t="str">
        <f t="shared" si="382"/>
        <v/>
      </c>
      <c r="HF196" s="51"/>
      <c r="HG196" s="108" t="str">
        <f t="shared" si="313"/>
        <v/>
      </c>
      <c r="HH196" s="109" t="str">
        <f t="shared" si="383"/>
        <v/>
      </c>
      <c r="HI196" s="109" t="str">
        <f t="shared" si="314"/>
        <v/>
      </c>
      <c r="HJ196" s="110" t="str">
        <f t="shared" si="417"/>
        <v/>
      </c>
      <c r="HK196" s="51"/>
      <c r="HL196" s="108" t="str">
        <f t="shared" si="384"/>
        <v/>
      </c>
      <c r="HM196" s="109" t="str">
        <f t="shared" si="385"/>
        <v/>
      </c>
      <c r="HN196" s="109" t="str">
        <f t="shared" si="315"/>
        <v/>
      </c>
      <c r="HO196" s="110" t="str">
        <f t="shared" si="386"/>
        <v/>
      </c>
      <c r="HP196" s="51"/>
      <c r="HQ196" s="108" t="str">
        <f t="shared" si="316"/>
        <v/>
      </c>
      <c r="HR196" s="109" t="str">
        <f t="shared" si="387"/>
        <v/>
      </c>
      <c r="HS196" s="109" t="str">
        <f t="shared" si="317"/>
        <v/>
      </c>
      <c r="HT196" s="110" t="str">
        <f t="shared" si="418"/>
        <v/>
      </c>
      <c r="HU196" s="51"/>
      <c r="HV196" s="108" t="str">
        <f t="shared" si="388"/>
        <v/>
      </c>
      <c r="HW196" s="109" t="str">
        <f t="shared" si="389"/>
        <v/>
      </c>
      <c r="HX196" s="109" t="str">
        <f t="shared" si="318"/>
        <v/>
      </c>
      <c r="HY196" s="110" t="str">
        <f t="shared" si="390"/>
        <v/>
      </c>
      <c r="HZ196" s="51"/>
      <c r="IA196" s="108" t="str">
        <f t="shared" si="319"/>
        <v/>
      </c>
      <c r="IB196" s="109" t="str">
        <f t="shared" si="391"/>
        <v/>
      </c>
      <c r="IC196" s="109" t="str">
        <f t="shared" si="320"/>
        <v/>
      </c>
      <c r="ID196" s="110" t="str">
        <f t="shared" si="419"/>
        <v/>
      </c>
      <c r="IE196" s="51"/>
      <c r="IF196" s="108" t="str">
        <f t="shared" si="392"/>
        <v/>
      </c>
      <c r="IG196" s="109" t="str">
        <f t="shared" si="393"/>
        <v/>
      </c>
      <c r="IH196" s="109" t="str">
        <f t="shared" si="321"/>
        <v/>
      </c>
      <c r="II196" s="110" t="str">
        <f t="shared" si="394"/>
        <v/>
      </c>
      <c r="IJ196" s="51"/>
      <c r="IK196" s="108" t="str">
        <f t="shared" si="322"/>
        <v/>
      </c>
      <c r="IL196" s="109" t="str">
        <f t="shared" si="395"/>
        <v/>
      </c>
      <c r="IM196" s="109" t="str">
        <f t="shared" si="323"/>
        <v/>
      </c>
      <c r="IN196" s="110" t="str">
        <f t="shared" si="420"/>
        <v/>
      </c>
      <c r="IO196" s="51"/>
      <c r="IP196" s="108" t="str">
        <f t="shared" si="396"/>
        <v/>
      </c>
      <c r="IQ196" s="109" t="str">
        <f t="shared" si="397"/>
        <v/>
      </c>
      <c r="IR196" s="109" t="str">
        <f t="shared" si="324"/>
        <v/>
      </c>
      <c r="IS196" s="110" t="str">
        <f t="shared" si="398"/>
        <v/>
      </c>
      <c r="IT196" s="51"/>
      <c r="IU196" s="108" t="str">
        <f t="shared" si="325"/>
        <v/>
      </c>
      <c r="IV196" s="109" t="str">
        <f t="shared" si="399"/>
        <v/>
      </c>
      <c r="IW196" s="109" t="str">
        <f t="shared" si="326"/>
        <v/>
      </c>
      <c r="IX196" s="110" t="str">
        <f t="shared" si="421"/>
        <v/>
      </c>
      <c r="IY196" s="51"/>
      <c r="IZ196" s="108" t="str">
        <f t="shared" si="400"/>
        <v/>
      </c>
      <c r="JA196" s="109" t="str">
        <f t="shared" si="401"/>
        <v/>
      </c>
      <c r="JB196" s="109" t="str">
        <f t="shared" si="327"/>
        <v/>
      </c>
      <c r="JC196" s="110" t="str">
        <f t="shared" si="402"/>
        <v/>
      </c>
      <c r="JD196" s="51"/>
      <c r="JE196" s="108" t="str">
        <f t="shared" si="328"/>
        <v/>
      </c>
      <c r="JF196" s="109" t="str">
        <f t="shared" si="403"/>
        <v/>
      </c>
      <c r="JG196" s="109" t="str">
        <f t="shared" si="329"/>
        <v/>
      </c>
      <c r="JH196" s="110" t="str">
        <f t="shared" si="422"/>
        <v/>
      </c>
      <c r="JI196" s="51"/>
      <c r="JJ196" s="108" t="str">
        <f t="shared" si="404"/>
        <v/>
      </c>
      <c r="JK196" s="109" t="str">
        <f t="shared" si="405"/>
        <v/>
      </c>
      <c r="JL196" s="109" t="str">
        <f t="shared" si="330"/>
        <v/>
      </c>
      <c r="JM196" s="110" t="str">
        <f t="shared" si="406"/>
        <v/>
      </c>
      <c r="JN196" s="51"/>
      <c r="JO196" s="108" t="str">
        <f t="shared" si="331"/>
        <v/>
      </c>
      <c r="JP196" s="109" t="str">
        <f t="shared" si="407"/>
        <v/>
      </c>
      <c r="JQ196" s="109" t="str">
        <f t="shared" si="332"/>
        <v/>
      </c>
      <c r="JR196" s="110" t="str">
        <f t="shared" si="423"/>
        <v/>
      </c>
      <c r="JS196" s="51"/>
      <c r="JT196" s="108" t="str">
        <f t="shared" si="408"/>
        <v/>
      </c>
      <c r="JU196" s="109" t="str">
        <f t="shared" si="409"/>
        <v/>
      </c>
      <c r="JV196" s="109" t="str">
        <f t="shared" si="333"/>
        <v/>
      </c>
      <c r="JW196" s="110" t="str">
        <f t="shared" si="410"/>
        <v/>
      </c>
      <c r="JX196" s="51"/>
      <c r="JY196" s="108" t="str">
        <f t="shared" si="334"/>
        <v/>
      </c>
      <c r="JZ196" s="109" t="str">
        <f t="shared" si="411"/>
        <v/>
      </c>
      <c r="KA196" s="109" t="str">
        <f t="shared" si="335"/>
        <v/>
      </c>
      <c r="KB196" s="110" t="str">
        <f t="shared" si="424"/>
        <v/>
      </c>
      <c r="KC196" s="51"/>
      <c r="KD196" s="108" t="str">
        <f t="shared" si="412"/>
        <v/>
      </c>
      <c r="KE196" s="109" t="str">
        <f t="shared" si="413"/>
        <v/>
      </c>
      <c r="KF196" s="109" t="str">
        <f t="shared" si="336"/>
        <v/>
      </c>
      <c r="KG196" s="110" t="str">
        <f t="shared" si="337"/>
        <v/>
      </c>
    </row>
    <row r="197" spans="1:293" ht="12" customHeight="1">
      <c r="A197" s="105">
        <f t="array" ref="A197">MAX(IF($J$80:J196&gt;0,$C$80:C196,0))</f>
        <v>43535</v>
      </c>
      <c r="B197" s="81" t="str">
        <f t="shared" si="248"/>
        <v/>
      </c>
      <c r="C197" s="82">
        <f t="shared" si="414"/>
        <v>0</v>
      </c>
      <c r="D197" s="83" t="str">
        <f t="shared" si="249"/>
        <v/>
      </c>
      <c r="E197" s="83" t="str">
        <f t="shared" si="338"/>
        <v/>
      </c>
      <c r="F197" s="83" t="str">
        <f t="shared" si="250"/>
        <v/>
      </c>
      <c r="G197" s="83" t="str">
        <f t="shared" si="251"/>
        <v/>
      </c>
      <c r="H197" s="83" t="str">
        <f t="shared" si="252"/>
        <v/>
      </c>
      <c r="I197" s="105">
        <f t="array" ref="I197">MAX(IF($R$80:R196&gt;0,$L$80:L196,0))</f>
        <v>0</v>
      </c>
      <c r="J197" s="106"/>
      <c r="K197" s="2" t="str">
        <f t="shared" si="253"/>
        <v/>
      </c>
      <c r="L197" s="82">
        <f t="shared" si="415"/>
        <v>0</v>
      </c>
      <c r="M197" s="83" t="str">
        <f t="shared" si="254"/>
        <v/>
      </c>
      <c r="N197" s="83" t="str">
        <f t="shared" si="255"/>
        <v/>
      </c>
      <c r="O197" s="83" t="str">
        <f t="shared" si="256"/>
        <v/>
      </c>
      <c r="P197" s="83" t="str">
        <f t="shared" si="257"/>
        <v/>
      </c>
      <c r="Q197" s="83" t="str">
        <f t="shared" si="258"/>
        <v/>
      </c>
      <c r="R197" s="106"/>
      <c r="S197" s="1"/>
      <c r="U197" s="85" t="e">
        <f t="shared" si="244"/>
        <v>#NUM!</v>
      </c>
      <c r="V197" s="86" t="e">
        <f t="shared" si="339"/>
        <v>#NUM!</v>
      </c>
      <c r="W197" s="87" t="e">
        <f t="shared" si="259"/>
        <v>#NUM!</v>
      </c>
      <c r="X197" s="87" t="e">
        <f t="shared" si="260"/>
        <v>#NUM!</v>
      </c>
      <c r="Y197" s="87" t="e">
        <f t="shared" si="261"/>
        <v>#NUM!</v>
      </c>
      <c r="Z197" s="88" t="e">
        <f t="shared" si="245"/>
        <v>#NUM!</v>
      </c>
      <c r="AA197" t="s">
        <v>282</v>
      </c>
      <c r="AB197" s="89">
        <f t="shared" si="340"/>
        <v>0</v>
      </c>
      <c r="AC197" s="87">
        <f t="shared" si="262"/>
        <v>0</v>
      </c>
      <c r="AD197" s="87" t="str">
        <f t="shared" si="263"/>
        <v/>
      </c>
      <c r="AE197" s="87" t="str">
        <f t="shared" si="264"/>
        <v/>
      </c>
      <c r="AF197" s="86">
        <f t="shared" si="341"/>
        <v>0</v>
      </c>
      <c r="AG197" s="87">
        <f t="shared" si="246"/>
        <v>0</v>
      </c>
      <c r="AH197" s="87">
        <f t="shared" si="342"/>
        <v>0</v>
      </c>
      <c r="AI197" s="90"/>
      <c r="AJ197" s="87" t="e">
        <f t="shared" si="265"/>
        <v>#NUM!</v>
      </c>
      <c r="AK197" s="87" t="e">
        <f t="shared" si="343"/>
        <v>#NUM!</v>
      </c>
      <c r="AL197" s="87" t="e">
        <f t="shared" si="344"/>
        <v>#NUM!</v>
      </c>
      <c r="AM197" s="87" t="e">
        <f t="shared" si="345"/>
        <v>#NUM!</v>
      </c>
      <c r="AN197" s="86">
        <f t="shared" si="266"/>
        <v>0</v>
      </c>
      <c r="AO197" s="87">
        <f t="shared" si="267"/>
        <v>0</v>
      </c>
      <c r="AP197" s="88">
        <f t="shared" si="268"/>
        <v>0</v>
      </c>
      <c r="AR197" s="91">
        <f t="shared" si="269"/>
        <v>0</v>
      </c>
      <c r="AS197" s="92">
        <f t="shared" si="270"/>
        <v>0</v>
      </c>
      <c r="AT197" s="87" t="str">
        <f t="shared" si="271"/>
        <v/>
      </c>
      <c r="AU197" s="87" t="str">
        <f t="shared" si="272"/>
        <v/>
      </c>
      <c r="AV197" s="86">
        <f t="shared" si="346"/>
        <v>0</v>
      </c>
      <c r="AW197" s="87">
        <f t="shared" si="347"/>
        <v>0</v>
      </c>
      <c r="AX197" s="87">
        <f t="shared" si="348"/>
        <v>0</v>
      </c>
      <c r="AY197" s="93"/>
      <c r="AZ197" s="87">
        <f t="shared" si="425"/>
        <v>0</v>
      </c>
      <c r="BA197" s="87">
        <f t="shared" si="349"/>
        <v>0</v>
      </c>
      <c r="BB197" s="87">
        <f t="shared" si="350"/>
        <v>0</v>
      </c>
      <c r="BC197" s="87">
        <f t="shared" si="416"/>
        <v>0</v>
      </c>
      <c r="BD197" s="86" t="e">
        <f t="shared" si="273"/>
        <v>#NUM!</v>
      </c>
      <c r="BE197" s="87" t="e">
        <f t="shared" si="247"/>
        <v>#NUM!</v>
      </c>
      <c r="BF197" s="88">
        <f t="shared" si="351"/>
        <v>0</v>
      </c>
      <c r="BH197" s="87" t="e">
        <f t="shared" si="274"/>
        <v>#NUM!</v>
      </c>
      <c r="BK197" s="95">
        <v>42291</v>
      </c>
      <c r="BL197" s="96">
        <v>118</v>
      </c>
      <c r="CY197" s="108" t="str">
        <f t="shared" si="275"/>
        <v/>
      </c>
      <c r="CZ197" s="109" t="str">
        <f t="shared" si="276"/>
        <v/>
      </c>
      <c r="DA197" s="109" t="str">
        <f t="shared" si="277"/>
        <v/>
      </c>
      <c r="DB197" s="110" t="str">
        <f t="shared" si="426"/>
        <v/>
      </c>
      <c r="DD197" s="108" t="str">
        <f t="shared" si="278"/>
        <v/>
      </c>
      <c r="DE197" s="109" t="str">
        <f t="shared" si="352"/>
        <v/>
      </c>
      <c r="DF197" s="109" t="str">
        <f t="shared" si="279"/>
        <v/>
      </c>
      <c r="DG197" s="110" t="str">
        <f t="shared" si="427"/>
        <v/>
      </c>
      <c r="DI197" s="108" t="str">
        <f t="shared" si="353"/>
        <v/>
      </c>
      <c r="DJ197" s="109" t="str">
        <f t="shared" si="354"/>
        <v/>
      </c>
      <c r="DK197" s="109" t="str">
        <f t="shared" si="280"/>
        <v/>
      </c>
      <c r="DL197" s="110" t="str">
        <f t="shared" si="428"/>
        <v/>
      </c>
      <c r="DN197" s="108" t="str">
        <f t="shared" si="281"/>
        <v/>
      </c>
      <c r="DO197" s="109" t="str">
        <f t="shared" si="282"/>
        <v/>
      </c>
      <c r="DP197" s="109" t="str">
        <f t="shared" si="283"/>
        <v/>
      </c>
      <c r="DQ197" s="110" t="str">
        <f t="shared" si="429"/>
        <v/>
      </c>
      <c r="DS197" s="108" t="str">
        <f t="shared" si="355"/>
        <v/>
      </c>
      <c r="DT197" s="109" t="str">
        <f t="shared" si="356"/>
        <v/>
      </c>
      <c r="DU197" s="109" t="str">
        <f t="shared" si="284"/>
        <v/>
      </c>
      <c r="DV197" s="110" t="str">
        <f t="shared" si="430"/>
        <v/>
      </c>
      <c r="DX197" s="108" t="str">
        <f t="shared" si="285"/>
        <v/>
      </c>
      <c r="DY197" s="109" t="str">
        <f t="shared" si="357"/>
        <v/>
      </c>
      <c r="DZ197" s="109" t="str">
        <f t="shared" si="286"/>
        <v/>
      </c>
      <c r="EA197" s="110" t="str">
        <f t="shared" si="431"/>
        <v/>
      </c>
      <c r="EC197" s="108" t="str">
        <f t="shared" si="358"/>
        <v/>
      </c>
      <c r="ED197" s="109" t="str">
        <f t="shared" si="359"/>
        <v/>
      </c>
      <c r="EE197" s="109" t="str">
        <f t="shared" si="287"/>
        <v/>
      </c>
      <c r="EF197" s="110" t="str">
        <f t="shared" si="432"/>
        <v/>
      </c>
      <c r="EH197" s="108" t="str">
        <f t="shared" si="288"/>
        <v/>
      </c>
      <c r="EI197" s="109" t="str">
        <f t="shared" si="360"/>
        <v/>
      </c>
      <c r="EJ197" s="109" t="str">
        <f t="shared" si="289"/>
        <v/>
      </c>
      <c r="EK197" s="110" t="str">
        <f t="shared" si="433"/>
        <v/>
      </c>
      <c r="EM197" s="108" t="str">
        <f t="shared" si="361"/>
        <v/>
      </c>
      <c r="EN197" s="109" t="str">
        <f t="shared" si="362"/>
        <v/>
      </c>
      <c r="EO197" s="109" t="str">
        <f t="shared" si="290"/>
        <v/>
      </c>
      <c r="EP197" s="110" t="str">
        <f t="shared" si="434"/>
        <v/>
      </c>
      <c r="ER197" s="108" t="str">
        <f t="shared" si="291"/>
        <v/>
      </c>
      <c r="ES197" s="109" t="str">
        <f t="shared" si="363"/>
        <v/>
      </c>
      <c r="ET197" s="109" t="str">
        <f t="shared" si="292"/>
        <v/>
      </c>
      <c r="EU197" s="110" t="str">
        <f t="shared" si="435"/>
        <v/>
      </c>
      <c r="EW197" s="108" t="str">
        <f t="shared" si="364"/>
        <v/>
      </c>
      <c r="EX197" s="109" t="str">
        <f t="shared" si="365"/>
        <v/>
      </c>
      <c r="EY197" s="109" t="str">
        <f t="shared" si="293"/>
        <v/>
      </c>
      <c r="EZ197" s="110" t="str">
        <f t="shared" si="436"/>
        <v/>
      </c>
      <c r="FB197" s="108" t="str">
        <f t="shared" si="294"/>
        <v/>
      </c>
      <c r="FC197" s="109" t="str">
        <f t="shared" si="366"/>
        <v/>
      </c>
      <c r="FD197" s="109" t="str">
        <f t="shared" si="295"/>
        <v/>
      </c>
      <c r="FE197" s="110" t="str">
        <f t="shared" si="437"/>
        <v/>
      </c>
      <c r="FG197" s="108" t="str">
        <f t="shared" si="367"/>
        <v/>
      </c>
      <c r="FH197" s="109" t="str">
        <f t="shared" si="368"/>
        <v/>
      </c>
      <c r="FI197" s="109" t="str">
        <f t="shared" si="296"/>
        <v/>
      </c>
      <c r="FJ197" s="110" t="str">
        <f t="shared" si="438"/>
        <v/>
      </c>
      <c r="FL197" s="108" t="str">
        <f t="shared" si="297"/>
        <v/>
      </c>
      <c r="FM197" s="109" t="str">
        <f t="shared" si="369"/>
        <v/>
      </c>
      <c r="FN197" s="109" t="str">
        <f t="shared" si="298"/>
        <v/>
      </c>
      <c r="FO197" s="110" t="str">
        <f t="shared" si="439"/>
        <v/>
      </c>
      <c r="FQ197" s="108" t="str">
        <f t="shared" si="370"/>
        <v/>
      </c>
      <c r="FR197" s="109" t="str">
        <f t="shared" si="371"/>
        <v/>
      </c>
      <c r="FS197" s="109" t="str">
        <f t="shared" si="299"/>
        <v/>
      </c>
      <c r="FT197" s="110" t="str">
        <f t="shared" si="440"/>
        <v/>
      </c>
      <c r="FV197" s="108" t="str">
        <f t="shared" si="300"/>
        <v/>
      </c>
      <c r="FW197" s="109" t="str">
        <f t="shared" si="372"/>
        <v/>
      </c>
      <c r="FX197" s="109" t="str">
        <f t="shared" si="301"/>
        <v/>
      </c>
      <c r="FY197" s="110" t="str">
        <f t="shared" si="441"/>
        <v/>
      </c>
      <c r="GA197" s="108" t="str">
        <f t="shared" si="373"/>
        <v/>
      </c>
      <c r="GB197" s="109" t="str">
        <f t="shared" si="374"/>
        <v/>
      </c>
      <c r="GC197" s="109" t="str">
        <f t="shared" si="302"/>
        <v/>
      </c>
      <c r="GD197" s="110" t="str">
        <f t="shared" si="442"/>
        <v/>
      </c>
      <c r="GF197" s="108" t="str">
        <f t="shared" si="303"/>
        <v/>
      </c>
      <c r="GG197" s="109" t="str">
        <f t="shared" si="375"/>
        <v/>
      </c>
      <c r="GH197" s="109" t="str">
        <f t="shared" si="304"/>
        <v/>
      </c>
      <c r="GI197" s="110" t="str">
        <f t="shared" si="443"/>
        <v/>
      </c>
      <c r="GK197" s="108" t="str">
        <f t="shared" si="376"/>
        <v/>
      </c>
      <c r="GL197" s="109" t="str">
        <f t="shared" si="377"/>
        <v/>
      </c>
      <c r="GM197" s="109" t="str">
        <f t="shared" si="378"/>
        <v/>
      </c>
      <c r="GN197" s="110" t="str">
        <f t="shared" si="444"/>
        <v/>
      </c>
      <c r="GR197" s="108" t="str">
        <f t="shared" si="305"/>
        <v/>
      </c>
      <c r="GS197" s="109" t="str">
        <f t="shared" si="306"/>
        <v/>
      </c>
      <c r="GT197" s="109" t="str">
        <f t="shared" si="307"/>
        <v/>
      </c>
      <c r="GU197" s="110" t="str">
        <f t="shared" si="308"/>
        <v/>
      </c>
      <c r="GV197" s="51"/>
      <c r="GW197" s="108" t="str">
        <f t="shared" si="309"/>
        <v/>
      </c>
      <c r="GX197" s="109" t="str">
        <f t="shared" si="379"/>
        <v/>
      </c>
      <c r="GY197" s="109" t="str">
        <f t="shared" si="310"/>
        <v/>
      </c>
      <c r="GZ197" s="110" t="str">
        <f t="shared" si="311"/>
        <v/>
      </c>
      <c r="HA197" s="51"/>
      <c r="HB197" s="108" t="str">
        <f t="shared" si="380"/>
        <v/>
      </c>
      <c r="HC197" s="109" t="str">
        <f t="shared" si="381"/>
        <v/>
      </c>
      <c r="HD197" s="109" t="str">
        <f t="shared" si="312"/>
        <v/>
      </c>
      <c r="HE197" s="110" t="str">
        <f t="shared" si="382"/>
        <v/>
      </c>
      <c r="HF197" s="51"/>
      <c r="HG197" s="108" t="str">
        <f t="shared" si="313"/>
        <v/>
      </c>
      <c r="HH197" s="109" t="str">
        <f t="shared" si="383"/>
        <v/>
      </c>
      <c r="HI197" s="109" t="str">
        <f t="shared" si="314"/>
        <v/>
      </c>
      <c r="HJ197" s="110" t="str">
        <f t="shared" si="417"/>
        <v/>
      </c>
      <c r="HK197" s="51"/>
      <c r="HL197" s="108" t="str">
        <f t="shared" si="384"/>
        <v/>
      </c>
      <c r="HM197" s="109" t="str">
        <f t="shared" si="385"/>
        <v/>
      </c>
      <c r="HN197" s="109" t="str">
        <f t="shared" si="315"/>
        <v/>
      </c>
      <c r="HO197" s="110" t="str">
        <f t="shared" si="386"/>
        <v/>
      </c>
      <c r="HP197" s="51"/>
      <c r="HQ197" s="108" t="str">
        <f t="shared" si="316"/>
        <v/>
      </c>
      <c r="HR197" s="109" t="str">
        <f t="shared" si="387"/>
        <v/>
      </c>
      <c r="HS197" s="109" t="str">
        <f t="shared" si="317"/>
        <v/>
      </c>
      <c r="HT197" s="110" t="str">
        <f t="shared" si="418"/>
        <v/>
      </c>
      <c r="HU197" s="51"/>
      <c r="HV197" s="108" t="str">
        <f t="shared" si="388"/>
        <v/>
      </c>
      <c r="HW197" s="109" t="str">
        <f t="shared" si="389"/>
        <v/>
      </c>
      <c r="HX197" s="109" t="str">
        <f t="shared" si="318"/>
        <v/>
      </c>
      <c r="HY197" s="110" t="str">
        <f t="shared" si="390"/>
        <v/>
      </c>
      <c r="HZ197" s="51"/>
      <c r="IA197" s="108" t="str">
        <f t="shared" si="319"/>
        <v/>
      </c>
      <c r="IB197" s="109" t="str">
        <f t="shared" si="391"/>
        <v/>
      </c>
      <c r="IC197" s="109" t="str">
        <f t="shared" si="320"/>
        <v/>
      </c>
      <c r="ID197" s="110" t="str">
        <f t="shared" si="419"/>
        <v/>
      </c>
      <c r="IE197" s="51"/>
      <c r="IF197" s="108" t="str">
        <f t="shared" si="392"/>
        <v/>
      </c>
      <c r="IG197" s="109" t="str">
        <f t="shared" si="393"/>
        <v/>
      </c>
      <c r="IH197" s="109" t="str">
        <f t="shared" si="321"/>
        <v/>
      </c>
      <c r="II197" s="110" t="str">
        <f t="shared" si="394"/>
        <v/>
      </c>
      <c r="IJ197" s="51"/>
      <c r="IK197" s="108" t="str">
        <f t="shared" si="322"/>
        <v/>
      </c>
      <c r="IL197" s="109" t="str">
        <f t="shared" si="395"/>
        <v/>
      </c>
      <c r="IM197" s="109" t="str">
        <f t="shared" si="323"/>
        <v/>
      </c>
      <c r="IN197" s="110" t="str">
        <f t="shared" si="420"/>
        <v/>
      </c>
      <c r="IO197" s="51"/>
      <c r="IP197" s="108" t="str">
        <f t="shared" si="396"/>
        <v/>
      </c>
      <c r="IQ197" s="109" t="str">
        <f t="shared" si="397"/>
        <v/>
      </c>
      <c r="IR197" s="109" t="str">
        <f t="shared" si="324"/>
        <v/>
      </c>
      <c r="IS197" s="110" t="str">
        <f t="shared" si="398"/>
        <v/>
      </c>
      <c r="IT197" s="51"/>
      <c r="IU197" s="108" t="str">
        <f t="shared" si="325"/>
        <v/>
      </c>
      <c r="IV197" s="109" t="str">
        <f t="shared" si="399"/>
        <v/>
      </c>
      <c r="IW197" s="109" t="str">
        <f t="shared" si="326"/>
        <v/>
      </c>
      <c r="IX197" s="110" t="str">
        <f t="shared" si="421"/>
        <v/>
      </c>
      <c r="IY197" s="51"/>
      <c r="IZ197" s="108" t="str">
        <f t="shared" si="400"/>
        <v/>
      </c>
      <c r="JA197" s="109" t="str">
        <f t="shared" si="401"/>
        <v/>
      </c>
      <c r="JB197" s="109" t="str">
        <f t="shared" si="327"/>
        <v/>
      </c>
      <c r="JC197" s="110" t="str">
        <f t="shared" si="402"/>
        <v/>
      </c>
      <c r="JD197" s="51"/>
      <c r="JE197" s="108" t="str">
        <f t="shared" si="328"/>
        <v/>
      </c>
      <c r="JF197" s="109" t="str">
        <f t="shared" si="403"/>
        <v/>
      </c>
      <c r="JG197" s="109" t="str">
        <f t="shared" si="329"/>
        <v/>
      </c>
      <c r="JH197" s="110" t="str">
        <f t="shared" si="422"/>
        <v/>
      </c>
      <c r="JI197" s="51"/>
      <c r="JJ197" s="108" t="str">
        <f t="shared" si="404"/>
        <v/>
      </c>
      <c r="JK197" s="109" t="str">
        <f t="shared" si="405"/>
        <v/>
      </c>
      <c r="JL197" s="109" t="str">
        <f t="shared" si="330"/>
        <v/>
      </c>
      <c r="JM197" s="110" t="str">
        <f t="shared" si="406"/>
        <v/>
      </c>
      <c r="JN197" s="51"/>
      <c r="JO197" s="108" t="str">
        <f t="shared" si="331"/>
        <v/>
      </c>
      <c r="JP197" s="109" t="str">
        <f t="shared" si="407"/>
        <v/>
      </c>
      <c r="JQ197" s="109" t="str">
        <f t="shared" si="332"/>
        <v/>
      </c>
      <c r="JR197" s="110" t="str">
        <f t="shared" si="423"/>
        <v/>
      </c>
      <c r="JS197" s="51"/>
      <c r="JT197" s="108" t="str">
        <f t="shared" si="408"/>
        <v/>
      </c>
      <c r="JU197" s="109" t="str">
        <f t="shared" si="409"/>
        <v/>
      </c>
      <c r="JV197" s="109" t="str">
        <f t="shared" si="333"/>
        <v/>
      </c>
      <c r="JW197" s="110" t="str">
        <f t="shared" si="410"/>
        <v/>
      </c>
      <c r="JX197" s="51"/>
      <c r="JY197" s="108" t="str">
        <f t="shared" si="334"/>
        <v/>
      </c>
      <c r="JZ197" s="109" t="str">
        <f t="shared" si="411"/>
        <v/>
      </c>
      <c r="KA197" s="109" t="str">
        <f t="shared" si="335"/>
        <v/>
      </c>
      <c r="KB197" s="110" t="str">
        <f t="shared" si="424"/>
        <v/>
      </c>
      <c r="KC197" s="51"/>
      <c r="KD197" s="108" t="str">
        <f t="shared" si="412"/>
        <v/>
      </c>
      <c r="KE197" s="109" t="str">
        <f t="shared" si="413"/>
        <v/>
      </c>
      <c r="KF197" s="109" t="str">
        <f t="shared" si="336"/>
        <v/>
      </c>
      <c r="KG197" s="110" t="str">
        <f t="shared" si="337"/>
        <v/>
      </c>
    </row>
    <row r="198" spans="1:293" ht="12" customHeight="1">
      <c r="A198" s="105">
        <f t="array" ref="A198">MAX(IF($J$80:J197&gt;0,$C$80:C197,0))</f>
        <v>43535</v>
      </c>
      <c r="B198" s="81" t="str">
        <f t="shared" si="248"/>
        <v/>
      </c>
      <c r="C198" s="82">
        <f t="shared" si="414"/>
        <v>0</v>
      </c>
      <c r="D198" s="83" t="str">
        <f t="shared" si="249"/>
        <v/>
      </c>
      <c r="E198" s="83" t="str">
        <f t="shared" si="338"/>
        <v/>
      </c>
      <c r="F198" s="83" t="str">
        <f t="shared" si="250"/>
        <v/>
      </c>
      <c r="G198" s="83" t="str">
        <f t="shared" si="251"/>
        <v/>
      </c>
      <c r="H198" s="83" t="str">
        <f t="shared" si="252"/>
        <v/>
      </c>
      <c r="I198" s="105">
        <f t="array" ref="I198">MAX(IF($R$80:R197&gt;0,$L$80:L197,0))</f>
        <v>0</v>
      </c>
      <c r="J198" s="106"/>
      <c r="K198" s="2" t="str">
        <f t="shared" si="253"/>
        <v/>
      </c>
      <c r="L198" s="82">
        <f t="shared" si="415"/>
        <v>0</v>
      </c>
      <c r="M198" s="83" t="str">
        <f t="shared" si="254"/>
        <v/>
      </c>
      <c r="N198" s="83" t="str">
        <f t="shared" si="255"/>
        <v/>
      </c>
      <c r="O198" s="83" t="str">
        <f t="shared" si="256"/>
        <v/>
      </c>
      <c r="P198" s="83" t="str">
        <f t="shared" si="257"/>
        <v/>
      </c>
      <c r="Q198" s="83" t="str">
        <f t="shared" si="258"/>
        <v/>
      </c>
      <c r="R198" s="106"/>
      <c r="S198" s="1"/>
      <c r="U198" s="85" t="e">
        <f t="shared" si="244"/>
        <v>#NUM!</v>
      </c>
      <c r="V198" s="86" t="e">
        <f t="shared" si="339"/>
        <v>#NUM!</v>
      </c>
      <c r="W198" s="87" t="e">
        <f t="shared" si="259"/>
        <v>#NUM!</v>
      </c>
      <c r="X198" s="87" t="e">
        <f t="shared" si="260"/>
        <v>#NUM!</v>
      </c>
      <c r="Y198" s="87" t="e">
        <f t="shared" si="261"/>
        <v>#NUM!</v>
      </c>
      <c r="Z198" s="88" t="e">
        <f t="shared" si="245"/>
        <v>#NUM!</v>
      </c>
      <c r="AA198" t="s">
        <v>282</v>
      </c>
      <c r="AB198" s="89">
        <f t="shared" si="340"/>
        <v>0</v>
      </c>
      <c r="AC198" s="87">
        <f t="shared" si="262"/>
        <v>0</v>
      </c>
      <c r="AD198" s="87" t="str">
        <f t="shared" si="263"/>
        <v/>
      </c>
      <c r="AE198" s="87" t="str">
        <f t="shared" si="264"/>
        <v/>
      </c>
      <c r="AF198" s="86">
        <f t="shared" si="341"/>
        <v>0</v>
      </c>
      <c r="AG198" s="87">
        <f t="shared" si="246"/>
        <v>0</v>
      </c>
      <c r="AH198" s="87">
        <f t="shared" si="342"/>
        <v>0</v>
      </c>
      <c r="AI198" s="90"/>
      <c r="AJ198" s="87" t="e">
        <f t="shared" si="265"/>
        <v>#NUM!</v>
      </c>
      <c r="AK198" s="87" t="e">
        <f t="shared" si="343"/>
        <v>#NUM!</v>
      </c>
      <c r="AL198" s="87" t="e">
        <f t="shared" si="344"/>
        <v>#NUM!</v>
      </c>
      <c r="AM198" s="87" t="e">
        <f t="shared" si="345"/>
        <v>#NUM!</v>
      </c>
      <c r="AN198" s="86">
        <f t="shared" si="266"/>
        <v>0</v>
      </c>
      <c r="AO198" s="87">
        <f t="shared" si="267"/>
        <v>0</v>
      </c>
      <c r="AP198" s="88">
        <f t="shared" si="268"/>
        <v>0</v>
      </c>
      <c r="AR198" s="91">
        <f t="shared" si="269"/>
        <v>0</v>
      </c>
      <c r="AS198" s="92">
        <f t="shared" si="270"/>
        <v>0</v>
      </c>
      <c r="AT198" s="87" t="str">
        <f t="shared" si="271"/>
        <v/>
      </c>
      <c r="AU198" s="87" t="str">
        <f t="shared" si="272"/>
        <v/>
      </c>
      <c r="AV198" s="86">
        <f t="shared" si="346"/>
        <v>0</v>
      </c>
      <c r="AW198" s="87">
        <f t="shared" si="347"/>
        <v>0</v>
      </c>
      <c r="AX198" s="87">
        <f t="shared" si="348"/>
        <v>0</v>
      </c>
      <c r="AY198" s="93"/>
      <c r="AZ198" s="87">
        <f t="shared" si="425"/>
        <v>0</v>
      </c>
      <c r="BA198" s="87">
        <f t="shared" si="349"/>
        <v>0</v>
      </c>
      <c r="BB198" s="87">
        <f t="shared" si="350"/>
        <v>0</v>
      </c>
      <c r="BC198" s="87">
        <f t="shared" si="416"/>
        <v>0</v>
      </c>
      <c r="BD198" s="86" t="e">
        <f t="shared" si="273"/>
        <v>#NUM!</v>
      </c>
      <c r="BE198" s="87" t="e">
        <f t="shared" si="247"/>
        <v>#NUM!</v>
      </c>
      <c r="BF198" s="88">
        <f t="shared" si="351"/>
        <v>0</v>
      </c>
      <c r="BH198" s="87" t="e">
        <f t="shared" si="274"/>
        <v>#NUM!</v>
      </c>
      <c r="BK198" s="95">
        <v>42331</v>
      </c>
      <c r="BL198" s="96">
        <v>119</v>
      </c>
      <c r="CY198" s="108" t="str">
        <f t="shared" si="275"/>
        <v/>
      </c>
      <c r="CZ198" s="109" t="str">
        <f t="shared" si="276"/>
        <v/>
      </c>
      <c r="DA198" s="109" t="str">
        <f t="shared" si="277"/>
        <v/>
      </c>
      <c r="DB198" s="110" t="str">
        <f t="shared" si="426"/>
        <v/>
      </c>
      <c r="DD198" s="108" t="str">
        <f t="shared" si="278"/>
        <v/>
      </c>
      <c r="DE198" s="109" t="str">
        <f t="shared" si="352"/>
        <v/>
      </c>
      <c r="DF198" s="109" t="str">
        <f t="shared" si="279"/>
        <v/>
      </c>
      <c r="DG198" s="110" t="str">
        <f t="shared" si="427"/>
        <v/>
      </c>
      <c r="DI198" s="108" t="str">
        <f t="shared" si="353"/>
        <v/>
      </c>
      <c r="DJ198" s="109" t="str">
        <f t="shared" si="354"/>
        <v/>
      </c>
      <c r="DK198" s="109" t="str">
        <f t="shared" si="280"/>
        <v/>
      </c>
      <c r="DL198" s="110" t="str">
        <f t="shared" si="428"/>
        <v/>
      </c>
      <c r="DN198" s="108" t="str">
        <f t="shared" si="281"/>
        <v/>
      </c>
      <c r="DO198" s="109" t="str">
        <f t="shared" si="282"/>
        <v/>
      </c>
      <c r="DP198" s="109" t="str">
        <f t="shared" si="283"/>
        <v/>
      </c>
      <c r="DQ198" s="110" t="str">
        <f t="shared" si="429"/>
        <v/>
      </c>
      <c r="DS198" s="108" t="str">
        <f t="shared" si="355"/>
        <v/>
      </c>
      <c r="DT198" s="109" t="str">
        <f t="shared" si="356"/>
        <v/>
      </c>
      <c r="DU198" s="109" t="str">
        <f t="shared" si="284"/>
        <v/>
      </c>
      <c r="DV198" s="110" t="str">
        <f t="shared" si="430"/>
        <v/>
      </c>
      <c r="DX198" s="108" t="str">
        <f t="shared" si="285"/>
        <v/>
      </c>
      <c r="DY198" s="109" t="str">
        <f t="shared" si="357"/>
        <v/>
      </c>
      <c r="DZ198" s="109" t="str">
        <f t="shared" si="286"/>
        <v/>
      </c>
      <c r="EA198" s="110" t="str">
        <f t="shared" si="431"/>
        <v/>
      </c>
      <c r="EC198" s="108" t="str">
        <f t="shared" si="358"/>
        <v/>
      </c>
      <c r="ED198" s="109" t="str">
        <f t="shared" si="359"/>
        <v/>
      </c>
      <c r="EE198" s="109" t="str">
        <f t="shared" si="287"/>
        <v/>
      </c>
      <c r="EF198" s="110" t="str">
        <f t="shared" si="432"/>
        <v/>
      </c>
      <c r="EH198" s="108" t="str">
        <f t="shared" si="288"/>
        <v/>
      </c>
      <c r="EI198" s="109" t="str">
        <f t="shared" si="360"/>
        <v/>
      </c>
      <c r="EJ198" s="109" t="str">
        <f t="shared" si="289"/>
        <v/>
      </c>
      <c r="EK198" s="110" t="str">
        <f t="shared" si="433"/>
        <v/>
      </c>
      <c r="EM198" s="108" t="str">
        <f t="shared" si="361"/>
        <v/>
      </c>
      <c r="EN198" s="109" t="str">
        <f t="shared" si="362"/>
        <v/>
      </c>
      <c r="EO198" s="109" t="str">
        <f t="shared" si="290"/>
        <v/>
      </c>
      <c r="EP198" s="110" t="str">
        <f t="shared" si="434"/>
        <v/>
      </c>
      <c r="ER198" s="108" t="str">
        <f t="shared" si="291"/>
        <v/>
      </c>
      <c r="ES198" s="109" t="str">
        <f t="shared" si="363"/>
        <v/>
      </c>
      <c r="ET198" s="109" t="str">
        <f t="shared" si="292"/>
        <v/>
      </c>
      <c r="EU198" s="110" t="str">
        <f t="shared" si="435"/>
        <v/>
      </c>
      <c r="EW198" s="108" t="str">
        <f t="shared" si="364"/>
        <v/>
      </c>
      <c r="EX198" s="109" t="str">
        <f t="shared" si="365"/>
        <v/>
      </c>
      <c r="EY198" s="109" t="str">
        <f t="shared" si="293"/>
        <v/>
      </c>
      <c r="EZ198" s="110" t="str">
        <f t="shared" si="436"/>
        <v/>
      </c>
      <c r="FB198" s="108" t="str">
        <f t="shared" si="294"/>
        <v/>
      </c>
      <c r="FC198" s="109" t="str">
        <f t="shared" si="366"/>
        <v/>
      </c>
      <c r="FD198" s="109" t="str">
        <f t="shared" si="295"/>
        <v/>
      </c>
      <c r="FE198" s="110" t="str">
        <f t="shared" si="437"/>
        <v/>
      </c>
      <c r="FG198" s="108" t="str">
        <f t="shared" si="367"/>
        <v/>
      </c>
      <c r="FH198" s="109" t="str">
        <f t="shared" si="368"/>
        <v/>
      </c>
      <c r="FI198" s="109" t="str">
        <f t="shared" si="296"/>
        <v/>
      </c>
      <c r="FJ198" s="110" t="str">
        <f t="shared" si="438"/>
        <v/>
      </c>
      <c r="FL198" s="108" t="str">
        <f t="shared" si="297"/>
        <v/>
      </c>
      <c r="FM198" s="109" t="str">
        <f t="shared" si="369"/>
        <v/>
      </c>
      <c r="FN198" s="109" t="str">
        <f t="shared" si="298"/>
        <v/>
      </c>
      <c r="FO198" s="110" t="str">
        <f t="shared" si="439"/>
        <v/>
      </c>
      <c r="FQ198" s="108" t="str">
        <f t="shared" si="370"/>
        <v/>
      </c>
      <c r="FR198" s="109" t="str">
        <f t="shared" si="371"/>
        <v/>
      </c>
      <c r="FS198" s="109" t="str">
        <f t="shared" si="299"/>
        <v/>
      </c>
      <c r="FT198" s="110" t="str">
        <f t="shared" si="440"/>
        <v/>
      </c>
      <c r="FV198" s="108" t="str">
        <f t="shared" si="300"/>
        <v/>
      </c>
      <c r="FW198" s="109" t="str">
        <f t="shared" si="372"/>
        <v/>
      </c>
      <c r="FX198" s="109" t="str">
        <f t="shared" si="301"/>
        <v/>
      </c>
      <c r="FY198" s="110" t="str">
        <f t="shared" si="441"/>
        <v/>
      </c>
      <c r="GA198" s="108" t="str">
        <f t="shared" si="373"/>
        <v/>
      </c>
      <c r="GB198" s="109" t="str">
        <f t="shared" si="374"/>
        <v/>
      </c>
      <c r="GC198" s="109" t="str">
        <f t="shared" si="302"/>
        <v/>
      </c>
      <c r="GD198" s="110" t="str">
        <f t="shared" si="442"/>
        <v/>
      </c>
      <c r="GF198" s="108" t="str">
        <f t="shared" si="303"/>
        <v/>
      </c>
      <c r="GG198" s="109" t="str">
        <f t="shared" si="375"/>
        <v/>
      </c>
      <c r="GH198" s="109" t="str">
        <f t="shared" si="304"/>
        <v/>
      </c>
      <c r="GI198" s="110" t="str">
        <f t="shared" si="443"/>
        <v/>
      </c>
      <c r="GK198" s="108" t="str">
        <f t="shared" si="376"/>
        <v/>
      </c>
      <c r="GL198" s="109" t="str">
        <f t="shared" si="377"/>
        <v/>
      </c>
      <c r="GM198" s="109" t="str">
        <f t="shared" si="378"/>
        <v/>
      </c>
      <c r="GN198" s="110" t="str">
        <f t="shared" si="444"/>
        <v/>
      </c>
      <c r="GR198" s="108" t="str">
        <f t="shared" si="305"/>
        <v/>
      </c>
      <c r="GS198" s="109" t="str">
        <f t="shared" si="306"/>
        <v/>
      </c>
      <c r="GT198" s="109" t="str">
        <f t="shared" si="307"/>
        <v/>
      </c>
      <c r="GU198" s="110" t="str">
        <f t="shared" si="308"/>
        <v/>
      </c>
      <c r="GV198" s="51"/>
      <c r="GW198" s="108" t="str">
        <f t="shared" si="309"/>
        <v/>
      </c>
      <c r="GX198" s="109" t="str">
        <f t="shared" si="379"/>
        <v/>
      </c>
      <c r="GY198" s="109" t="str">
        <f t="shared" si="310"/>
        <v/>
      </c>
      <c r="GZ198" s="110" t="str">
        <f t="shared" si="311"/>
        <v/>
      </c>
      <c r="HA198" s="51"/>
      <c r="HB198" s="108" t="str">
        <f t="shared" si="380"/>
        <v/>
      </c>
      <c r="HC198" s="109" t="str">
        <f t="shared" si="381"/>
        <v/>
      </c>
      <c r="HD198" s="109" t="str">
        <f t="shared" si="312"/>
        <v/>
      </c>
      <c r="HE198" s="110" t="str">
        <f t="shared" si="382"/>
        <v/>
      </c>
      <c r="HF198" s="51"/>
      <c r="HG198" s="108" t="str">
        <f t="shared" si="313"/>
        <v/>
      </c>
      <c r="HH198" s="109" t="str">
        <f t="shared" si="383"/>
        <v/>
      </c>
      <c r="HI198" s="109" t="str">
        <f t="shared" si="314"/>
        <v/>
      </c>
      <c r="HJ198" s="110" t="str">
        <f t="shared" si="417"/>
        <v/>
      </c>
      <c r="HK198" s="51"/>
      <c r="HL198" s="108" t="str">
        <f t="shared" si="384"/>
        <v/>
      </c>
      <c r="HM198" s="109" t="str">
        <f t="shared" si="385"/>
        <v/>
      </c>
      <c r="HN198" s="109" t="str">
        <f t="shared" si="315"/>
        <v/>
      </c>
      <c r="HO198" s="110" t="str">
        <f t="shared" si="386"/>
        <v/>
      </c>
      <c r="HP198" s="51"/>
      <c r="HQ198" s="108" t="str">
        <f t="shared" si="316"/>
        <v/>
      </c>
      <c r="HR198" s="109" t="str">
        <f t="shared" si="387"/>
        <v/>
      </c>
      <c r="HS198" s="109" t="str">
        <f t="shared" si="317"/>
        <v/>
      </c>
      <c r="HT198" s="110" t="str">
        <f t="shared" si="418"/>
        <v/>
      </c>
      <c r="HU198" s="51"/>
      <c r="HV198" s="108" t="str">
        <f t="shared" si="388"/>
        <v/>
      </c>
      <c r="HW198" s="109" t="str">
        <f t="shared" si="389"/>
        <v/>
      </c>
      <c r="HX198" s="109" t="str">
        <f t="shared" si="318"/>
        <v/>
      </c>
      <c r="HY198" s="110" t="str">
        <f t="shared" si="390"/>
        <v/>
      </c>
      <c r="HZ198" s="51"/>
      <c r="IA198" s="108" t="str">
        <f t="shared" si="319"/>
        <v/>
      </c>
      <c r="IB198" s="109" t="str">
        <f t="shared" si="391"/>
        <v/>
      </c>
      <c r="IC198" s="109" t="str">
        <f t="shared" si="320"/>
        <v/>
      </c>
      <c r="ID198" s="110" t="str">
        <f t="shared" si="419"/>
        <v/>
      </c>
      <c r="IE198" s="51"/>
      <c r="IF198" s="108" t="str">
        <f t="shared" si="392"/>
        <v/>
      </c>
      <c r="IG198" s="109" t="str">
        <f t="shared" si="393"/>
        <v/>
      </c>
      <c r="IH198" s="109" t="str">
        <f t="shared" si="321"/>
        <v/>
      </c>
      <c r="II198" s="110" t="str">
        <f t="shared" si="394"/>
        <v/>
      </c>
      <c r="IJ198" s="51"/>
      <c r="IK198" s="108" t="str">
        <f t="shared" si="322"/>
        <v/>
      </c>
      <c r="IL198" s="109" t="str">
        <f t="shared" si="395"/>
        <v/>
      </c>
      <c r="IM198" s="109" t="str">
        <f t="shared" si="323"/>
        <v/>
      </c>
      <c r="IN198" s="110" t="str">
        <f t="shared" si="420"/>
        <v/>
      </c>
      <c r="IO198" s="51"/>
      <c r="IP198" s="108" t="str">
        <f t="shared" si="396"/>
        <v/>
      </c>
      <c r="IQ198" s="109" t="str">
        <f t="shared" si="397"/>
        <v/>
      </c>
      <c r="IR198" s="109" t="str">
        <f t="shared" si="324"/>
        <v/>
      </c>
      <c r="IS198" s="110" t="str">
        <f t="shared" si="398"/>
        <v/>
      </c>
      <c r="IT198" s="51"/>
      <c r="IU198" s="108" t="str">
        <f t="shared" si="325"/>
        <v/>
      </c>
      <c r="IV198" s="109" t="str">
        <f t="shared" si="399"/>
        <v/>
      </c>
      <c r="IW198" s="109" t="str">
        <f t="shared" si="326"/>
        <v/>
      </c>
      <c r="IX198" s="110" t="str">
        <f t="shared" si="421"/>
        <v/>
      </c>
      <c r="IY198" s="51"/>
      <c r="IZ198" s="108" t="str">
        <f t="shared" si="400"/>
        <v/>
      </c>
      <c r="JA198" s="109" t="str">
        <f t="shared" si="401"/>
        <v/>
      </c>
      <c r="JB198" s="109" t="str">
        <f t="shared" si="327"/>
        <v/>
      </c>
      <c r="JC198" s="110" t="str">
        <f t="shared" si="402"/>
        <v/>
      </c>
      <c r="JD198" s="51"/>
      <c r="JE198" s="108" t="str">
        <f t="shared" si="328"/>
        <v/>
      </c>
      <c r="JF198" s="109" t="str">
        <f t="shared" si="403"/>
        <v/>
      </c>
      <c r="JG198" s="109" t="str">
        <f t="shared" si="329"/>
        <v/>
      </c>
      <c r="JH198" s="110" t="str">
        <f t="shared" si="422"/>
        <v/>
      </c>
      <c r="JI198" s="51"/>
      <c r="JJ198" s="108" t="str">
        <f t="shared" si="404"/>
        <v/>
      </c>
      <c r="JK198" s="109" t="str">
        <f t="shared" si="405"/>
        <v/>
      </c>
      <c r="JL198" s="109" t="str">
        <f t="shared" si="330"/>
        <v/>
      </c>
      <c r="JM198" s="110" t="str">
        <f t="shared" si="406"/>
        <v/>
      </c>
      <c r="JN198" s="51"/>
      <c r="JO198" s="108" t="str">
        <f t="shared" si="331"/>
        <v/>
      </c>
      <c r="JP198" s="109" t="str">
        <f t="shared" si="407"/>
        <v/>
      </c>
      <c r="JQ198" s="109" t="str">
        <f t="shared" si="332"/>
        <v/>
      </c>
      <c r="JR198" s="110" t="str">
        <f t="shared" si="423"/>
        <v/>
      </c>
      <c r="JS198" s="51"/>
      <c r="JT198" s="108" t="str">
        <f t="shared" si="408"/>
        <v/>
      </c>
      <c r="JU198" s="109" t="str">
        <f t="shared" si="409"/>
        <v/>
      </c>
      <c r="JV198" s="109" t="str">
        <f t="shared" si="333"/>
        <v/>
      </c>
      <c r="JW198" s="110" t="str">
        <f t="shared" si="410"/>
        <v/>
      </c>
      <c r="JX198" s="51"/>
      <c r="JY198" s="108" t="str">
        <f t="shared" si="334"/>
        <v/>
      </c>
      <c r="JZ198" s="109" t="str">
        <f t="shared" si="411"/>
        <v/>
      </c>
      <c r="KA198" s="109" t="str">
        <f t="shared" si="335"/>
        <v/>
      </c>
      <c r="KB198" s="110" t="str">
        <f t="shared" si="424"/>
        <v/>
      </c>
      <c r="KC198" s="51"/>
      <c r="KD198" s="108" t="str">
        <f t="shared" si="412"/>
        <v/>
      </c>
      <c r="KE198" s="109" t="str">
        <f t="shared" si="413"/>
        <v/>
      </c>
      <c r="KF198" s="109" t="str">
        <f t="shared" si="336"/>
        <v/>
      </c>
      <c r="KG198" s="110" t="str">
        <f t="shared" si="337"/>
        <v/>
      </c>
    </row>
    <row r="199" spans="1:293" ht="12" customHeight="1">
      <c r="A199" s="105">
        <f t="array" ref="A199">MAX(IF($J$80:J198&gt;0,$C$80:C198,0))</f>
        <v>43535</v>
      </c>
      <c r="B199" s="81" t="str">
        <f t="shared" si="248"/>
        <v/>
      </c>
      <c r="C199" s="82">
        <f t="shared" si="414"/>
        <v>0</v>
      </c>
      <c r="D199" s="83" t="str">
        <f t="shared" si="249"/>
        <v/>
      </c>
      <c r="E199" s="83" t="str">
        <f t="shared" si="338"/>
        <v/>
      </c>
      <c r="F199" s="83" t="str">
        <f t="shared" si="250"/>
        <v/>
      </c>
      <c r="G199" s="83" t="str">
        <f t="shared" si="251"/>
        <v/>
      </c>
      <c r="H199" s="83" t="str">
        <f t="shared" si="252"/>
        <v/>
      </c>
      <c r="I199" s="105">
        <f t="array" ref="I199">MAX(IF($R$80:R198&gt;0,$L$80:L198,0))</f>
        <v>0</v>
      </c>
      <c r="J199" s="106"/>
      <c r="K199" s="2" t="str">
        <f t="shared" si="253"/>
        <v/>
      </c>
      <c r="L199" s="82">
        <f t="shared" si="415"/>
        <v>0</v>
      </c>
      <c r="M199" s="83" t="str">
        <f t="shared" si="254"/>
        <v/>
      </c>
      <c r="N199" s="83" t="str">
        <f t="shared" si="255"/>
        <v/>
      </c>
      <c r="O199" s="83" t="str">
        <f t="shared" si="256"/>
        <v/>
      </c>
      <c r="P199" s="83" t="str">
        <f t="shared" si="257"/>
        <v/>
      </c>
      <c r="Q199" s="83" t="str">
        <f t="shared" si="258"/>
        <v/>
      </c>
      <c r="R199" s="106"/>
      <c r="S199" s="1"/>
      <c r="U199" s="85" t="e">
        <f t="shared" si="244"/>
        <v>#NUM!</v>
      </c>
      <c r="V199" s="86" t="e">
        <f t="shared" si="339"/>
        <v>#NUM!</v>
      </c>
      <c r="W199" s="87" t="e">
        <f t="shared" si="259"/>
        <v>#NUM!</v>
      </c>
      <c r="X199" s="87" t="e">
        <f t="shared" si="260"/>
        <v>#NUM!</v>
      </c>
      <c r="Y199" s="87" t="e">
        <f t="shared" si="261"/>
        <v>#NUM!</v>
      </c>
      <c r="Z199" s="88" t="e">
        <f t="shared" si="245"/>
        <v>#NUM!</v>
      </c>
      <c r="AA199" t="s">
        <v>282</v>
      </c>
      <c r="AB199" s="89">
        <f t="shared" si="340"/>
        <v>0</v>
      </c>
      <c r="AC199" s="87">
        <f t="shared" si="262"/>
        <v>0</v>
      </c>
      <c r="AD199" s="87" t="str">
        <f t="shared" si="263"/>
        <v/>
      </c>
      <c r="AE199" s="87" t="str">
        <f t="shared" si="264"/>
        <v/>
      </c>
      <c r="AF199" s="86">
        <f t="shared" si="341"/>
        <v>0</v>
      </c>
      <c r="AG199" s="87">
        <f t="shared" si="246"/>
        <v>0</v>
      </c>
      <c r="AH199" s="87">
        <f t="shared" si="342"/>
        <v>0</v>
      </c>
      <c r="AI199" s="90"/>
      <c r="AJ199" s="87" t="e">
        <f t="shared" si="265"/>
        <v>#NUM!</v>
      </c>
      <c r="AK199" s="87" t="e">
        <f t="shared" si="343"/>
        <v>#NUM!</v>
      </c>
      <c r="AL199" s="87" t="e">
        <f t="shared" si="344"/>
        <v>#NUM!</v>
      </c>
      <c r="AM199" s="87" t="e">
        <f t="shared" si="345"/>
        <v>#NUM!</v>
      </c>
      <c r="AN199" s="86">
        <f t="shared" si="266"/>
        <v>0</v>
      </c>
      <c r="AO199" s="87">
        <f t="shared" si="267"/>
        <v>0</v>
      </c>
      <c r="AP199" s="88">
        <f t="shared" si="268"/>
        <v>0</v>
      </c>
      <c r="AR199" s="91">
        <f t="shared" si="269"/>
        <v>0</v>
      </c>
      <c r="AS199" s="92">
        <f t="shared" si="270"/>
        <v>0</v>
      </c>
      <c r="AT199" s="87" t="str">
        <f t="shared" si="271"/>
        <v/>
      </c>
      <c r="AU199" s="87" t="str">
        <f t="shared" si="272"/>
        <v/>
      </c>
      <c r="AV199" s="86">
        <f t="shared" si="346"/>
        <v>0</v>
      </c>
      <c r="AW199" s="87">
        <f t="shared" si="347"/>
        <v>0</v>
      </c>
      <c r="AX199" s="87">
        <f t="shared" si="348"/>
        <v>0</v>
      </c>
      <c r="AY199" s="93"/>
      <c r="AZ199" s="87">
        <f t="shared" si="425"/>
        <v>0</v>
      </c>
      <c r="BA199" s="87">
        <f t="shared" si="349"/>
        <v>0</v>
      </c>
      <c r="BB199" s="87">
        <f t="shared" si="350"/>
        <v>0</v>
      </c>
      <c r="BC199" s="87">
        <f t="shared" si="416"/>
        <v>0</v>
      </c>
      <c r="BD199" s="86" t="e">
        <f t="shared" si="273"/>
        <v>#NUM!</v>
      </c>
      <c r="BE199" s="87" t="e">
        <f t="shared" si="247"/>
        <v>#NUM!</v>
      </c>
      <c r="BF199" s="88">
        <f t="shared" si="351"/>
        <v>0</v>
      </c>
      <c r="BH199" s="87" t="e">
        <f t="shared" si="274"/>
        <v>#NUM!</v>
      </c>
      <c r="BK199" s="95">
        <v>42370</v>
      </c>
      <c r="BL199" s="96">
        <v>120</v>
      </c>
      <c r="CY199" s="108" t="str">
        <f t="shared" si="275"/>
        <v/>
      </c>
      <c r="CZ199" s="109" t="str">
        <f t="shared" si="276"/>
        <v/>
      </c>
      <c r="DA199" s="109" t="str">
        <f t="shared" si="277"/>
        <v/>
      </c>
      <c r="DB199" s="110" t="str">
        <f t="shared" si="426"/>
        <v/>
      </c>
      <c r="DD199" s="108" t="str">
        <f t="shared" si="278"/>
        <v/>
      </c>
      <c r="DE199" s="109" t="str">
        <f t="shared" si="352"/>
        <v/>
      </c>
      <c r="DF199" s="109" t="str">
        <f t="shared" si="279"/>
        <v/>
      </c>
      <c r="DG199" s="110" t="str">
        <f t="shared" si="427"/>
        <v/>
      </c>
      <c r="DI199" s="108" t="str">
        <f t="shared" si="353"/>
        <v/>
      </c>
      <c r="DJ199" s="109" t="str">
        <f t="shared" si="354"/>
        <v/>
      </c>
      <c r="DK199" s="109" t="str">
        <f t="shared" si="280"/>
        <v/>
      </c>
      <c r="DL199" s="110" t="str">
        <f t="shared" si="428"/>
        <v/>
      </c>
      <c r="DN199" s="108" t="str">
        <f t="shared" si="281"/>
        <v/>
      </c>
      <c r="DO199" s="109" t="str">
        <f t="shared" si="282"/>
        <v/>
      </c>
      <c r="DP199" s="109" t="str">
        <f t="shared" si="283"/>
        <v/>
      </c>
      <c r="DQ199" s="110" t="str">
        <f t="shared" si="429"/>
        <v/>
      </c>
      <c r="DS199" s="108" t="str">
        <f t="shared" si="355"/>
        <v/>
      </c>
      <c r="DT199" s="109" t="str">
        <f t="shared" si="356"/>
        <v/>
      </c>
      <c r="DU199" s="109" t="str">
        <f t="shared" si="284"/>
        <v/>
      </c>
      <c r="DV199" s="110" t="str">
        <f t="shared" si="430"/>
        <v/>
      </c>
      <c r="DX199" s="108" t="str">
        <f t="shared" si="285"/>
        <v/>
      </c>
      <c r="DY199" s="109" t="str">
        <f t="shared" si="357"/>
        <v/>
      </c>
      <c r="DZ199" s="109" t="str">
        <f t="shared" si="286"/>
        <v/>
      </c>
      <c r="EA199" s="110" t="str">
        <f t="shared" si="431"/>
        <v/>
      </c>
      <c r="EC199" s="108" t="str">
        <f t="shared" si="358"/>
        <v/>
      </c>
      <c r="ED199" s="109" t="str">
        <f t="shared" si="359"/>
        <v/>
      </c>
      <c r="EE199" s="109" t="str">
        <f t="shared" si="287"/>
        <v/>
      </c>
      <c r="EF199" s="110" t="str">
        <f t="shared" si="432"/>
        <v/>
      </c>
      <c r="EH199" s="108" t="str">
        <f t="shared" si="288"/>
        <v/>
      </c>
      <c r="EI199" s="109" t="str">
        <f t="shared" si="360"/>
        <v/>
      </c>
      <c r="EJ199" s="109" t="str">
        <f t="shared" si="289"/>
        <v/>
      </c>
      <c r="EK199" s="110" t="str">
        <f t="shared" si="433"/>
        <v/>
      </c>
      <c r="EM199" s="108" t="str">
        <f t="shared" si="361"/>
        <v/>
      </c>
      <c r="EN199" s="109" t="str">
        <f t="shared" si="362"/>
        <v/>
      </c>
      <c r="EO199" s="109" t="str">
        <f t="shared" si="290"/>
        <v/>
      </c>
      <c r="EP199" s="110" t="str">
        <f t="shared" si="434"/>
        <v/>
      </c>
      <c r="ER199" s="108" t="str">
        <f t="shared" si="291"/>
        <v/>
      </c>
      <c r="ES199" s="109" t="str">
        <f t="shared" si="363"/>
        <v/>
      </c>
      <c r="ET199" s="109" t="str">
        <f t="shared" si="292"/>
        <v/>
      </c>
      <c r="EU199" s="110" t="str">
        <f t="shared" si="435"/>
        <v/>
      </c>
      <c r="EW199" s="108" t="str">
        <f t="shared" si="364"/>
        <v/>
      </c>
      <c r="EX199" s="109" t="str">
        <f t="shared" si="365"/>
        <v/>
      </c>
      <c r="EY199" s="109" t="str">
        <f t="shared" si="293"/>
        <v/>
      </c>
      <c r="EZ199" s="110" t="str">
        <f t="shared" si="436"/>
        <v/>
      </c>
      <c r="FB199" s="108" t="str">
        <f t="shared" si="294"/>
        <v/>
      </c>
      <c r="FC199" s="109" t="str">
        <f t="shared" si="366"/>
        <v/>
      </c>
      <c r="FD199" s="109" t="str">
        <f t="shared" si="295"/>
        <v/>
      </c>
      <c r="FE199" s="110" t="str">
        <f t="shared" si="437"/>
        <v/>
      </c>
      <c r="FG199" s="108" t="str">
        <f t="shared" si="367"/>
        <v/>
      </c>
      <c r="FH199" s="109" t="str">
        <f t="shared" si="368"/>
        <v/>
      </c>
      <c r="FI199" s="109" t="str">
        <f t="shared" si="296"/>
        <v/>
      </c>
      <c r="FJ199" s="110" t="str">
        <f t="shared" si="438"/>
        <v/>
      </c>
      <c r="FL199" s="108" t="str">
        <f t="shared" si="297"/>
        <v/>
      </c>
      <c r="FM199" s="109" t="str">
        <f t="shared" si="369"/>
        <v/>
      </c>
      <c r="FN199" s="109" t="str">
        <f t="shared" si="298"/>
        <v/>
      </c>
      <c r="FO199" s="110" t="str">
        <f t="shared" si="439"/>
        <v/>
      </c>
      <c r="FQ199" s="108" t="str">
        <f t="shared" si="370"/>
        <v/>
      </c>
      <c r="FR199" s="109" t="str">
        <f t="shared" si="371"/>
        <v/>
      </c>
      <c r="FS199" s="109" t="str">
        <f t="shared" si="299"/>
        <v/>
      </c>
      <c r="FT199" s="110" t="str">
        <f t="shared" si="440"/>
        <v/>
      </c>
      <c r="FV199" s="108" t="str">
        <f t="shared" si="300"/>
        <v/>
      </c>
      <c r="FW199" s="109" t="str">
        <f t="shared" si="372"/>
        <v/>
      </c>
      <c r="FX199" s="109" t="str">
        <f t="shared" si="301"/>
        <v/>
      </c>
      <c r="FY199" s="110" t="str">
        <f t="shared" si="441"/>
        <v/>
      </c>
      <c r="GA199" s="108" t="str">
        <f t="shared" si="373"/>
        <v/>
      </c>
      <c r="GB199" s="109" t="str">
        <f t="shared" si="374"/>
        <v/>
      </c>
      <c r="GC199" s="109" t="str">
        <f t="shared" si="302"/>
        <v/>
      </c>
      <c r="GD199" s="110" t="str">
        <f t="shared" si="442"/>
        <v/>
      </c>
      <c r="GF199" s="108" t="str">
        <f t="shared" si="303"/>
        <v/>
      </c>
      <c r="GG199" s="109" t="str">
        <f t="shared" si="375"/>
        <v/>
      </c>
      <c r="GH199" s="109" t="str">
        <f t="shared" si="304"/>
        <v/>
      </c>
      <c r="GI199" s="110" t="str">
        <f t="shared" si="443"/>
        <v/>
      </c>
      <c r="GK199" s="108" t="str">
        <f t="shared" si="376"/>
        <v/>
      </c>
      <c r="GL199" s="109" t="str">
        <f t="shared" si="377"/>
        <v/>
      </c>
      <c r="GM199" s="109" t="str">
        <f t="shared" si="378"/>
        <v/>
      </c>
      <c r="GN199" s="110" t="str">
        <f t="shared" si="444"/>
        <v/>
      </c>
      <c r="GR199" s="108" t="str">
        <f t="shared" si="305"/>
        <v/>
      </c>
      <c r="GS199" s="109" t="str">
        <f t="shared" si="306"/>
        <v/>
      </c>
      <c r="GT199" s="109" t="str">
        <f t="shared" si="307"/>
        <v/>
      </c>
      <c r="GU199" s="110" t="str">
        <f t="shared" si="308"/>
        <v/>
      </c>
      <c r="GV199" s="51"/>
      <c r="GW199" s="108" t="str">
        <f t="shared" si="309"/>
        <v/>
      </c>
      <c r="GX199" s="109" t="str">
        <f t="shared" si="379"/>
        <v/>
      </c>
      <c r="GY199" s="109" t="str">
        <f t="shared" si="310"/>
        <v/>
      </c>
      <c r="GZ199" s="110" t="str">
        <f t="shared" si="311"/>
        <v/>
      </c>
      <c r="HA199" s="51"/>
      <c r="HB199" s="108" t="str">
        <f t="shared" si="380"/>
        <v/>
      </c>
      <c r="HC199" s="109" t="str">
        <f t="shared" si="381"/>
        <v/>
      </c>
      <c r="HD199" s="109" t="str">
        <f t="shared" si="312"/>
        <v/>
      </c>
      <c r="HE199" s="110" t="str">
        <f t="shared" si="382"/>
        <v/>
      </c>
      <c r="HF199" s="51"/>
      <c r="HG199" s="108" t="str">
        <f t="shared" si="313"/>
        <v/>
      </c>
      <c r="HH199" s="109" t="str">
        <f t="shared" si="383"/>
        <v/>
      </c>
      <c r="HI199" s="109" t="str">
        <f t="shared" si="314"/>
        <v/>
      </c>
      <c r="HJ199" s="110" t="str">
        <f t="shared" si="417"/>
        <v/>
      </c>
      <c r="HK199" s="51"/>
      <c r="HL199" s="108" t="str">
        <f t="shared" si="384"/>
        <v/>
      </c>
      <c r="HM199" s="109" t="str">
        <f t="shared" si="385"/>
        <v/>
      </c>
      <c r="HN199" s="109" t="str">
        <f t="shared" si="315"/>
        <v/>
      </c>
      <c r="HO199" s="110" t="str">
        <f t="shared" si="386"/>
        <v/>
      </c>
      <c r="HP199" s="51"/>
      <c r="HQ199" s="108" t="str">
        <f t="shared" si="316"/>
        <v/>
      </c>
      <c r="HR199" s="109" t="str">
        <f t="shared" si="387"/>
        <v/>
      </c>
      <c r="HS199" s="109" t="str">
        <f t="shared" si="317"/>
        <v/>
      </c>
      <c r="HT199" s="110" t="str">
        <f t="shared" si="418"/>
        <v/>
      </c>
      <c r="HU199" s="51"/>
      <c r="HV199" s="108" t="str">
        <f t="shared" si="388"/>
        <v/>
      </c>
      <c r="HW199" s="109" t="str">
        <f t="shared" si="389"/>
        <v/>
      </c>
      <c r="HX199" s="109" t="str">
        <f t="shared" si="318"/>
        <v/>
      </c>
      <c r="HY199" s="110" t="str">
        <f t="shared" si="390"/>
        <v/>
      </c>
      <c r="HZ199" s="51"/>
      <c r="IA199" s="108" t="str">
        <f t="shared" si="319"/>
        <v/>
      </c>
      <c r="IB199" s="109" t="str">
        <f t="shared" si="391"/>
        <v/>
      </c>
      <c r="IC199" s="109" t="str">
        <f t="shared" si="320"/>
        <v/>
      </c>
      <c r="ID199" s="110" t="str">
        <f t="shared" si="419"/>
        <v/>
      </c>
      <c r="IE199" s="51"/>
      <c r="IF199" s="108" t="str">
        <f t="shared" si="392"/>
        <v/>
      </c>
      <c r="IG199" s="109" t="str">
        <f t="shared" si="393"/>
        <v/>
      </c>
      <c r="IH199" s="109" t="str">
        <f t="shared" si="321"/>
        <v/>
      </c>
      <c r="II199" s="110" t="str">
        <f t="shared" si="394"/>
        <v/>
      </c>
      <c r="IJ199" s="51"/>
      <c r="IK199" s="108" t="str">
        <f t="shared" si="322"/>
        <v/>
      </c>
      <c r="IL199" s="109" t="str">
        <f t="shared" si="395"/>
        <v/>
      </c>
      <c r="IM199" s="109" t="str">
        <f t="shared" si="323"/>
        <v/>
      </c>
      <c r="IN199" s="110" t="str">
        <f t="shared" si="420"/>
        <v/>
      </c>
      <c r="IO199" s="51"/>
      <c r="IP199" s="108" t="str">
        <f t="shared" si="396"/>
        <v/>
      </c>
      <c r="IQ199" s="109" t="str">
        <f t="shared" si="397"/>
        <v/>
      </c>
      <c r="IR199" s="109" t="str">
        <f t="shared" si="324"/>
        <v/>
      </c>
      <c r="IS199" s="110" t="str">
        <f t="shared" si="398"/>
        <v/>
      </c>
      <c r="IT199" s="51"/>
      <c r="IU199" s="108" t="str">
        <f t="shared" si="325"/>
        <v/>
      </c>
      <c r="IV199" s="109" t="str">
        <f t="shared" si="399"/>
        <v/>
      </c>
      <c r="IW199" s="109" t="str">
        <f t="shared" si="326"/>
        <v/>
      </c>
      <c r="IX199" s="110" t="str">
        <f t="shared" si="421"/>
        <v/>
      </c>
      <c r="IY199" s="51"/>
      <c r="IZ199" s="108" t="str">
        <f t="shared" si="400"/>
        <v/>
      </c>
      <c r="JA199" s="109" t="str">
        <f t="shared" si="401"/>
        <v/>
      </c>
      <c r="JB199" s="109" t="str">
        <f t="shared" si="327"/>
        <v/>
      </c>
      <c r="JC199" s="110" t="str">
        <f t="shared" si="402"/>
        <v/>
      </c>
      <c r="JD199" s="51"/>
      <c r="JE199" s="108" t="str">
        <f t="shared" si="328"/>
        <v/>
      </c>
      <c r="JF199" s="109" t="str">
        <f t="shared" si="403"/>
        <v/>
      </c>
      <c r="JG199" s="109" t="str">
        <f t="shared" si="329"/>
        <v/>
      </c>
      <c r="JH199" s="110" t="str">
        <f t="shared" si="422"/>
        <v/>
      </c>
      <c r="JI199" s="51"/>
      <c r="JJ199" s="108" t="str">
        <f t="shared" si="404"/>
        <v/>
      </c>
      <c r="JK199" s="109" t="str">
        <f t="shared" si="405"/>
        <v/>
      </c>
      <c r="JL199" s="109" t="str">
        <f t="shared" si="330"/>
        <v/>
      </c>
      <c r="JM199" s="110" t="str">
        <f t="shared" si="406"/>
        <v/>
      </c>
      <c r="JN199" s="51"/>
      <c r="JO199" s="108" t="str">
        <f t="shared" si="331"/>
        <v/>
      </c>
      <c r="JP199" s="109" t="str">
        <f t="shared" si="407"/>
        <v/>
      </c>
      <c r="JQ199" s="109" t="str">
        <f t="shared" si="332"/>
        <v/>
      </c>
      <c r="JR199" s="110" t="str">
        <f t="shared" si="423"/>
        <v/>
      </c>
      <c r="JS199" s="51"/>
      <c r="JT199" s="108" t="str">
        <f t="shared" si="408"/>
        <v/>
      </c>
      <c r="JU199" s="109" t="str">
        <f t="shared" si="409"/>
        <v/>
      </c>
      <c r="JV199" s="109" t="str">
        <f t="shared" si="333"/>
        <v/>
      </c>
      <c r="JW199" s="110" t="str">
        <f t="shared" si="410"/>
        <v/>
      </c>
      <c r="JX199" s="51"/>
      <c r="JY199" s="108" t="str">
        <f t="shared" si="334"/>
        <v/>
      </c>
      <c r="JZ199" s="109" t="str">
        <f t="shared" si="411"/>
        <v/>
      </c>
      <c r="KA199" s="109" t="str">
        <f t="shared" si="335"/>
        <v/>
      </c>
      <c r="KB199" s="110" t="str">
        <f t="shared" si="424"/>
        <v/>
      </c>
      <c r="KC199" s="51"/>
      <c r="KD199" s="108" t="str">
        <f t="shared" si="412"/>
        <v/>
      </c>
      <c r="KE199" s="109" t="str">
        <f t="shared" si="413"/>
        <v/>
      </c>
      <c r="KF199" s="109" t="str">
        <f t="shared" si="336"/>
        <v/>
      </c>
      <c r="KG199" s="110" t="str">
        <f t="shared" si="337"/>
        <v/>
      </c>
    </row>
    <row r="200" spans="1:293" ht="12" customHeight="1" thickBot="1">
      <c r="A200" s="105">
        <f t="array" ref="A200">MAX(IF($J$80:J199&gt;0,$C$80:C199,0))</f>
        <v>43535</v>
      </c>
      <c r="B200" s="81" t="str">
        <f t="shared" si="248"/>
        <v/>
      </c>
      <c r="C200" s="82">
        <f t="shared" si="414"/>
        <v>0</v>
      </c>
      <c r="D200" s="83" t="str">
        <f t="shared" si="249"/>
        <v/>
      </c>
      <c r="E200" s="83" t="str">
        <f t="shared" si="338"/>
        <v/>
      </c>
      <c r="F200" s="83" t="str">
        <f t="shared" si="250"/>
        <v/>
      </c>
      <c r="G200" s="83" t="str">
        <f t="shared" si="251"/>
        <v/>
      </c>
      <c r="H200" s="83" t="str">
        <f t="shared" si="252"/>
        <v/>
      </c>
      <c r="I200" s="105">
        <f t="array" ref="I200">MAX(IF($R$80:R199&gt;0,$L$80:L199,0))</f>
        <v>0</v>
      </c>
      <c r="J200" s="106"/>
      <c r="K200" s="69" t="str">
        <f t="shared" si="253"/>
        <v/>
      </c>
      <c r="L200" s="82">
        <f t="shared" si="415"/>
        <v>0</v>
      </c>
      <c r="M200" s="83" t="str">
        <f t="shared" si="254"/>
        <v/>
      </c>
      <c r="N200" s="83" t="str">
        <f t="shared" si="255"/>
        <v/>
      </c>
      <c r="O200" s="83" t="str">
        <f t="shared" si="256"/>
        <v/>
      </c>
      <c r="P200" s="83" t="str">
        <f t="shared" si="257"/>
        <v/>
      </c>
      <c r="Q200" s="83" t="str">
        <f t="shared" si="258"/>
        <v/>
      </c>
      <c r="R200" s="106"/>
      <c r="S200" s="1"/>
      <c r="U200" s="118" t="e">
        <f t="shared" si="244"/>
        <v>#NUM!</v>
      </c>
      <c r="V200" s="119" t="e">
        <f t="shared" si="339"/>
        <v>#NUM!</v>
      </c>
      <c r="W200" s="120" t="e">
        <f t="shared" si="259"/>
        <v>#NUM!</v>
      </c>
      <c r="X200" s="120" t="e">
        <f t="shared" si="260"/>
        <v>#NUM!</v>
      </c>
      <c r="Y200" s="120" t="e">
        <f t="shared" si="261"/>
        <v>#NUM!</v>
      </c>
      <c r="Z200" s="121" t="e">
        <f t="shared" si="245"/>
        <v>#NUM!</v>
      </c>
      <c r="AA200" t="s">
        <v>282</v>
      </c>
      <c r="AB200" s="122">
        <f t="shared" si="340"/>
        <v>0</v>
      </c>
      <c r="AC200" s="120">
        <f t="shared" si="262"/>
        <v>0</v>
      </c>
      <c r="AD200" s="120" t="str">
        <f t="shared" si="263"/>
        <v/>
      </c>
      <c r="AE200" s="120" t="str">
        <f t="shared" si="264"/>
        <v/>
      </c>
      <c r="AF200" s="119">
        <f t="shared" si="341"/>
        <v>0</v>
      </c>
      <c r="AG200" s="120">
        <f t="shared" si="246"/>
        <v>0</v>
      </c>
      <c r="AH200" s="120">
        <f t="shared" si="342"/>
        <v>0</v>
      </c>
      <c r="AI200" s="123"/>
      <c r="AJ200" s="120" t="e">
        <f t="shared" si="265"/>
        <v>#NUM!</v>
      </c>
      <c r="AK200" s="120" t="e">
        <f t="shared" si="343"/>
        <v>#NUM!</v>
      </c>
      <c r="AL200" s="120" t="e">
        <f t="shared" si="344"/>
        <v>#NUM!</v>
      </c>
      <c r="AM200" s="120" t="e">
        <f t="shared" si="345"/>
        <v>#NUM!</v>
      </c>
      <c r="AN200" s="119">
        <f t="shared" si="266"/>
        <v>0</v>
      </c>
      <c r="AO200" s="120">
        <f t="shared" si="267"/>
        <v>0</v>
      </c>
      <c r="AP200" s="121">
        <f t="shared" si="268"/>
        <v>0</v>
      </c>
      <c r="AR200" s="124">
        <f t="shared" si="269"/>
        <v>0</v>
      </c>
      <c r="AS200" s="125">
        <f t="shared" si="270"/>
        <v>0</v>
      </c>
      <c r="AT200" s="120" t="str">
        <f t="shared" si="271"/>
        <v/>
      </c>
      <c r="AU200" s="120" t="str">
        <f t="shared" si="272"/>
        <v/>
      </c>
      <c r="AV200" s="119">
        <f t="shared" si="346"/>
        <v>0</v>
      </c>
      <c r="AW200" s="120">
        <f t="shared" si="347"/>
        <v>0</v>
      </c>
      <c r="AX200" s="120">
        <f t="shared" si="348"/>
        <v>0</v>
      </c>
      <c r="AY200" s="93"/>
      <c r="AZ200" s="120">
        <f t="shared" si="425"/>
        <v>0</v>
      </c>
      <c r="BA200" s="120">
        <f t="shared" si="349"/>
        <v>0</v>
      </c>
      <c r="BB200" s="120">
        <f t="shared" si="350"/>
        <v>0</v>
      </c>
      <c r="BC200" s="120">
        <f t="shared" si="416"/>
        <v>0</v>
      </c>
      <c r="BD200" s="119" t="e">
        <f t="shared" si="273"/>
        <v>#NUM!</v>
      </c>
      <c r="BE200" s="120" t="e">
        <f t="shared" si="247"/>
        <v>#NUM!</v>
      </c>
      <c r="BF200" s="121">
        <f t="shared" si="351"/>
        <v>0</v>
      </c>
      <c r="BH200" s="87" t="e">
        <f t="shared" si="274"/>
        <v>#NUM!</v>
      </c>
      <c r="BK200" s="95">
        <v>42371</v>
      </c>
      <c r="CY200" s="126" t="str">
        <f t="shared" si="275"/>
        <v/>
      </c>
      <c r="CZ200" s="127" t="str">
        <f t="shared" si="276"/>
        <v/>
      </c>
      <c r="DA200" s="127" t="str">
        <f t="shared" si="277"/>
        <v/>
      </c>
      <c r="DB200" s="128" t="str">
        <f t="shared" si="426"/>
        <v/>
      </c>
      <c r="DD200" s="126" t="str">
        <f t="shared" si="278"/>
        <v/>
      </c>
      <c r="DE200" s="127" t="str">
        <f t="shared" si="352"/>
        <v/>
      </c>
      <c r="DF200" s="127" t="str">
        <f t="shared" si="279"/>
        <v/>
      </c>
      <c r="DG200" s="128" t="str">
        <f t="shared" si="427"/>
        <v/>
      </c>
      <c r="DI200" s="126" t="str">
        <f t="shared" si="353"/>
        <v/>
      </c>
      <c r="DJ200" s="127" t="str">
        <f t="shared" si="354"/>
        <v/>
      </c>
      <c r="DK200" s="127" t="str">
        <f t="shared" si="280"/>
        <v/>
      </c>
      <c r="DL200" s="128" t="str">
        <f t="shared" si="428"/>
        <v/>
      </c>
      <c r="DN200" s="126" t="str">
        <f t="shared" si="281"/>
        <v/>
      </c>
      <c r="DO200" s="127" t="str">
        <f t="shared" si="282"/>
        <v/>
      </c>
      <c r="DP200" s="127" t="str">
        <f t="shared" si="283"/>
        <v/>
      </c>
      <c r="DQ200" s="128" t="str">
        <f t="shared" si="429"/>
        <v/>
      </c>
      <c r="DS200" s="126" t="str">
        <f t="shared" si="355"/>
        <v/>
      </c>
      <c r="DT200" s="127" t="str">
        <f t="shared" si="356"/>
        <v/>
      </c>
      <c r="DU200" s="127" t="str">
        <f t="shared" si="284"/>
        <v/>
      </c>
      <c r="DV200" s="128" t="str">
        <f t="shared" si="430"/>
        <v/>
      </c>
      <c r="DX200" s="126" t="str">
        <f t="shared" si="285"/>
        <v/>
      </c>
      <c r="DY200" s="127" t="str">
        <f t="shared" si="357"/>
        <v/>
      </c>
      <c r="DZ200" s="127" t="str">
        <f t="shared" si="286"/>
        <v/>
      </c>
      <c r="EA200" s="128" t="str">
        <f t="shared" si="431"/>
        <v/>
      </c>
      <c r="EC200" s="126" t="str">
        <f t="shared" si="358"/>
        <v/>
      </c>
      <c r="ED200" s="127" t="str">
        <f t="shared" si="359"/>
        <v/>
      </c>
      <c r="EE200" s="127" t="str">
        <f t="shared" si="287"/>
        <v/>
      </c>
      <c r="EF200" s="128" t="str">
        <f t="shared" si="432"/>
        <v/>
      </c>
      <c r="EH200" s="126" t="str">
        <f t="shared" si="288"/>
        <v/>
      </c>
      <c r="EI200" s="127" t="str">
        <f t="shared" si="360"/>
        <v/>
      </c>
      <c r="EJ200" s="127" t="str">
        <f t="shared" si="289"/>
        <v/>
      </c>
      <c r="EK200" s="128" t="str">
        <f t="shared" si="433"/>
        <v/>
      </c>
      <c r="EM200" s="126" t="str">
        <f t="shared" si="361"/>
        <v/>
      </c>
      <c r="EN200" s="127" t="str">
        <f t="shared" si="362"/>
        <v/>
      </c>
      <c r="EO200" s="127" t="str">
        <f t="shared" si="290"/>
        <v/>
      </c>
      <c r="EP200" s="128" t="str">
        <f t="shared" si="434"/>
        <v/>
      </c>
      <c r="ER200" s="126" t="str">
        <f t="shared" si="291"/>
        <v/>
      </c>
      <c r="ES200" s="127" t="str">
        <f t="shared" si="363"/>
        <v/>
      </c>
      <c r="ET200" s="127" t="str">
        <f t="shared" si="292"/>
        <v/>
      </c>
      <c r="EU200" s="128" t="str">
        <f t="shared" si="435"/>
        <v/>
      </c>
      <c r="EW200" s="126" t="str">
        <f t="shared" si="364"/>
        <v/>
      </c>
      <c r="EX200" s="127" t="str">
        <f t="shared" si="365"/>
        <v/>
      </c>
      <c r="EY200" s="127" t="str">
        <f t="shared" si="293"/>
        <v/>
      </c>
      <c r="EZ200" s="128" t="str">
        <f t="shared" si="436"/>
        <v/>
      </c>
      <c r="FB200" s="126" t="str">
        <f t="shared" si="294"/>
        <v/>
      </c>
      <c r="FC200" s="127" t="str">
        <f t="shared" si="366"/>
        <v/>
      </c>
      <c r="FD200" s="127" t="str">
        <f t="shared" si="295"/>
        <v/>
      </c>
      <c r="FE200" s="128" t="str">
        <f t="shared" si="437"/>
        <v/>
      </c>
      <c r="FG200" s="126" t="str">
        <f t="shared" si="367"/>
        <v/>
      </c>
      <c r="FH200" s="127" t="str">
        <f t="shared" si="368"/>
        <v/>
      </c>
      <c r="FI200" s="127" t="str">
        <f t="shared" si="296"/>
        <v/>
      </c>
      <c r="FJ200" s="128" t="str">
        <f t="shared" si="438"/>
        <v/>
      </c>
      <c r="FL200" s="126" t="str">
        <f t="shared" si="297"/>
        <v/>
      </c>
      <c r="FM200" s="127" t="str">
        <f t="shared" si="369"/>
        <v/>
      </c>
      <c r="FN200" s="127" t="str">
        <f t="shared" si="298"/>
        <v/>
      </c>
      <c r="FO200" s="128" t="str">
        <f t="shared" si="439"/>
        <v/>
      </c>
      <c r="FQ200" s="126" t="str">
        <f t="shared" si="370"/>
        <v/>
      </c>
      <c r="FR200" s="127" t="str">
        <f t="shared" si="371"/>
        <v/>
      </c>
      <c r="FS200" s="127" t="str">
        <f t="shared" si="299"/>
        <v/>
      </c>
      <c r="FT200" s="128" t="str">
        <f t="shared" si="440"/>
        <v/>
      </c>
      <c r="FV200" s="126" t="str">
        <f t="shared" si="300"/>
        <v/>
      </c>
      <c r="FW200" s="127" t="str">
        <f t="shared" si="372"/>
        <v/>
      </c>
      <c r="FX200" s="127" t="str">
        <f t="shared" si="301"/>
        <v/>
      </c>
      <c r="FY200" s="128" t="str">
        <f t="shared" si="441"/>
        <v/>
      </c>
      <c r="GA200" s="126" t="str">
        <f t="shared" si="373"/>
        <v/>
      </c>
      <c r="GB200" s="127" t="str">
        <f t="shared" si="374"/>
        <v/>
      </c>
      <c r="GC200" s="127" t="str">
        <f t="shared" si="302"/>
        <v/>
      </c>
      <c r="GD200" s="128" t="str">
        <f t="shared" si="442"/>
        <v/>
      </c>
      <c r="GF200" s="126" t="str">
        <f t="shared" si="303"/>
        <v/>
      </c>
      <c r="GG200" s="127" t="str">
        <f t="shared" si="375"/>
        <v/>
      </c>
      <c r="GH200" s="127" t="str">
        <f t="shared" si="304"/>
        <v/>
      </c>
      <c r="GI200" s="128" t="str">
        <f t="shared" si="443"/>
        <v/>
      </c>
      <c r="GK200" s="126" t="str">
        <f t="shared" si="376"/>
        <v/>
      </c>
      <c r="GL200" s="127" t="str">
        <f t="shared" si="377"/>
        <v/>
      </c>
      <c r="GM200" s="127" t="str">
        <f t="shared" si="378"/>
        <v/>
      </c>
      <c r="GN200" s="128" t="str">
        <f t="shared" si="444"/>
        <v/>
      </c>
      <c r="GR200" s="126" t="str">
        <f t="shared" si="305"/>
        <v/>
      </c>
      <c r="GS200" s="127" t="str">
        <f t="shared" si="306"/>
        <v/>
      </c>
      <c r="GT200" s="127" t="str">
        <f t="shared" si="307"/>
        <v/>
      </c>
      <c r="GU200" s="128" t="str">
        <f t="shared" si="308"/>
        <v/>
      </c>
      <c r="GV200" s="51"/>
      <c r="GW200" s="126" t="str">
        <f t="shared" si="309"/>
        <v/>
      </c>
      <c r="GX200" s="127" t="str">
        <f t="shared" si="379"/>
        <v/>
      </c>
      <c r="GY200" s="127" t="str">
        <f t="shared" si="310"/>
        <v/>
      </c>
      <c r="GZ200" s="128" t="str">
        <f t="shared" si="311"/>
        <v/>
      </c>
      <c r="HA200" s="51"/>
      <c r="HB200" s="126" t="str">
        <f t="shared" si="380"/>
        <v/>
      </c>
      <c r="HC200" s="127" t="str">
        <f t="shared" si="381"/>
        <v/>
      </c>
      <c r="HD200" s="127" t="str">
        <f t="shared" si="312"/>
        <v/>
      </c>
      <c r="HE200" s="128" t="str">
        <f t="shared" si="382"/>
        <v/>
      </c>
      <c r="HF200" s="51"/>
      <c r="HG200" s="126" t="str">
        <f t="shared" si="313"/>
        <v/>
      </c>
      <c r="HH200" s="127" t="str">
        <f t="shared" si="383"/>
        <v/>
      </c>
      <c r="HI200" s="127" t="str">
        <f t="shared" si="314"/>
        <v/>
      </c>
      <c r="HJ200" s="128" t="str">
        <f t="shared" si="417"/>
        <v/>
      </c>
      <c r="HK200" s="51"/>
      <c r="HL200" s="126" t="str">
        <f t="shared" si="384"/>
        <v/>
      </c>
      <c r="HM200" s="127" t="str">
        <f t="shared" si="385"/>
        <v/>
      </c>
      <c r="HN200" s="127" t="str">
        <f t="shared" si="315"/>
        <v/>
      </c>
      <c r="HO200" s="128" t="str">
        <f t="shared" si="386"/>
        <v/>
      </c>
      <c r="HP200" s="51"/>
      <c r="HQ200" s="126" t="str">
        <f t="shared" si="316"/>
        <v/>
      </c>
      <c r="HR200" s="127" t="str">
        <f t="shared" si="387"/>
        <v/>
      </c>
      <c r="HS200" s="127" t="str">
        <f t="shared" si="317"/>
        <v/>
      </c>
      <c r="HT200" s="128" t="str">
        <f t="shared" si="418"/>
        <v/>
      </c>
      <c r="HU200" s="51"/>
      <c r="HV200" s="126" t="str">
        <f t="shared" si="388"/>
        <v/>
      </c>
      <c r="HW200" s="127" t="str">
        <f t="shared" si="389"/>
        <v/>
      </c>
      <c r="HX200" s="127" t="str">
        <f t="shared" si="318"/>
        <v/>
      </c>
      <c r="HY200" s="128" t="str">
        <f t="shared" si="390"/>
        <v/>
      </c>
      <c r="HZ200" s="51"/>
      <c r="IA200" s="126" t="str">
        <f t="shared" si="319"/>
        <v/>
      </c>
      <c r="IB200" s="127" t="str">
        <f t="shared" si="391"/>
        <v/>
      </c>
      <c r="IC200" s="127" t="str">
        <f t="shared" si="320"/>
        <v/>
      </c>
      <c r="ID200" s="128" t="str">
        <f t="shared" si="419"/>
        <v/>
      </c>
      <c r="IE200" s="51"/>
      <c r="IF200" s="126" t="str">
        <f t="shared" si="392"/>
        <v/>
      </c>
      <c r="IG200" s="127" t="str">
        <f t="shared" si="393"/>
        <v/>
      </c>
      <c r="IH200" s="127" t="str">
        <f t="shared" si="321"/>
        <v/>
      </c>
      <c r="II200" s="128" t="str">
        <f t="shared" si="394"/>
        <v/>
      </c>
      <c r="IJ200" s="51"/>
      <c r="IK200" s="126" t="str">
        <f t="shared" si="322"/>
        <v/>
      </c>
      <c r="IL200" s="127" t="str">
        <f t="shared" si="395"/>
        <v/>
      </c>
      <c r="IM200" s="127" t="str">
        <f t="shared" si="323"/>
        <v/>
      </c>
      <c r="IN200" s="128" t="str">
        <f t="shared" si="420"/>
        <v/>
      </c>
      <c r="IO200" s="51"/>
      <c r="IP200" s="126" t="str">
        <f t="shared" si="396"/>
        <v/>
      </c>
      <c r="IQ200" s="127" t="str">
        <f t="shared" si="397"/>
        <v/>
      </c>
      <c r="IR200" s="127" t="str">
        <f t="shared" si="324"/>
        <v/>
      </c>
      <c r="IS200" s="128" t="str">
        <f t="shared" si="398"/>
        <v/>
      </c>
      <c r="IT200" s="51"/>
      <c r="IU200" s="126" t="str">
        <f t="shared" si="325"/>
        <v/>
      </c>
      <c r="IV200" s="127" t="str">
        <f t="shared" si="399"/>
        <v/>
      </c>
      <c r="IW200" s="127" t="str">
        <f t="shared" si="326"/>
        <v/>
      </c>
      <c r="IX200" s="128" t="str">
        <f t="shared" si="421"/>
        <v/>
      </c>
      <c r="IY200" s="51"/>
      <c r="IZ200" s="126" t="str">
        <f t="shared" si="400"/>
        <v/>
      </c>
      <c r="JA200" s="127" t="str">
        <f t="shared" si="401"/>
        <v/>
      </c>
      <c r="JB200" s="127" t="str">
        <f t="shared" si="327"/>
        <v/>
      </c>
      <c r="JC200" s="128" t="str">
        <f t="shared" si="402"/>
        <v/>
      </c>
      <c r="JD200" s="51"/>
      <c r="JE200" s="126" t="str">
        <f t="shared" si="328"/>
        <v/>
      </c>
      <c r="JF200" s="127" t="str">
        <f t="shared" si="403"/>
        <v/>
      </c>
      <c r="JG200" s="127" t="str">
        <f t="shared" si="329"/>
        <v/>
      </c>
      <c r="JH200" s="128" t="str">
        <f t="shared" si="422"/>
        <v/>
      </c>
      <c r="JI200" s="51"/>
      <c r="JJ200" s="126" t="str">
        <f t="shared" si="404"/>
        <v/>
      </c>
      <c r="JK200" s="127" t="str">
        <f t="shared" si="405"/>
        <v/>
      </c>
      <c r="JL200" s="127" t="str">
        <f t="shared" si="330"/>
        <v/>
      </c>
      <c r="JM200" s="128" t="str">
        <f t="shared" si="406"/>
        <v/>
      </c>
      <c r="JN200" s="51"/>
      <c r="JO200" s="126" t="str">
        <f t="shared" si="331"/>
        <v/>
      </c>
      <c r="JP200" s="127" t="str">
        <f t="shared" si="407"/>
        <v/>
      </c>
      <c r="JQ200" s="127" t="str">
        <f t="shared" si="332"/>
        <v/>
      </c>
      <c r="JR200" s="128" t="str">
        <f t="shared" si="423"/>
        <v/>
      </c>
      <c r="JS200" s="51"/>
      <c r="JT200" s="126" t="str">
        <f t="shared" si="408"/>
        <v/>
      </c>
      <c r="JU200" s="127" t="str">
        <f t="shared" si="409"/>
        <v/>
      </c>
      <c r="JV200" s="127" t="str">
        <f t="shared" si="333"/>
        <v/>
      </c>
      <c r="JW200" s="128" t="str">
        <f t="shared" si="410"/>
        <v/>
      </c>
      <c r="JX200" s="51"/>
      <c r="JY200" s="126" t="str">
        <f t="shared" si="334"/>
        <v/>
      </c>
      <c r="JZ200" s="127" t="str">
        <f t="shared" si="411"/>
        <v/>
      </c>
      <c r="KA200" s="127" t="str">
        <f t="shared" si="335"/>
        <v/>
      </c>
      <c r="KB200" s="128" t="str">
        <f t="shared" si="424"/>
        <v/>
      </c>
      <c r="KC200" s="51"/>
      <c r="KD200" s="126" t="str">
        <f t="shared" si="412"/>
        <v/>
      </c>
      <c r="KE200" s="127" t="str">
        <f t="shared" si="413"/>
        <v/>
      </c>
      <c r="KF200" s="127" t="str">
        <f t="shared" si="336"/>
        <v/>
      </c>
      <c r="KG200" s="128" t="str">
        <f t="shared" si="337"/>
        <v/>
      </c>
    </row>
    <row r="201" spans="1:293">
      <c r="B201"/>
      <c r="C201"/>
      <c r="D201"/>
      <c r="E201"/>
      <c r="F201"/>
      <c r="G201"/>
      <c r="H201"/>
      <c r="R201" s="106"/>
      <c r="U201" s="129"/>
      <c r="V201" s="130"/>
      <c r="W201" s="131"/>
      <c r="X201" s="131"/>
      <c r="Y201" s="131"/>
      <c r="Z201" s="131"/>
      <c r="AA201" s="132"/>
      <c r="AB201" s="131"/>
      <c r="AC201" s="131"/>
      <c r="AD201" s="131"/>
      <c r="AE201" s="131"/>
      <c r="AF201" s="130"/>
      <c r="AG201" s="131"/>
      <c r="AH201" s="131"/>
      <c r="AI201" s="132"/>
      <c r="AJ201" s="131"/>
      <c r="AK201" s="131"/>
      <c r="AL201" s="131"/>
      <c r="AM201" s="131"/>
      <c r="AN201" s="131"/>
      <c r="AO201" s="131"/>
      <c r="AP201" s="131"/>
      <c r="AQ201" s="132"/>
      <c r="AR201" s="131"/>
      <c r="AS201" s="131"/>
      <c r="AT201" s="131"/>
      <c r="AU201" s="131"/>
      <c r="AV201" s="131"/>
      <c r="AW201" s="131"/>
      <c r="AX201" s="131"/>
      <c r="AY201" s="132"/>
      <c r="AZ201" s="131"/>
      <c r="BA201" s="131"/>
      <c r="BB201" s="131"/>
      <c r="BC201" s="131"/>
      <c r="BD201" s="131"/>
      <c r="BE201" s="131"/>
      <c r="BF201" s="131"/>
      <c r="BH201" s="87" t="e">
        <f t="shared" si="274"/>
        <v>#NUM!</v>
      </c>
      <c r="BK201" s="95">
        <v>42376</v>
      </c>
    </row>
    <row r="202" spans="1:293" hidden="1">
      <c r="B202"/>
      <c r="C202"/>
      <c r="D202"/>
      <c r="E202"/>
      <c r="F202"/>
      <c r="G202"/>
      <c r="H202"/>
      <c r="R202" s="106"/>
      <c r="U202" s="129"/>
      <c r="V202" s="130"/>
      <c r="W202" s="131"/>
      <c r="X202" s="131"/>
      <c r="Y202" s="131"/>
      <c r="Z202" s="131"/>
      <c r="AA202" s="132"/>
      <c r="AB202" s="131"/>
      <c r="AC202" s="131"/>
      <c r="AD202" s="131"/>
      <c r="AE202" s="131"/>
      <c r="AF202" s="131"/>
      <c r="AG202" s="131"/>
      <c r="AH202" s="131"/>
      <c r="AI202" s="132"/>
      <c r="AJ202" s="131"/>
      <c r="AK202" s="131"/>
      <c r="AL202" s="131"/>
      <c r="AM202" s="131"/>
      <c r="AN202" s="131"/>
      <c r="AO202" s="131"/>
      <c r="AP202" s="131"/>
      <c r="AQ202" s="132"/>
      <c r="AR202" s="131"/>
      <c r="AS202" s="131"/>
      <c r="AT202" s="131"/>
      <c r="AU202" s="131"/>
      <c r="AV202" s="131"/>
      <c r="AW202" s="131"/>
      <c r="AX202" s="131"/>
      <c r="AY202" s="132"/>
      <c r="AZ202" s="131"/>
      <c r="BA202" s="131"/>
      <c r="BB202" s="131"/>
      <c r="BC202" s="131"/>
      <c r="BD202" s="131"/>
      <c r="BE202" s="131"/>
      <c r="BF202" s="131"/>
      <c r="BK202" s="95">
        <v>42388</v>
      </c>
    </row>
    <row r="203" spans="1:293" hidden="1">
      <c r="B203"/>
      <c r="C203"/>
      <c r="D203"/>
      <c r="E203"/>
      <c r="F203"/>
      <c r="G203"/>
      <c r="H203"/>
      <c r="R203" s="106"/>
      <c r="U203" s="129"/>
      <c r="V203" s="130"/>
      <c r="W203" s="131"/>
      <c r="X203" s="131"/>
      <c r="Y203" s="131"/>
      <c r="Z203" s="131"/>
      <c r="AA203" s="132"/>
      <c r="AB203" s="131"/>
      <c r="AC203" s="131"/>
      <c r="AD203" s="131"/>
      <c r="AE203" s="131"/>
      <c r="AF203" s="131"/>
      <c r="AG203" s="131"/>
      <c r="AH203" s="131"/>
      <c r="AI203" s="132"/>
      <c r="AJ203" s="131"/>
      <c r="AK203" s="131"/>
      <c r="AL203" s="131"/>
      <c r="AM203" s="131"/>
      <c r="AN203" s="131"/>
      <c r="AO203" s="131"/>
      <c r="AP203" s="131"/>
      <c r="AQ203" s="132"/>
      <c r="AR203" s="131"/>
      <c r="AS203" s="131"/>
      <c r="AT203" s="131"/>
      <c r="AU203" s="131"/>
      <c r="AV203" s="131"/>
      <c r="AW203" s="131"/>
      <c r="AX203" s="131"/>
      <c r="AY203" s="132"/>
      <c r="AZ203" s="131"/>
      <c r="BA203" s="131"/>
      <c r="BB203" s="131"/>
      <c r="BC203" s="131"/>
      <c r="BD203" s="131"/>
      <c r="BE203" s="131"/>
      <c r="BF203" s="131"/>
      <c r="BK203" s="95">
        <v>42432</v>
      </c>
    </row>
    <row r="204" spans="1:293" hidden="1">
      <c r="B204"/>
      <c r="C204"/>
      <c r="D204"/>
      <c r="E204"/>
      <c r="F204"/>
      <c r="G204"/>
      <c r="H204"/>
      <c r="R204" s="106"/>
      <c r="U204" s="129"/>
      <c r="V204" s="130"/>
      <c r="W204" s="131"/>
      <c r="X204" s="131"/>
      <c r="Y204" s="131"/>
      <c r="Z204" s="131"/>
      <c r="AA204" s="132"/>
      <c r="AB204" s="131"/>
      <c r="AC204" s="131"/>
      <c r="AD204" s="131"/>
      <c r="AE204" s="131"/>
      <c r="AF204" s="131"/>
      <c r="AG204" s="131"/>
      <c r="AH204" s="131"/>
      <c r="AI204" s="132"/>
      <c r="AJ204" s="131"/>
      <c r="AK204" s="131"/>
      <c r="AL204" s="131"/>
      <c r="AM204" s="131"/>
      <c r="AN204" s="131"/>
      <c r="AO204" s="131"/>
      <c r="AP204" s="131"/>
      <c r="AQ204" s="132"/>
      <c r="AR204" s="131"/>
      <c r="AS204" s="131"/>
      <c r="AT204" s="131"/>
      <c r="AU204" s="131"/>
      <c r="AV204" s="131"/>
      <c r="AW204" s="131"/>
      <c r="AX204" s="131"/>
      <c r="AY204" s="132"/>
      <c r="AZ204" s="131"/>
      <c r="BA204" s="131"/>
      <c r="BB204" s="131"/>
      <c r="BC204" s="131"/>
      <c r="BD204" s="131"/>
      <c r="BE204" s="131"/>
      <c r="BF204" s="131"/>
      <c r="BK204" s="95">
        <v>42437</v>
      </c>
    </row>
    <row r="205" spans="1:293" hidden="1">
      <c r="B205"/>
      <c r="C205"/>
      <c r="D205"/>
      <c r="E205"/>
      <c r="F205"/>
      <c r="G205"/>
      <c r="H205"/>
      <c r="R205" s="106"/>
      <c r="U205" s="129"/>
      <c r="V205" s="130"/>
      <c r="W205" s="131"/>
      <c r="X205" s="131"/>
      <c r="Y205" s="131"/>
      <c r="Z205" s="131"/>
      <c r="AA205" s="132"/>
      <c r="AB205" s="131"/>
      <c r="AC205" s="131"/>
      <c r="AD205" s="131"/>
      <c r="AE205" s="131"/>
      <c r="AF205" s="131"/>
      <c r="AG205" s="131"/>
      <c r="AH205" s="131"/>
      <c r="AI205" s="132"/>
      <c r="AJ205" s="131"/>
      <c r="AK205" s="131"/>
      <c r="AL205" s="131"/>
      <c r="AM205" s="131"/>
      <c r="AN205" s="131"/>
      <c r="AO205" s="131"/>
      <c r="AP205" s="131"/>
      <c r="AQ205" s="132"/>
      <c r="AR205" s="131"/>
      <c r="AS205" s="131"/>
      <c r="AT205" s="131"/>
      <c r="AU205" s="131"/>
      <c r="AV205" s="131"/>
      <c r="AW205" s="131"/>
      <c r="AX205" s="131"/>
      <c r="AY205" s="132"/>
      <c r="AZ205" s="131"/>
      <c r="BA205" s="131"/>
      <c r="BB205" s="131"/>
      <c r="BC205" s="131"/>
      <c r="BD205" s="131"/>
      <c r="BE205" s="131"/>
      <c r="BF205" s="131"/>
      <c r="BK205" s="95">
        <v>42469</v>
      </c>
    </row>
    <row r="206" spans="1:293" hidden="1">
      <c r="B206"/>
      <c r="C206"/>
      <c r="D206"/>
      <c r="E206"/>
      <c r="F206"/>
      <c r="G206"/>
      <c r="H206"/>
      <c r="R206" s="106"/>
      <c r="U206" s="129"/>
      <c r="V206" s="130"/>
      <c r="W206" s="131"/>
      <c r="X206" s="131"/>
      <c r="Y206" s="131"/>
      <c r="Z206" s="131"/>
      <c r="AA206" s="132"/>
      <c r="AB206" s="131"/>
      <c r="AC206" s="131"/>
      <c r="AD206" s="131"/>
      <c r="AE206" s="131"/>
      <c r="AF206" s="131"/>
      <c r="AG206" s="131"/>
      <c r="AH206" s="131"/>
      <c r="AI206" s="132"/>
      <c r="AJ206" s="131"/>
      <c r="AK206" s="131"/>
      <c r="AL206" s="131"/>
      <c r="AM206" s="131"/>
      <c r="AN206" s="131"/>
      <c r="AO206" s="131"/>
      <c r="AP206" s="131"/>
      <c r="AQ206" s="132"/>
      <c r="AR206" s="131"/>
      <c r="AS206" s="131"/>
      <c r="AT206" s="131"/>
      <c r="AU206" s="131"/>
      <c r="AV206" s="131"/>
      <c r="AW206" s="131"/>
      <c r="AX206" s="131"/>
      <c r="AY206" s="132"/>
      <c r="AZ206" s="131"/>
      <c r="BA206" s="131"/>
      <c r="BB206" s="131"/>
      <c r="BC206" s="131"/>
      <c r="BD206" s="131"/>
      <c r="BE206" s="131"/>
      <c r="BF206" s="131"/>
      <c r="BK206" s="95">
        <v>42489</v>
      </c>
    </row>
    <row r="207" spans="1:293" hidden="1">
      <c r="B207"/>
      <c r="C207"/>
      <c r="D207"/>
      <c r="E207"/>
      <c r="F207"/>
      <c r="G207"/>
      <c r="H207"/>
      <c r="R207" s="106"/>
      <c r="U207" s="129"/>
      <c r="V207" s="130"/>
      <c r="W207" s="131"/>
      <c r="X207" s="131"/>
      <c r="Y207" s="131"/>
      <c r="Z207" s="131"/>
      <c r="AA207" s="132"/>
      <c r="AB207" s="131"/>
      <c r="AC207" s="131"/>
      <c r="AD207" s="131"/>
      <c r="AE207" s="131"/>
      <c r="AF207" s="131"/>
      <c r="AG207" s="131"/>
      <c r="AH207" s="131"/>
      <c r="AI207" s="132"/>
      <c r="AJ207" s="131"/>
      <c r="AK207" s="131"/>
      <c r="AL207" s="131"/>
      <c r="AM207" s="131"/>
      <c r="AN207" s="131"/>
      <c r="AO207" s="131"/>
      <c r="AP207" s="131"/>
      <c r="AQ207" s="132"/>
      <c r="AR207" s="131"/>
      <c r="AS207" s="131"/>
      <c r="AT207" s="131"/>
      <c r="AU207" s="131"/>
      <c r="AV207" s="131"/>
      <c r="AW207" s="131"/>
      <c r="AX207" s="131"/>
      <c r="AY207" s="132"/>
      <c r="AZ207" s="131"/>
      <c r="BA207" s="131"/>
      <c r="BB207" s="131"/>
      <c r="BC207" s="131"/>
      <c r="BD207" s="131"/>
      <c r="BE207" s="131"/>
      <c r="BF207" s="131"/>
      <c r="BK207" s="95">
        <v>42492</v>
      </c>
    </row>
    <row r="208" spans="1:293" hidden="1">
      <c r="B208"/>
      <c r="C208"/>
      <c r="D208"/>
      <c r="E208"/>
      <c r="F208"/>
      <c r="G208"/>
      <c r="H208"/>
      <c r="R208" s="106"/>
      <c r="U208" s="129"/>
      <c r="V208" s="130"/>
      <c r="W208" s="131"/>
      <c r="X208" s="131"/>
      <c r="Y208" s="131"/>
      <c r="Z208" s="131"/>
      <c r="AA208" s="132"/>
      <c r="AB208" s="131"/>
      <c r="AC208" s="131"/>
      <c r="AD208" s="131"/>
      <c r="AE208" s="131"/>
      <c r="AF208" s="131"/>
      <c r="AG208" s="131"/>
      <c r="AH208" s="131"/>
      <c r="AI208" s="132"/>
      <c r="AJ208" s="131"/>
      <c r="AK208" s="131"/>
      <c r="AL208" s="131"/>
      <c r="AM208" s="131"/>
      <c r="AN208" s="131"/>
      <c r="AO208" s="131"/>
      <c r="AP208" s="131"/>
      <c r="AQ208" s="132"/>
      <c r="AR208" s="131"/>
      <c r="AS208" s="131"/>
      <c r="AT208" s="131"/>
      <c r="AU208" s="131"/>
      <c r="AV208" s="131"/>
      <c r="AW208" s="131"/>
      <c r="AX208" s="131"/>
      <c r="AY208" s="132"/>
      <c r="AZ208" s="131"/>
      <c r="BA208" s="131"/>
      <c r="BB208" s="131"/>
      <c r="BC208" s="131"/>
      <c r="BD208" s="131"/>
      <c r="BE208" s="131"/>
      <c r="BF208" s="131"/>
      <c r="BK208" s="95">
        <v>42499</v>
      </c>
    </row>
    <row r="209" spans="2:64">
      <c r="B209"/>
      <c r="C209"/>
      <c r="D209"/>
      <c r="E209"/>
      <c r="F209"/>
      <c r="G209"/>
      <c r="H209"/>
      <c r="R209" s="106"/>
      <c r="U209" s="129"/>
      <c r="V209" s="130"/>
      <c r="W209" s="131"/>
      <c r="X209" s="131"/>
      <c r="Y209" s="131"/>
      <c r="Z209" s="131"/>
      <c r="AA209" s="132"/>
      <c r="AB209" s="131"/>
      <c r="AC209" s="131"/>
      <c r="AD209" s="131"/>
      <c r="AE209" s="131"/>
      <c r="AF209" s="131"/>
      <c r="AG209" s="131"/>
      <c r="AH209" s="131"/>
      <c r="AI209" s="132"/>
      <c r="AJ209" s="131"/>
      <c r="AK209" s="131"/>
      <c r="AL209" s="131"/>
      <c r="AM209" s="131"/>
      <c r="AN209" s="131"/>
      <c r="AO209" s="131"/>
      <c r="AP209" s="131"/>
      <c r="AQ209" s="132"/>
      <c r="AR209" s="131"/>
      <c r="AS209" s="131"/>
      <c r="AT209" s="131"/>
      <c r="AU209" s="131"/>
      <c r="AV209" s="131"/>
      <c r="AW209" s="131"/>
      <c r="AX209" s="131"/>
      <c r="AY209" s="132"/>
      <c r="AZ209" s="131"/>
      <c r="BA209" s="131"/>
      <c r="BB209" s="131"/>
      <c r="BC209" s="131"/>
      <c r="BD209" s="131"/>
      <c r="BE209" s="131"/>
      <c r="BF209" s="131"/>
      <c r="BK209" s="95">
        <v>42502</v>
      </c>
    </row>
    <row r="210" spans="2:64">
      <c r="B210"/>
      <c r="C210"/>
      <c r="D210"/>
      <c r="E210"/>
      <c r="F210"/>
      <c r="G210"/>
      <c r="H210"/>
      <c r="R210" s="106"/>
      <c r="U210" s="129"/>
      <c r="V210" s="130"/>
      <c r="W210" s="131"/>
      <c r="X210" s="131"/>
      <c r="Y210" s="131"/>
      <c r="Z210" s="131"/>
      <c r="AA210" s="132"/>
      <c r="AB210" s="131"/>
      <c r="AC210" s="131"/>
      <c r="AD210" s="131"/>
      <c r="AE210" s="131"/>
      <c r="AF210" s="131"/>
      <c r="AG210" s="131"/>
      <c r="AH210" s="131"/>
      <c r="AI210" s="132"/>
      <c r="AJ210" s="131"/>
      <c r="AK210" s="131"/>
      <c r="AL210" s="131"/>
      <c r="AM210" s="131"/>
      <c r="AN210" s="131"/>
      <c r="AO210" s="131"/>
      <c r="AP210" s="131"/>
      <c r="AQ210" s="132"/>
      <c r="AR210" s="131"/>
      <c r="AS210" s="131"/>
      <c r="AT210" s="131"/>
      <c r="AU210" s="131"/>
      <c r="AV210" s="131"/>
      <c r="AW210" s="131"/>
      <c r="AX210" s="131"/>
      <c r="AY210" s="132"/>
      <c r="AZ210" s="131"/>
      <c r="BA210" s="131"/>
      <c r="BB210" s="131"/>
      <c r="BC210" s="131"/>
      <c r="BD210" s="131"/>
      <c r="BE210" s="131"/>
      <c r="BF210" s="131"/>
      <c r="BK210" s="95">
        <v>42516</v>
      </c>
    </row>
    <row r="211" spans="2:64">
      <c r="B211"/>
      <c r="C211"/>
      <c r="D211"/>
      <c r="E211"/>
      <c r="F211"/>
      <c r="G211"/>
      <c r="H211"/>
      <c r="R211" s="106"/>
      <c r="U211" s="129"/>
      <c r="V211" s="130"/>
      <c r="W211" s="131"/>
      <c r="X211" s="131"/>
      <c r="Y211" s="131"/>
      <c r="Z211" s="131"/>
      <c r="AA211" s="132"/>
      <c r="AB211" s="131"/>
      <c r="AC211" s="131"/>
      <c r="AD211" s="131"/>
      <c r="AE211" s="131"/>
      <c r="AF211" s="131"/>
      <c r="AG211" s="131"/>
      <c r="AH211" s="131"/>
      <c r="AI211" s="132"/>
      <c r="AJ211" s="131"/>
      <c r="AK211" s="131"/>
      <c r="AL211" s="131"/>
      <c r="AM211" s="131"/>
      <c r="AN211" s="131"/>
      <c r="AO211" s="131"/>
      <c r="AP211" s="131"/>
      <c r="AQ211" s="132"/>
      <c r="AR211" s="131"/>
      <c r="AS211" s="131"/>
      <c r="AT211" s="131"/>
      <c r="AU211" s="131"/>
      <c r="AV211" s="131"/>
      <c r="AW211" s="131"/>
      <c r="AX211" s="131"/>
      <c r="AY211" s="132"/>
      <c r="AZ211" s="131"/>
      <c r="BA211" s="131"/>
      <c r="BB211" s="131"/>
      <c r="BC211" s="131"/>
      <c r="BD211" s="131"/>
      <c r="BE211" s="131"/>
      <c r="BF211" s="131"/>
      <c r="BK211" s="95">
        <v>42610</v>
      </c>
    </row>
    <row r="212" spans="2:64">
      <c r="B212"/>
      <c r="C212"/>
      <c r="D212"/>
      <c r="E212"/>
      <c r="F212"/>
      <c r="G212"/>
      <c r="H212"/>
      <c r="R212" s="106"/>
      <c r="U212" s="129"/>
      <c r="V212" s="130"/>
      <c r="W212" s="131"/>
      <c r="X212" s="131"/>
      <c r="Y212" s="131"/>
      <c r="Z212" s="131"/>
      <c r="AA212" s="132"/>
      <c r="AB212" s="131"/>
      <c r="AC212" s="131"/>
      <c r="AD212" s="131"/>
      <c r="AE212" s="131"/>
      <c r="AF212" s="131"/>
      <c r="AG212" s="131"/>
      <c r="AH212" s="131"/>
      <c r="AI212" s="132"/>
      <c r="AJ212" s="131"/>
      <c r="AK212" s="131"/>
      <c r="AL212" s="131"/>
      <c r="AM212" s="131"/>
      <c r="AN212" s="131"/>
      <c r="AO212" s="131"/>
      <c r="AP212" s="131"/>
      <c r="AQ212" s="132"/>
      <c r="AR212" s="131"/>
      <c r="AS212" s="131"/>
      <c r="AT212" s="131"/>
      <c r="AU212" s="131"/>
      <c r="AV212" s="131"/>
      <c r="AW212" s="131"/>
      <c r="AX212" s="131"/>
      <c r="AY212" s="132"/>
      <c r="AZ212" s="131"/>
      <c r="BA212" s="131"/>
      <c r="BB212" s="131"/>
      <c r="BC212" s="131"/>
      <c r="BD212" s="131"/>
      <c r="BE212" s="131"/>
      <c r="BF212" s="131"/>
      <c r="BK212" s="95">
        <v>42657</v>
      </c>
      <c r="BL212" s="133"/>
    </row>
    <row r="213" spans="2:64">
      <c r="B213"/>
      <c r="C213"/>
      <c r="D213"/>
      <c r="E213"/>
      <c r="F213"/>
      <c r="G213"/>
      <c r="H213"/>
      <c r="R213" s="106"/>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K213" s="95">
        <v>42697</v>
      </c>
      <c r="BL213" s="133"/>
    </row>
    <row r="214" spans="2:64">
      <c r="B214"/>
      <c r="C214"/>
      <c r="D214"/>
      <c r="E214"/>
      <c r="F214"/>
      <c r="G214"/>
      <c r="H214"/>
      <c r="R214" s="106"/>
      <c r="BK214" s="95">
        <v>42736</v>
      </c>
      <c r="BL214" s="133"/>
    </row>
    <row r="215" spans="2:64">
      <c r="R215" s="106"/>
      <c r="BK215" s="95">
        <v>42737</v>
      </c>
      <c r="BL215" s="133"/>
    </row>
    <row r="216" spans="2:64">
      <c r="R216" s="106"/>
      <c r="BK216" s="95">
        <v>42742</v>
      </c>
      <c r="BL216" s="133"/>
    </row>
    <row r="217" spans="2:64">
      <c r="R217" s="106"/>
      <c r="BK217" s="95">
        <v>42754</v>
      </c>
      <c r="BL217" s="133"/>
    </row>
    <row r="218" spans="2:64">
      <c r="R218" s="106"/>
      <c r="BK218" s="95">
        <v>42797</v>
      </c>
      <c r="BL218" s="133"/>
    </row>
    <row r="219" spans="2:64">
      <c r="R219" s="106"/>
      <c r="BK219" s="95">
        <v>42802</v>
      </c>
      <c r="BL219" s="133"/>
    </row>
    <row r="220" spans="2:64">
      <c r="R220" s="106"/>
      <c r="BK220" s="95">
        <v>42834</v>
      </c>
      <c r="BL220" s="133"/>
    </row>
    <row r="221" spans="2:64">
      <c r="R221" s="106"/>
      <c r="BK221" s="95">
        <v>42839</v>
      </c>
      <c r="BL221" s="133"/>
    </row>
    <row r="222" spans="2:64">
      <c r="R222" s="106"/>
      <c r="BK222" s="95">
        <v>42842</v>
      </c>
      <c r="BL222" s="133"/>
    </row>
    <row r="223" spans="2:64">
      <c r="R223" s="106"/>
      <c r="BK223" s="95">
        <v>42864</v>
      </c>
      <c r="BL223" s="133"/>
    </row>
    <row r="224" spans="2:64">
      <c r="R224" s="106"/>
      <c r="BK224" s="95">
        <v>42867</v>
      </c>
      <c r="BL224" s="133"/>
    </row>
    <row r="225" spans="18:64">
      <c r="R225" s="106"/>
      <c r="BK225" s="95">
        <v>42881</v>
      </c>
      <c r="BL225" s="133"/>
    </row>
    <row r="226" spans="18:64">
      <c r="R226" s="106"/>
      <c r="BK226" s="95">
        <v>42975</v>
      </c>
      <c r="BL226" s="133"/>
    </row>
    <row r="227" spans="18:64">
      <c r="R227" s="106"/>
      <c r="BK227" s="95">
        <v>43022</v>
      </c>
      <c r="BL227" s="133"/>
    </row>
    <row r="228" spans="18:64">
      <c r="R228" s="106"/>
      <c r="BK228" s="95">
        <v>43062</v>
      </c>
      <c r="BL228" s="133"/>
    </row>
    <row r="229" spans="18:64">
      <c r="R229" s="106"/>
      <c r="BK229" s="95">
        <v>43101</v>
      </c>
    </row>
    <row r="230" spans="18:64">
      <c r="R230" s="106"/>
      <c r="BK230" s="95">
        <v>43102</v>
      </c>
    </row>
    <row r="231" spans="18:64">
      <c r="R231" s="106"/>
      <c r="BK231" s="95">
        <v>43107</v>
      </c>
    </row>
    <row r="232" spans="18:64">
      <c r="R232" s="106"/>
      <c r="BK232" s="95">
        <v>43119</v>
      </c>
    </row>
    <row r="233" spans="18:64">
      <c r="R233" s="106"/>
      <c r="BK233" s="95">
        <v>43162</v>
      </c>
    </row>
    <row r="234" spans="18:64">
      <c r="R234" s="106"/>
      <c r="BK234" s="95">
        <v>43167</v>
      </c>
    </row>
    <row r="235" spans="18:64">
      <c r="R235" s="106"/>
      <c r="BK235" s="95">
        <v>43196</v>
      </c>
    </row>
    <row r="236" spans="18:64">
      <c r="R236" s="106"/>
      <c r="BK236" s="95">
        <v>43199</v>
      </c>
    </row>
    <row r="237" spans="18:64">
      <c r="R237" s="106"/>
      <c r="BK237" s="95">
        <v>43229</v>
      </c>
    </row>
    <row r="238" spans="18:64">
      <c r="R238" s="106"/>
      <c r="BK238" s="95">
        <v>43232</v>
      </c>
    </row>
    <row r="239" spans="18:64">
      <c r="R239" s="106"/>
      <c r="BK239" s="95">
        <v>43246</v>
      </c>
    </row>
    <row r="240" spans="18:64">
      <c r="R240" s="106"/>
      <c r="BK240" s="95">
        <v>43340</v>
      </c>
    </row>
    <row r="241" spans="18:63">
      <c r="R241" s="106"/>
      <c r="BK241" s="95">
        <v>43387</v>
      </c>
    </row>
    <row r="242" spans="18:63">
      <c r="R242" s="106"/>
      <c r="BK242" s="95">
        <v>43427</v>
      </c>
    </row>
    <row r="243" spans="18:63">
      <c r="R243" s="106"/>
      <c r="BK243" s="95">
        <v>43466</v>
      </c>
    </row>
    <row r="244" spans="18:63">
      <c r="R244" s="106"/>
      <c r="BK244" s="95">
        <v>43467</v>
      </c>
    </row>
    <row r="245" spans="18:63">
      <c r="R245" s="106"/>
      <c r="BK245" s="95">
        <v>43472</v>
      </c>
    </row>
    <row r="246" spans="18:63">
      <c r="R246" s="106"/>
      <c r="BK246" s="95">
        <v>43484</v>
      </c>
    </row>
    <row r="247" spans="18:63">
      <c r="R247" s="106"/>
      <c r="BK247" s="95">
        <v>43527</v>
      </c>
    </row>
    <row r="248" spans="18:63">
      <c r="R248" s="106"/>
      <c r="BK248" s="95">
        <v>43532</v>
      </c>
    </row>
    <row r="249" spans="18:63">
      <c r="R249" s="106"/>
      <c r="BK249" s="95">
        <v>43564</v>
      </c>
    </row>
    <row r="250" spans="18:63">
      <c r="R250" s="106"/>
      <c r="BK250" s="95">
        <v>43581</v>
      </c>
    </row>
    <row r="251" spans="18:63">
      <c r="R251" s="106"/>
      <c r="BK251" s="95">
        <v>43584</v>
      </c>
    </row>
    <row r="252" spans="18:63">
      <c r="R252" s="106"/>
      <c r="BK252" s="95">
        <v>43594</v>
      </c>
    </row>
    <row r="253" spans="18:63">
      <c r="R253" s="106"/>
      <c r="BK253" s="95">
        <v>43597</v>
      </c>
    </row>
    <row r="254" spans="18:63">
      <c r="R254" s="106"/>
      <c r="BK254" s="95">
        <v>43611</v>
      </c>
    </row>
    <row r="255" spans="18:63">
      <c r="R255" s="106"/>
      <c r="BK255" s="95">
        <v>43705</v>
      </c>
    </row>
    <row r="256" spans="18:63">
      <c r="R256" s="106"/>
      <c r="BK256" s="95">
        <v>43752</v>
      </c>
    </row>
    <row r="257" spans="18:63">
      <c r="R257" s="106"/>
      <c r="BK257" s="95">
        <v>43792</v>
      </c>
    </row>
    <row r="258" spans="18:63">
      <c r="R258" s="106"/>
      <c r="BK258" s="95">
        <v>43831</v>
      </c>
    </row>
    <row r="259" spans="18:63">
      <c r="R259" s="106"/>
      <c r="BK259" s="95">
        <v>43832</v>
      </c>
    </row>
    <row r="260" spans="18:63">
      <c r="R260" s="106"/>
      <c r="BK260" s="95">
        <v>43837</v>
      </c>
    </row>
    <row r="261" spans="18:63">
      <c r="R261" s="106"/>
      <c r="BK261" s="95">
        <v>43849</v>
      </c>
    </row>
    <row r="262" spans="18:63">
      <c r="R262" s="106"/>
      <c r="BK262" s="95">
        <v>43893</v>
      </c>
    </row>
    <row r="263" spans="18:63">
      <c r="R263" s="106"/>
      <c r="BK263" s="95">
        <v>43898</v>
      </c>
    </row>
    <row r="264" spans="18:63">
      <c r="R264" s="106"/>
      <c r="BK264" s="95">
        <v>43930</v>
      </c>
    </row>
    <row r="265" spans="18:63">
      <c r="R265" s="106"/>
      <c r="BK265" s="95">
        <v>43938</v>
      </c>
    </row>
    <row r="266" spans="18:63">
      <c r="R266" s="106"/>
      <c r="BK266" s="95">
        <v>43941</v>
      </c>
    </row>
    <row r="267" spans="18:63">
      <c r="R267" s="106"/>
      <c r="BK267" s="95">
        <v>43960</v>
      </c>
    </row>
    <row r="268" spans="18:63">
      <c r="R268" s="106"/>
      <c r="BK268" s="95">
        <v>43963</v>
      </c>
    </row>
    <row r="269" spans="18:63">
      <c r="R269" s="106"/>
      <c r="BK269" s="95">
        <v>43977</v>
      </c>
    </row>
    <row r="270" spans="18:63">
      <c r="R270" s="106"/>
      <c r="BK270" s="95">
        <v>44071</v>
      </c>
    </row>
    <row r="271" spans="18:63">
      <c r="R271" s="106"/>
      <c r="BK271" s="95">
        <v>44118</v>
      </c>
    </row>
    <row r="272" spans="18:63">
      <c r="R272" s="106"/>
      <c r="BK272" s="95">
        <v>44158</v>
      </c>
    </row>
    <row r="273" spans="18:63">
      <c r="R273" s="106"/>
      <c r="BK273" s="95">
        <v>44197</v>
      </c>
    </row>
    <row r="274" spans="18:63">
      <c r="R274" s="106"/>
      <c r="BK274" s="95">
        <v>44198</v>
      </c>
    </row>
    <row r="275" spans="18:63">
      <c r="R275" s="106"/>
      <c r="BK275" s="95">
        <v>44203</v>
      </c>
    </row>
    <row r="276" spans="18:63">
      <c r="R276" s="106"/>
      <c r="BK276" s="95">
        <v>44215</v>
      </c>
    </row>
    <row r="277" spans="18:63">
      <c r="R277" s="106"/>
      <c r="BK277" s="95">
        <v>44258</v>
      </c>
    </row>
    <row r="278" spans="18:63">
      <c r="R278" s="106"/>
      <c r="BK278" s="95">
        <v>44263</v>
      </c>
    </row>
    <row r="279" spans="18:63">
      <c r="R279" s="106"/>
      <c r="BK279" s="95">
        <v>44295</v>
      </c>
    </row>
    <row r="280" spans="18:63">
      <c r="R280" s="106"/>
      <c r="BK280" s="95">
        <v>44316</v>
      </c>
    </row>
    <row r="281" spans="18:63">
      <c r="R281" s="106"/>
      <c r="BK281" s="95">
        <v>44319</v>
      </c>
    </row>
    <row r="282" spans="18:63">
      <c r="R282" s="106"/>
      <c r="BK282" s="95">
        <v>44325</v>
      </c>
    </row>
    <row r="283" spans="18:63">
      <c r="R283" s="106"/>
      <c r="BK283" s="95">
        <v>44328</v>
      </c>
    </row>
    <row r="284" spans="18:63">
      <c r="R284" s="106"/>
      <c r="BK284" s="95">
        <v>44342</v>
      </c>
    </row>
    <row r="285" spans="18:63">
      <c r="R285" s="106"/>
      <c r="BK285" s="95">
        <v>44436</v>
      </c>
    </row>
    <row r="286" spans="18:63">
      <c r="R286" s="106"/>
      <c r="BK286" s="95">
        <v>44483</v>
      </c>
    </row>
    <row r="287" spans="18:63">
      <c r="R287" s="106"/>
      <c r="BK287" s="95">
        <v>44523</v>
      </c>
    </row>
    <row r="288" spans="18:63">
      <c r="R288" s="106"/>
      <c r="BK288" s="95">
        <v>44562</v>
      </c>
    </row>
    <row r="289" spans="18:63">
      <c r="R289" s="106"/>
      <c r="BK289" s="95">
        <v>44563</v>
      </c>
    </row>
    <row r="290" spans="18:63">
      <c r="R290" s="106"/>
      <c r="BK290" s="95">
        <v>44568</v>
      </c>
    </row>
    <row r="291" spans="18:63">
      <c r="R291" s="106"/>
      <c r="BK291" s="95">
        <v>44580</v>
      </c>
    </row>
    <row r="292" spans="18:63">
      <c r="R292" s="106"/>
      <c r="BK292" s="95">
        <v>44623</v>
      </c>
    </row>
    <row r="293" spans="18:63">
      <c r="R293" s="106"/>
      <c r="BK293" s="95">
        <v>44628</v>
      </c>
    </row>
    <row r="294" spans="18:63">
      <c r="R294" s="106"/>
      <c r="BK294" s="95">
        <v>44660</v>
      </c>
    </row>
    <row r="295" spans="18:63">
      <c r="R295" s="106"/>
      <c r="BK295" s="95">
        <v>44673</v>
      </c>
    </row>
    <row r="296" spans="18:63">
      <c r="R296" s="106"/>
      <c r="BK296" s="95">
        <v>44676</v>
      </c>
    </row>
    <row r="297" spans="18:63">
      <c r="R297" s="106"/>
      <c r="BK297" s="95">
        <v>44690</v>
      </c>
    </row>
    <row r="298" spans="18:63">
      <c r="R298" s="106"/>
      <c r="BK298" s="95">
        <v>44693</v>
      </c>
    </row>
    <row r="299" spans="18:63">
      <c r="R299" s="106"/>
      <c r="BK299" s="95">
        <v>44707</v>
      </c>
    </row>
    <row r="300" spans="18:63">
      <c r="R300" s="106"/>
      <c r="BK300" s="95">
        <v>44801</v>
      </c>
    </row>
    <row r="301" spans="18:63">
      <c r="R301" s="106"/>
      <c r="BK301" s="95">
        <v>44848</v>
      </c>
    </row>
    <row r="302" spans="18:63">
      <c r="R302" s="106"/>
      <c r="BK302" s="95">
        <v>44888</v>
      </c>
    </row>
    <row r="303" spans="18:63">
      <c r="R303" s="106"/>
      <c r="BK303" s="95">
        <v>44927</v>
      </c>
    </row>
    <row r="304" spans="18:63">
      <c r="R304" s="106"/>
      <c r="BK304" s="95">
        <v>44928</v>
      </c>
    </row>
    <row r="305" spans="18:63">
      <c r="R305" s="106"/>
      <c r="BK305" s="95">
        <v>44933</v>
      </c>
    </row>
    <row r="306" spans="18:63">
      <c r="R306" s="106"/>
      <c r="BK306" s="95">
        <v>44945</v>
      </c>
    </row>
    <row r="307" spans="18:63">
      <c r="R307" s="106"/>
      <c r="BK307" s="95">
        <v>44988</v>
      </c>
    </row>
    <row r="308" spans="18:63">
      <c r="R308" s="106"/>
      <c r="BK308" s="95">
        <v>44993</v>
      </c>
    </row>
    <row r="309" spans="18:63">
      <c r="R309" s="106"/>
      <c r="BK309" s="95">
        <v>45025</v>
      </c>
    </row>
    <row r="310" spans="18:63">
      <c r="R310" s="106"/>
      <c r="BK310" s="95">
        <v>45030</v>
      </c>
    </row>
    <row r="311" spans="18:63">
      <c r="R311" s="106"/>
      <c r="BK311" s="95">
        <v>45033</v>
      </c>
    </row>
    <row r="312" spans="18:63">
      <c r="R312" s="106"/>
      <c r="BK312" s="95">
        <v>45055</v>
      </c>
    </row>
    <row r="313" spans="18:63">
      <c r="R313" s="106"/>
      <c r="BK313" s="95">
        <v>45058</v>
      </c>
    </row>
    <row r="314" spans="18:63">
      <c r="R314" s="106"/>
      <c r="BK314" s="95">
        <v>45072</v>
      </c>
    </row>
    <row r="315" spans="18:63">
      <c r="R315" s="106"/>
      <c r="BK315" s="95">
        <v>45166</v>
      </c>
    </row>
    <row r="316" spans="18:63">
      <c r="R316" s="106"/>
      <c r="BK316" s="95">
        <v>45213</v>
      </c>
    </row>
    <row r="317" spans="18:63">
      <c r="R317" s="106"/>
      <c r="BK317" s="95">
        <v>45253</v>
      </c>
    </row>
    <row r="318" spans="18:63">
      <c r="R318" s="106"/>
      <c r="BK318" s="95">
        <v>45292</v>
      </c>
    </row>
    <row r="319" spans="18:63">
      <c r="R319" s="106"/>
      <c r="BK319" s="95">
        <v>45293</v>
      </c>
    </row>
    <row r="320" spans="18:63">
      <c r="R320" s="106"/>
      <c r="BK320" s="95">
        <v>45298</v>
      </c>
    </row>
    <row r="321" spans="18:63">
      <c r="R321" s="106"/>
      <c r="BK321" s="95">
        <v>45310</v>
      </c>
    </row>
    <row r="322" spans="18:63">
      <c r="R322" s="106"/>
      <c r="BK322" s="95">
        <v>45354</v>
      </c>
    </row>
    <row r="323" spans="18:63">
      <c r="R323" s="106"/>
      <c r="BK323" s="95">
        <v>45359</v>
      </c>
    </row>
    <row r="324" spans="18:63">
      <c r="R324" s="106"/>
      <c r="BK324" s="95">
        <v>45391</v>
      </c>
    </row>
    <row r="325" spans="18:63">
      <c r="R325" s="106"/>
      <c r="BK325" s="95">
        <v>45415</v>
      </c>
    </row>
    <row r="326" spans="18:63">
      <c r="R326" s="106"/>
      <c r="BK326" s="95">
        <v>45418</v>
      </c>
    </row>
    <row r="327" spans="18:63">
      <c r="R327" s="106"/>
      <c r="BK327" s="95">
        <v>45421</v>
      </c>
    </row>
    <row r="328" spans="18:63">
      <c r="R328" s="106"/>
      <c r="BK328" s="95">
        <v>45424</v>
      </c>
    </row>
    <row r="329" spans="18:63">
      <c r="R329" s="106"/>
      <c r="BK329" s="95">
        <v>45438</v>
      </c>
    </row>
    <row r="330" spans="18:63">
      <c r="R330" s="106"/>
      <c r="BK330" s="95">
        <v>45532</v>
      </c>
    </row>
    <row r="331" spans="18:63">
      <c r="R331" s="106"/>
      <c r="BK331" s="95">
        <v>45579</v>
      </c>
    </row>
    <row r="332" spans="18:63">
      <c r="R332" s="106"/>
      <c r="BK332" s="95">
        <v>45619</v>
      </c>
    </row>
    <row r="333" spans="18:63">
      <c r="R333" s="106"/>
      <c r="BK333" s="95">
        <v>45658</v>
      </c>
    </row>
    <row r="334" spans="18:63">
      <c r="R334" s="106"/>
      <c r="BK334" s="95">
        <v>45659</v>
      </c>
    </row>
    <row r="335" spans="18:63">
      <c r="R335" s="106"/>
      <c r="BK335" s="95">
        <v>45664</v>
      </c>
    </row>
    <row r="336" spans="18:63">
      <c r="R336" s="106"/>
      <c r="BK336" s="95">
        <v>45676</v>
      </c>
    </row>
    <row r="337" spans="18:63">
      <c r="R337" s="106"/>
      <c r="BK337" s="95">
        <v>45719</v>
      </c>
    </row>
    <row r="338" spans="18:63">
      <c r="R338" s="106"/>
      <c r="BK338" s="95">
        <v>45724</v>
      </c>
    </row>
    <row r="339" spans="18:63">
      <c r="R339" s="106"/>
      <c r="BK339" s="95">
        <v>45756</v>
      </c>
    </row>
    <row r="340" spans="18:63">
      <c r="R340" s="106"/>
      <c r="BK340" s="95">
        <v>45765</v>
      </c>
    </row>
    <row r="341" spans="18:63">
      <c r="R341" s="106"/>
      <c r="BK341" s="95">
        <v>45768</v>
      </c>
    </row>
    <row r="342" spans="18:63">
      <c r="R342" s="106"/>
      <c r="BK342" s="95">
        <v>45786</v>
      </c>
    </row>
    <row r="343" spans="18:63">
      <c r="R343" s="106"/>
      <c r="BK343" s="95">
        <v>45789</v>
      </c>
    </row>
    <row r="344" spans="18:63">
      <c r="R344" s="106"/>
      <c r="BK344" s="95">
        <v>45803</v>
      </c>
    </row>
    <row r="345" spans="18:63">
      <c r="R345" s="106"/>
      <c r="BK345" s="95">
        <v>45897</v>
      </c>
    </row>
    <row r="346" spans="18:63">
      <c r="R346" s="106"/>
      <c r="BK346" s="95">
        <v>45944</v>
      </c>
    </row>
    <row r="347" spans="18:63">
      <c r="R347" s="106"/>
      <c r="BK347" s="95">
        <v>45984</v>
      </c>
    </row>
    <row r="348" spans="18:63">
      <c r="R348" s="106"/>
      <c r="BK348" s="95">
        <v>46023</v>
      </c>
    </row>
    <row r="349" spans="18:63">
      <c r="R349" s="106"/>
      <c r="BK349" s="95">
        <v>46024</v>
      </c>
    </row>
    <row r="350" spans="18:63">
      <c r="R350" s="106"/>
      <c r="BK350" s="95">
        <v>46029</v>
      </c>
    </row>
    <row r="351" spans="18:63">
      <c r="R351" s="106"/>
      <c r="BK351" s="95">
        <v>46041</v>
      </c>
    </row>
    <row r="352" spans="18:63">
      <c r="R352" s="106"/>
      <c r="BK352" s="95">
        <v>46084</v>
      </c>
    </row>
    <row r="353" spans="18:63">
      <c r="R353" s="106"/>
      <c r="BK353" s="95">
        <v>46089</v>
      </c>
    </row>
    <row r="354" spans="18:63">
      <c r="R354" s="106"/>
      <c r="BK354" s="95">
        <v>46121</v>
      </c>
    </row>
    <row r="355" spans="18:63">
      <c r="R355" s="106"/>
      <c r="BK355" s="95">
        <v>46122</v>
      </c>
    </row>
    <row r="356" spans="18:63">
      <c r="R356" s="106"/>
      <c r="BK356" s="95">
        <v>46125</v>
      </c>
    </row>
    <row r="357" spans="18:63">
      <c r="R357" s="106"/>
      <c r="BK357" s="95">
        <v>46151</v>
      </c>
    </row>
    <row r="358" spans="18:63">
      <c r="R358" s="106"/>
      <c r="BK358" s="95">
        <v>46154</v>
      </c>
    </row>
    <row r="359" spans="18:63">
      <c r="R359" s="106"/>
      <c r="BK359" s="95">
        <v>46168</v>
      </c>
    </row>
    <row r="360" spans="18:63">
      <c r="R360" s="106"/>
      <c r="BK360" s="95">
        <v>46262</v>
      </c>
    </row>
    <row r="361" spans="18:63">
      <c r="R361" s="106"/>
      <c r="BK361" s="95">
        <v>46309</v>
      </c>
    </row>
    <row r="362" spans="18:63">
      <c r="R362" s="106"/>
      <c r="BK362" s="95">
        <v>46349</v>
      </c>
    </row>
    <row r="363" spans="18:63">
      <c r="R363" s="106"/>
      <c r="BK363" s="95">
        <v>46388</v>
      </c>
    </row>
    <row r="364" spans="18:63">
      <c r="R364" s="106"/>
      <c r="BK364" s="95">
        <v>46389</v>
      </c>
    </row>
    <row r="365" spans="18:63">
      <c r="R365" s="106"/>
      <c r="BK365" s="95">
        <v>46394</v>
      </c>
    </row>
    <row r="366" spans="18:63">
      <c r="R366" s="106"/>
      <c r="BK366" s="95">
        <v>46406</v>
      </c>
    </row>
    <row r="367" spans="18:63">
      <c r="R367" s="106"/>
      <c r="BK367" s="95">
        <v>46449</v>
      </c>
    </row>
    <row r="368" spans="18:63">
      <c r="R368" s="106"/>
      <c r="BK368" s="95">
        <v>46454</v>
      </c>
    </row>
    <row r="369" spans="18:63">
      <c r="R369" s="106"/>
      <c r="BK369" s="95">
        <v>46486</v>
      </c>
    </row>
    <row r="370" spans="18:63">
      <c r="R370" s="106"/>
      <c r="BK370" s="95">
        <v>46507</v>
      </c>
    </row>
    <row r="371" spans="18:63">
      <c r="R371" s="106"/>
      <c r="BK371" s="95">
        <v>46510</v>
      </c>
    </row>
    <row r="372" spans="18:63">
      <c r="R372" s="106"/>
      <c r="BK372" s="95">
        <v>46516</v>
      </c>
    </row>
    <row r="373" spans="18:63">
      <c r="R373" s="106"/>
      <c r="BK373" s="95">
        <v>46519</v>
      </c>
    </row>
    <row r="374" spans="18:63">
      <c r="R374" s="106"/>
      <c r="BK374" s="95">
        <v>46533</v>
      </c>
    </row>
    <row r="375" spans="18:63">
      <c r="R375" s="106"/>
      <c r="BK375" s="95">
        <v>46627</v>
      </c>
    </row>
    <row r="376" spans="18:63">
      <c r="R376" s="106"/>
      <c r="BK376" s="95">
        <v>46674</v>
      </c>
    </row>
    <row r="377" spans="18:63">
      <c r="R377" s="106"/>
      <c r="BK377" s="95">
        <v>46714</v>
      </c>
    </row>
    <row r="378" spans="18:63">
      <c r="R378" s="106"/>
      <c r="BK378" s="95">
        <v>46753</v>
      </c>
    </row>
    <row r="379" spans="18:63">
      <c r="R379" s="106"/>
      <c r="BK379" s="95">
        <v>46754</v>
      </c>
    </row>
    <row r="380" spans="18:63">
      <c r="R380" s="106"/>
      <c r="BK380" s="95">
        <v>46759</v>
      </c>
    </row>
    <row r="381" spans="18:63">
      <c r="R381" s="106"/>
      <c r="BK381" s="95">
        <v>46771</v>
      </c>
    </row>
    <row r="382" spans="18:63">
      <c r="R382" s="106"/>
      <c r="BK382" s="95">
        <v>46815</v>
      </c>
    </row>
    <row r="383" spans="18:63">
      <c r="R383" s="106"/>
      <c r="BK383" s="95">
        <v>46820</v>
      </c>
    </row>
    <row r="384" spans="18:63">
      <c r="R384" s="106"/>
      <c r="BK384" s="95">
        <v>46852</v>
      </c>
    </row>
    <row r="385" spans="18:63">
      <c r="R385" s="106"/>
      <c r="BK385" s="95">
        <v>46857</v>
      </c>
    </row>
    <row r="386" spans="18:63">
      <c r="R386" s="106"/>
      <c r="BK386" s="95">
        <v>46860</v>
      </c>
    </row>
    <row r="387" spans="18:63">
      <c r="R387" s="106"/>
      <c r="BK387" s="95">
        <v>46882</v>
      </c>
    </row>
    <row r="388" spans="18:63">
      <c r="R388" s="106"/>
      <c r="BK388" s="95">
        <v>46885</v>
      </c>
    </row>
    <row r="389" spans="18:63">
      <c r="R389" s="106"/>
      <c r="BK389" s="95">
        <v>46899</v>
      </c>
    </row>
    <row r="390" spans="18:63">
      <c r="R390" s="106"/>
      <c r="BK390" s="95">
        <v>46993</v>
      </c>
    </row>
    <row r="391" spans="18:63">
      <c r="R391" s="106"/>
      <c r="BK391" s="95">
        <v>47040</v>
      </c>
    </row>
    <row r="392" spans="18:63">
      <c r="R392" s="106"/>
      <c r="BK392" s="95">
        <v>47080</v>
      </c>
    </row>
    <row r="393" spans="18:63">
      <c r="R393" s="106"/>
      <c r="BK393" s="95">
        <v>47119</v>
      </c>
    </row>
    <row r="394" spans="18:63">
      <c r="R394" s="106"/>
      <c r="BK394" s="95">
        <v>47120</v>
      </c>
    </row>
    <row r="395" spans="18:63">
      <c r="R395" s="106"/>
      <c r="BK395" s="95">
        <v>47125</v>
      </c>
    </row>
    <row r="396" spans="18:63">
      <c r="R396" s="106"/>
      <c r="BK396" s="95">
        <v>47137</v>
      </c>
    </row>
    <row r="397" spans="18:63">
      <c r="R397" s="106"/>
      <c r="BK397" s="95">
        <v>47180</v>
      </c>
    </row>
    <row r="398" spans="18:63">
      <c r="R398" s="106"/>
      <c r="BK398" s="95">
        <v>47185</v>
      </c>
    </row>
    <row r="399" spans="18:63">
      <c r="R399" s="106"/>
      <c r="BK399" s="95">
        <v>47214</v>
      </c>
    </row>
    <row r="400" spans="18:63">
      <c r="R400" s="106"/>
      <c r="BK400" s="95">
        <v>47217</v>
      </c>
    </row>
    <row r="401" spans="18:63">
      <c r="R401" s="106"/>
      <c r="BK401" s="95">
        <v>47247</v>
      </c>
    </row>
    <row r="402" spans="18:63">
      <c r="R402" s="106"/>
      <c r="BK402" s="95">
        <v>47250</v>
      </c>
    </row>
    <row r="403" spans="18:63">
      <c r="R403" s="106"/>
      <c r="BK403" s="95">
        <v>47264</v>
      </c>
    </row>
    <row r="404" spans="18:63">
      <c r="R404" s="106"/>
      <c r="BK404" s="95">
        <v>47358</v>
      </c>
    </row>
    <row r="405" spans="18:63">
      <c r="R405" s="106"/>
      <c r="BK405" s="95">
        <v>47405</v>
      </c>
    </row>
    <row r="406" spans="18:63">
      <c r="R406" s="106"/>
      <c r="BK406" s="95">
        <v>47445</v>
      </c>
    </row>
    <row r="407" spans="18:63">
      <c r="R407" s="106"/>
      <c r="BK407" s="95">
        <v>47484</v>
      </c>
    </row>
    <row r="408" spans="18:63">
      <c r="R408" s="106"/>
      <c r="BK408" s="95">
        <v>47485</v>
      </c>
    </row>
    <row r="409" spans="18:63">
      <c r="R409" s="106"/>
      <c r="BK409" s="95">
        <v>47490</v>
      </c>
    </row>
    <row r="410" spans="18:63">
      <c r="R410" s="106"/>
      <c r="BK410" s="95">
        <v>47502</v>
      </c>
    </row>
    <row r="411" spans="18:63">
      <c r="R411" s="106"/>
      <c r="BK411" s="95">
        <v>47545</v>
      </c>
    </row>
    <row r="412" spans="18:63">
      <c r="R412" s="106"/>
      <c r="BK412" s="95">
        <v>47550</v>
      </c>
    </row>
    <row r="413" spans="18:63">
      <c r="R413" s="106"/>
      <c r="BK413" s="95">
        <v>47582</v>
      </c>
    </row>
    <row r="414" spans="18:63">
      <c r="R414" s="106"/>
      <c r="BK414" s="95">
        <v>47599</v>
      </c>
    </row>
    <row r="415" spans="18:63">
      <c r="R415" s="106"/>
      <c r="BK415" s="95">
        <v>47602</v>
      </c>
    </row>
    <row r="416" spans="18:63">
      <c r="R416" s="106"/>
      <c r="BK416" s="95">
        <v>47612</v>
      </c>
    </row>
    <row r="417" spans="18:63">
      <c r="R417" s="106"/>
      <c r="BK417" s="95">
        <v>47615</v>
      </c>
    </row>
    <row r="418" spans="18:63">
      <c r="R418" s="106"/>
      <c r="BK418" s="95">
        <v>47629</v>
      </c>
    </row>
    <row r="419" spans="18:63">
      <c r="R419" s="106"/>
      <c r="BK419" s="95">
        <v>47723</v>
      </c>
    </row>
    <row r="420" spans="18:63">
      <c r="R420" s="106"/>
      <c r="BK420" s="95">
        <v>47770</v>
      </c>
    </row>
    <row r="421" spans="18:63">
      <c r="R421" s="106"/>
      <c r="BK421" s="95">
        <v>47810</v>
      </c>
    </row>
    <row r="422" spans="18:63">
      <c r="R422" s="106"/>
      <c r="BK422" s="95">
        <v>47849</v>
      </c>
    </row>
    <row r="423" spans="18:63">
      <c r="R423" s="106"/>
      <c r="BK423" s="95">
        <v>47850</v>
      </c>
    </row>
    <row r="424" spans="18:63">
      <c r="R424" s="106"/>
      <c r="BK424" s="95">
        <v>47855</v>
      </c>
    </row>
    <row r="425" spans="18:63">
      <c r="R425" s="106"/>
      <c r="BK425" s="95">
        <v>47867</v>
      </c>
    </row>
    <row r="426" spans="18:63">
      <c r="R426" s="106"/>
      <c r="BK426" s="95">
        <v>47910</v>
      </c>
    </row>
    <row r="427" spans="18:63">
      <c r="R427" s="106"/>
      <c r="BK427" s="95">
        <v>47915</v>
      </c>
    </row>
    <row r="428" spans="18:63">
      <c r="R428" s="106"/>
      <c r="BK428" s="95">
        <v>47947</v>
      </c>
    </row>
    <row r="429" spans="18:63">
      <c r="R429" s="106"/>
      <c r="BK429" s="95">
        <v>47949</v>
      </c>
    </row>
    <row r="430" spans="18:63">
      <c r="R430" s="106"/>
      <c r="BK430" s="95">
        <v>47952</v>
      </c>
    </row>
    <row r="431" spans="18:63">
      <c r="R431" s="106"/>
      <c r="BK431" s="95">
        <v>47977</v>
      </c>
    </row>
    <row r="432" spans="18:63">
      <c r="R432" s="106"/>
      <c r="BK432" s="95">
        <v>47980</v>
      </c>
    </row>
    <row r="433" spans="18:63">
      <c r="R433" s="106"/>
      <c r="BK433" s="95">
        <v>47994</v>
      </c>
    </row>
    <row r="434" spans="18:63">
      <c r="R434" s="106"/>
      <c r="BK434" s="95">
        <v>48088</v>
      </c>
    </row>
    <row r="435" spans="18:63">
      <c r="R435" s="106"/>
      <c r="BK435" s="95">
        <v>48135</v>
      </c>
    </row>
    <row r="436" spans="18:63">
      <c r="R436" s="106"/>
      <c r="BK436" s="95">
        <v>48175</v>
      </c>
    </row>
    <row r="437" spans="18:63">
      <c r="R437" s="106"/>
      <c r="BK437" s="95">
        <v>48214</v>
      </c>
    </row>
    <row r="438" spans="18:63">
      <c r="R438" s="106"/>
      <c r="BK438" s="95">
        <v>48215</v>
      </c>
    </row>
    <row r="439" spans="18:63">
      <c r="R439" s="106"/>
      <c r="BK439" s="95">
        <v>48220</v>
      </c>
    </row>
    <row r="440" spans="18:63">
      <c r="R440" s="106"/>
      <c r="BK440" s="95">
        <v>48232</v>
      </c>
    </row>
    <row r="441" spans="18:63">
      <c r="R441" s="106"/>
      <c r="BK441" s="95">
        <v>48276</v>
      </c>
    </row>
    <row r="442" spans="18:63">
      <c r="R442" s="106"/>
      <c r="BK442" s="95">
        <v>48281</v>
      </c>
    </row>
    <row r="443" spans="18:63">
      <c r="R443" s="106"/>
      <c r="BK443" s="95">
        <v>48313</v>
      </c>
    </row>
    <row r="444" spans="18:63">
      <c r="R444" s="106"/>
      <c r="BK444" s="95">
        <v>48334</v>
      </c>
    </row>
    <row r="445" spans="18:63">
      <c r="R445" s="106"/>
      <c r="BK445" s="95">
        <v>48337</v>
      </c>
    </row>
    <row r="446" spans="18:63">
      <c r="R446" s="106"/>
      <c r="BK446" s="95">
        <v>48343</v>
      </c>
    </row>
    <row r="447" spans="18:63">
      <c r="R447" s="106"/>
      <c r="BK447" s="95">
        <v>48346</v>
      </c>
    </row>
    <row r="448" spans="18:63">
      <c r="R448" s="106"/>
      <c r="BK448" s="95">
        <v>48360</v>
      </c>
    </row>
    <row r="449" spans="18:63">
      <c r="R449" s="106"/>
      <c r="BK449" s="95">
        <v>48454</v>
      </c>
    </row>
    <row r="450" spans="18:63">
      <c r="R450" s="106"/>
      <c r="BK450" s="95">
        <v>48501</v>
      </c>
    </row>
    <row r="451" spans="18:63">
      <c r="R451" s="106"/>
      <c r="BK451" s="95">
        <v>48541</v>
      </c>
    </row>
    <row r="452" spans="18:63">
      <c r="R452" s="106"/>
      <c r="BK452" s="95">
        <v>48580</v>
      </c>
    </row>
    <row r="453" spans="18:63">
      <c r="R453" s="106"/>
      <c r="BK453" s="95">
        <v>48581</v>
      </c>
    </row>
    <row r="454" spans="18:63">
      <c r="R454" s="106"/>
      <c r="BK454" s="95">
        <v>48586</v>
      </c>
    </row>
    <row r="455" spans="18:63">
      <c r="R455" s="106"/>
      <c r="BK455" s="95">
        <v>48598</v>
      </c>
    </row>
    <row r="456" spans="18:63">
      <c r="R456" s="106"/>
      <c r="BK456" s="95">
        <v>48641</v>
      </c>
    </row>
    <row r="457" spans="18:63">
      <c r="R457" s="106"/>
      <c r="BK457" s="95">
        <v>48646</v>
      </c>
    </row>
    <row r="458" spans="18:63">
      <c r="R458" s="106"/>
      <c r="BK458" s="95">
        <v>48678</v>
      </c>
    </row>
    <row r="459" spans="18:63">
      <c r="R459" s="106"/>
      <c r="BK459" s="95">
        <v>48691</v>
      </c>
    </row>
    <row r="460" spans="18:63">
      <c r="R460" s="106"/>
      <c r="BK460" s="95">
        <v>48694</v>
      </c>
    </row>
    <row r="461" spans="18:63">
      <c r="R461" s="106"/>
      <c r="BK461" s="95">
        <v>48708</v>
      </c>
    </row>
    <row r="462" spans="18:63">
      <c r="R462" s="106"/>
      <c r="BK462" s="95">
        <v>48711</v>
      </c>
    </row>
    <row r="463" spans="18:63">
      <c r="R463" s="106"/>
      <c r="BK463" s="95">
        <v>48725</v>
      </c>
    </row>
    <row r="464" spans="18:63">
      <c r="R464" s="106"/>
      <c r="BK464" s="95">
        <v>48819</v>
      </c>
    </row>
    <row r="465" spans="18:63">
      <c r="R465" s="106"/>
      <c r="BK465" s="95">
        <v>48866</v>
      </c>
    </row>
    <row r="466" spans="18:63">
      <c r="R466" s="106"/>
      <c r="BK466" s="95">
        <v>48906</v>
      </c>
    </row>
    <row r="467" spans="18:63">
      <c r="R467" s="106"/>
      <c r="BK467" s="95">
        <v>48945</v>
      </c>
    </row>
    <row r="468" spans="18:63">
      <c r="R468" s="106"/>
      <c r="BK468" s="95">
        <v>48946</v>
      </c>
    </row>
    <row r="469" spans="18:63">
      <c r="R469" s="106"/>
      <c r="BK469" s="95">
        <v>48951</v>
      </c>
    </row>
    <row r="470" spans="18:63">
      <c r="R470" s="106"/>
      <c r="BK470" s="95">
        <v>48963</v>
      </c>
    </row>
    <row r="471" spans="18:63">
      <c r="R471" s="106"/>
      <c r="BK471" s="95">
        <v>49006</v>
      </c>
    </row>
    <row r="472" spans="18:63">
      <c r="R472" s="106"/>
      <c r="BK472" s="95">
        <v>49011</v>
      </c>
    </row>
    <row r="473" spans="18:63">
      <c r="R473" s="106"/>
      <c r="BK473" s="95">
        <v>49041</v>
      </c>
    </row>
    <row r="474" spans="18:63">
      <c r="R474" s="106"/>
      <c r="BK474" s="95">
        <v>49043</v>
      </c>
    </row>
    <row r="475" spans="18:63">
      <c r="R475" s="106"/>
      <c r="BK475" s="95">
        <v>49044</v>
      </c>
    </row>
    <row r="476" spans="18:63">
      <c r="R476" s="106"/>
      <c r="BK476" s="95">
        <v>49073</v>
      </c>
    </row>
    <row r="477" spans="18:63">
      <c r="R477" s="106"/>
      <c r="BK477" s="95">
        <v>49076</v>
      </c>
    </row>
    <row r="478" spans="18:63">
      <c r="R478" s="106"/>
      <c r="BK478" s="95">
        <v>49090</v>
      </c>
    </row>
    <row r="479" spans="18:63">
      <c r="R479" s="106"/>
      <c r="BK479" s="95">
        <v>49184</v>
      </c>
    </row>
    <row r="480" spans="18:63">
      <c r="R480" s="106"/>
      <c r="BK480" s="95">
        <v>49231</v>
      </c>
    </row>
    <row r="481" spans="18:63">
      <c r="R481" s="106"/>
      <c r="BK481" s="95">
        <v>49271</v>
      </c>
    </row>
    <row r="482" spans="18:63">
      <c r="R482" s="106"/>
      <c r="BK482" s="95">
        <v>49310</v>
      </c>
    </row>
    <row r="483" spans="18:63">
      <c r="R483" s="106"/>
      <c r="BK483" s="95">
        <v>49311</v>
      </c>
    </row>
    <row r="484" spans="18:63">
      <c r="R484" s="106"/>
      <c r="BK484" s="95">
        <v>49316</v>
      </c>
    </row>
    <row r="485" spans="18:63">
      <c r="R485" s="106"/>
      <c r="BK485" s="95">
        <v>49328</v>
      </c>
    </row>
    <row r="486" spans="18:63">
      <c r="R486" s="106"/>
      <c r="BK486" s="95">
        <v>49371</v>
      </c>
    </row>
    <row r="487" spans="18:63">
      <c r="R487" s="106"/>
      <c r="BK487" s="95">
        <v>49376</v>
      </c>
    </row>
    <row r="488" spans="18:63">
      <c r="R488" s="106"/>
      <c r="BK488" s="95">
        <v>49408</v>
      </c>
    </row>
    <row r="489" spans="18:63">
      <c r="R489" s="106"/>
      <c r="BK489" s="95">
        <v>49426</v>
      </c>
    </row>
    <row r="490" spans="18:63">
      <c r="R490" s="106"/>
      <c r="BK490" s="95">
        <v>49429</v>
      </c>
    </row>
    <row r="491" spans="18:63">
      <c r="R491" s="106"/>
      <c r="BK491" s="95">
        <v>49438</v>
      </c>
    </row>
    <row r="492" spans="18:63">
      <c r="R492" s="106"/>
      <c r="BK492" s="95">
        <v>49441</v>
      </c>
    </row>
    <row r="493" spans="18:63">
      <c r="R493" s="106"/>
      <c r="BK493" s="95">
        <v>49455</v>
      </c>
    </row>
    <row r="494" spans="18:63">
      <c r="R494" s="106"/>
      <c r="BK494" s="95">
        <v>49549</v>
      </c>
    </row>
    <row r="495" spans="18:63">
      <c r="R495" s="106"/>
      <c r="BK495" s="95">
        <v>49596</v>
      </c>
    </row>
    <row r="496" spans="18:63">
      <c r="R496" s="106"/>
      <c r="BK496" s="95">
        <v>49636</v>
      </c>
    </row>
    <row r="497" spans="18:63">
      <c r="R497" s="106"/>
      <c r="BK497" s="95">
        <v>49675</v>
      </c>
    </row>
    <row r="498" spans="18:63">
      <c r="R498" s="106"/>
      <c r="BK498" s="95">
        <v>49676</v>
      </c>
    </row>
    <row r="499" spans="18:63">
      <c r="R499" s="106"/>
      <c r="BK499" s="95">
        <v>49681</v>
      </c>
    </row>
    <row r="500" spans="18:63">
      <c r="R500" s="106"/>
      <c r="BK500" s="95">
        <v>49693</v>
      </c>
    </row>
    <row r="501" spans="18:63">
      <c r="R501" s="106"/>
      <c r="BK501" s="95">
        <v>49737</v>
      </c>
    </row>
    <row r="502" spans="18:63">
      <c r="R502" s="106"/>
      <c r="BK502" s="95">
        <v>49742</v>
      </c>
    </row>
    <row r="503" spans="18:63">
      <c r="R503" s="106"/>
      <c r="BK503" s="95">
        <v>49774</v>
      </c>
    </row>
    <row r="504" spans="18:63">
      <c r="R504" s="106"/>
      <c r="BK504" s="95">
        <v>49783</v>
      </c>
    </row>
    <row r="505" spans="18:63">
      <c r="R505" s="106"/>
      <c r="BK505" s="95">
        <v>49786</v>
      </c>
    </row>
    <row r="506" spans="18:63">
      <c r="R506" s="106"/>
      <c r="BK506" s="95">
        <v>49804</v>
      </c>
    </row>
    <row r="507" spans="18:63">
      <c r="R507" s="106"/>
      <c r="BK507" s="95">
        <v>49807</v>
      </c>
    </row>
    <row r="508" spans="18:63">
      <c r="R508" s="106"/>
      <c r="BK508" s="95">
        <v>49821</v>
      </c>
    </row>
    <row r="509" spans="18:63">
      <c r="R509" s="106"/>
      <c r="BK509" s="95">
        <v>49915</v>
      </c>
    </row>
    <row r="510" spans="18:63">
      <c r="R510" s="106"/>
      <c r="BK510" s="95">
        <v>49962</v>
      </c>
    </row>
    <row r="511" spans="18:63">
      <c r="R511" s="106"/>
      <c r="BK511" s="95">
        <v>50002</v>
      </c>
    </row>
    <row r="512" spans="18:63">
      <c r="R512" s="106"/>
      <c r="BK512" s="95">
        <v>50041</v>
      </c>
    </row>
    <row r="513" spans="18:63">
      <c r="R513" s="106"/>
      <c r="BK513" s="95">
        <v>50042</v>
      </c>
    </row>
    <row r="514" spans="18:63">
      <c r="R514" s="106"/>
      <c r="BK514" s="95">
        <v>50047</v>
      </c>
    </row>
    <row r="515" spans="18:63">
      <c r="R515" s="106"/>
      <c r="BK515" s="95">
        <v>50059</v>
      </c>
    </row>
    <row r="516" spans="18:63">
      <c r="R516" s="106"/>
      <c r="BK516" s="95">
        <v>50102</v>
      </c>
    </row>
    <row r="517" spans="18:63">
      <c r="R517" s="106"/>
      <c r="BK517" s="95">
        <v>50107</v>
      </c>
    </row>
    <row r="518" spans="18:63">
      <c r="R518" s="106"/>
      <c r="BK518" s="95">
        <v>50133</v>
      </c>
    </row>
    <row r="519" spans="18:63">
      <c r="R519" s="106"/>
      <c r="BK519" s="95">
        <v>50136</v>
      </c>
    </row>
    <row r="520" spans="18:63">
      <c r="R520" s="106"/>
      <c r="BK520" s="95">
        <v>50139</v>
      </c>
    </row>
    <row r="521" spans="18:63">
      <c r="R521" s="106"/>
      <c r="BK521" s="95">
        <v>50169</v>
      </c>
    </row>
    <row r="522" spans="18:63">
      <c r="R522" s="106"/>
      <c r="BK522" s="95">
        <v>50172</v>
      </c>
    </row>
    <row r="523" spans="18:63">
      <c r="R523" s="106"/>
      <c r="BK523" s="95">
        <v>50186</v>
      </c>
    </row>
    <row r="524" spans="18:63">
      <c r="R524" s="106"/>
      <c r="BK524" s="95">
        <v>50280</v>
      </c>
    </row>
    <row r="525" spans="18:63">
      <c r="R525" s="106"/>
      <c r="BK525" s="95">
        <v>50327</v>
      </c>
    </row>
    <row r="526" spans="18:63">
      <c r="R526" s="106"/>
      <c r="BK526" s="95">
        <v>50367</v>
      </c>
    </row>
    <row r="527" spans="18:63">
      <c r="R527" s="106"/>
      <c r="BK527" s="95">
        <v>50406</v>
      </c>
    </row>
    <row r="528" spans="18:63">
      <c r="R528" s="106"/>
      <c r="BK528" s="95">
        <v>50407</v>
      </c>
    </row>
    <row r="529" spans="18:63">
      <c r="R529" s="106"/>
      <c r="BK529" s="95">
        <v>50412</v>
      </c>
    </row>
    <row r="530" spans="18:63">
      <c r="R530" s="106"/>
      <c r="BK530" s="95">
        <v>50424</v>
      </c>
    </row>
    <row r="531" spans="18:63">
      <c r="R531" s="106"/>
      <c r="BK531" s="95">
        <v>50467</v>
      </c>
    </row>
    <row r="532" spans="18:63">
      <c r="R532" s="106"/>
      <c r="BK532" s="95">
        <v>50472</v>
      </c>
    </row>
    <row r="533" spans="18:63">
      <c r="R533" s="106"/>
      <c r="BK533" s="95">
        <v>50504</v>
      </c>
    </row>
    <row r="534" spans="18:63">
      <c r="R534" s="106"/>
      <c r="BK534" s="95">
        <v>50518</v>
      </c>
    </row>
    <row r="535" spans="18:63">
      <c r="R535" s="106"/>
      <c r="BK535" s="95">
        <v>50521</v>
      </c>
    </row>
    <row r="536" spans="18:63">
      <c r="R536" s="106"/>
      <c r="BK536" s="95">
        <v>50534</v>
      </c>
    </row>
    <row r="537" spans="18:63">
      <c r="R537" s="106"/>
      <c r="BK537" s="95">
        <v>50537</v>
      </c>
    </row>
    <row r="538" spans="18:63">
      <c r="R538" s="106"/>
      <c r="BK538" s="95">
        <v>50551</v>
      </c>
    </row>
    <row r="539" spans="18:63">
      <c r="R539" s="106"/>
      <c r="BK539" s="95">
        <v>50645</v>
      </c>
    </row>
    <row r="540" spans="18:63">
      <c r="R540" s="106"/>
      <c r="BK540" s="95">
        <v>50692</v>
      </c>
    </row>
    <row r="541" spans="18:63">
      <c r="R541" s="106"/>
      <c r="BK541" s="95">
        <v>50732</v>
      </c>
    </row>
    <row r="542" spans="18:63">
      <c r="R542" s="106"/>
      <c r="BK542" s="95">
        <v>50771</v>
      </c>
    </row>
    <row r="543" spans="18:63">
      <c r="R543" s="106"/>
      <c r="BK543" s="95">
        <v>50772</v>
      </c>
    </row>
    <row r="544" spans="18:63">
      <c r="R544" s="106"/>
      <c r="BK544" s="95">
        <v>50777</v>
      </c>
    </row>
    <row r="545" spans="18:63">
      <c r="R545" s="106"/>
      <c r="BK545" s="95">
        <v>50789</v>
      </c>
    </row>
    <row r="546" spans="18:63">
      <c r="R546" s="106"/>
      <c r="BK546" s="95">
        <v>50832</v>
      </c>
    </row>
    <row r="547" spans="18:63">
      <c r="R547" s="106"/>
      <c r="BK547" s="95">
        <v>50837</v>
      </c>
    </row>
    <row r="548" spans="18:63">
      <c r="R548" s="106"/>
      <c r="BK548" s="95">
        <v>50869</v>
      </c>
    </row>
    <row r="549" spans="18:63">
      <c r="R549" s="106"/>
      <c r="BK549" s="95">
        <v>50875</v>
      </c>
    </row>
    <row r="550" spans="18:63">
      <c r="R550" s="106"/>
      <c r="BK550" s="95">
        <v>50878</v>
      </c>
    </row>
    <row r="551" spans="18:63">
      <c r="R551" s="106"/>
      <c r="BK551" s="95">
        <v>50899</v>
      </c>
    </row>
    <row r="552" spans="18:63">
      <c r="R552" s="106"/>
      <c r="BK552" s="95">
        <v>50902</v>
      </c>
    </row>
    <row r="553" spans="18:63">
      <c r="R553" s="106"/>
      <c r="BK553" s="95">
        <v>50916</v>
      </c>
    </row>
    <row r="554" spans="18:63">
      <c r="R554" s="106"/>
      <c r="BK554" s="95">
        <v>51010</v>
      </c>
    </row>
    <row r="555" spans="18:63">
      <c r="R555" s="106"/>
      <c r="BK555" s="95">
        <v>51057</v>
      </c>
    </row>
    <row r="556" spans="18:63">
      <c r="R556" s="106"/>
      <c r="BK556" s="95">
        <v>51097</v>
      </c>
    </row>
    <row r="557" spans="18:63">
      <c r="R557" s="106"/>
      <c r="BK557" s="95">
        <v>51136</v>
      </c>
    </row>
    <row r="558" spans="18:63">
      <c r="R558" s="106"/>
      <c r="BK558" s="95">
        <v>51137</v>
      </c>
    </row>
    <row r="559" spans="18:63">
      <c r="R559" s="106"/>
      <c r="BK559" s="95">
        <v>51142</v>
      </c>
    </row>
    <row r="560" spans="18:63">
      <c r="R560" s="106"/>
      <c r="BK560" s="95">
        <v>51154</v>
      </c>
    </row>
    <row r="561" spans="18:63">
      <c r="R561" s="106"/>
      <c r="BK561" s="95">
        <v>51198</v>
      </c>
    </row>
    <row r="562" spans="18:63">
      <c r="R562" s="106"/>
      <c r="BK562" s="95">
        <v>51203</v>
      </c>
    </row>
    <row r="563" spans="18:63">
      <c r="R563" s="106"/>
      <c r="BK563" s="95">
        <v>51235</v>
      </c>
    </row>
    <row r="564" spans="18:63">
      <c r="R564" s="106"/>
      <c r="BK564" s="95">
        <v>51260</v>
      </c>
    </row>
    <row r="565" spans="18:63">
      <c r="R565" s="106"/>
      <c r="BK565" s="95">
        <v>51263</v>
      </c>
    </row>
    <row r="566" spans="18:63">
      <c r="R566" s="106"/>
      <c r="BK566" s="95">
        <v>51265</v>
      </c>
    </row>
    <row r="567" spans="18:63">
      <c r="R567" s="106"/>
      <c r="BK567" s="95">
        <v>51268</v>
      </c>
    </row>
    <row r="568" spans="18:63">
      <c r="R568" s="106"/>
      <c r="BK568" s="95">
        <v>51282</v>
      </c>
    </row>
    <row r="569" spans="18:63">
      <c r="R569" s="106"/>
      <c r="BK569" s="95">
        <v>51376</v>
      </c>
    </row>
    <row r="570" spans="18:63">
      <c r="R570" s="106"/>
      <c r="BK570" s="95">
        <v>51423</v>
      </c>
    </row>
    <row r="571" spans="18:63">
      <c r="R571" s="106"/>
      <c r="BK571" s="95">
        <v>51463</v>
      </c>
    </row>
    <row r="572" spans="18:63">
      <c r="R572" s="106"/>
    </row>
    <row r="573" spans="18:63">
      <c r="R573" s="106"/>
    </row>
    <row r="574" spans="18:63">
      <c r="R574" s="106"/>
    </row>
    <row r="575" spans="18:63">
      <c r="R575" s="106"/>
    </row>
    <row r="576" spans="18:63">
      <c r="R576" s="106"/>
    </row>
    <row r="577" spans="18:18">
      <c r="R577" s="106"/>
    </row>
    <row r="578" spans="18:18">
      <c r="R578" s="106"/>
    </row>
    <row r="579" spans="18:18">
      <c r="R579" s="106"/>
    </row>
    <row r="580" spans="18:18">
      <c r="R580" s="106"/>
    </row>
    <row r="581" spans="18:18">
      <c r="R581" s="106"/>
    </row>
    <row r="582" spans="18:18">
      <c r="R582" s="106"/>
    </row>
    <row r="583" spans="18:18">
      <c r="R583" s="106"/>
    </row>
    <row r="584" spans="18:18">
      <c r="R584" s="106"/>
    </row>
    <row r="585" spans="18:18">
      <c r="R585" s="106"/>
    </row>
    <row r="586" spans="18:18">
      <c r="R586" s="106"/>
    </row>
  </sheetData>
  <sheetProtection algorithmName="SHA-512" hashValue="/fb5HFEmiqEoA+4RPwHJ0295mrhTB8HjLxJ4z63aq3WUqyJV75L9zGt2JbK38etM8juePN9dr32xDaBESixX6w==" saltValue="0nXollzg/Xae928rISZkmA==" spinCount="100000" sheet="1" objects="1" scenarios="1"/>
  <mergeCells count="9">
    <mergeCell ref="J46:J48"/>
    <mergeCell ref="F52:G52"/>
    <mergeCell ref="BW79:CE79"/>
    <mergeCell ref="F10:H10"/>
    <mergeCell ref="J10:J28"/>
    <mergeCell ref="G12:H12"/>
    <mergeCell ref="O28:Q28"/>
    <mergeCell ref="Q30:R30"/>
    <mergeCell ref="F36:G36"/>
  </mergeCells>
  <conditionalFormatting sqref="BK212:BL228 BK80:BK211 BK229:BK571">
    <cfRule type="cellIs" dxfId="159" priority="68" stopIfTrue="1" operator="notEqual">
      <formula>""</formula>
    </cfRule>
  </conditionalFormatting>
  <conditionalFormatting sqref="BM80:BM91">
    <cfRule type="cellIs" dxfId="158" priority="67" stopIfTrue="1" operator="notEqual">
      <formula>""</formula>
    </cfRule>
  </conditionalFormatting>
  <conditionalFormatting sqref="B18">
    <cfRule type="expression" dxfId="157" priority="66">
      <formula>$H$16="GEL"</formula>
    </cfRule>
  </conditionalFormatting>
  <conditionalFormatting sqref="H18">
    <cfRule type="expression" dxfId="156" priority="65">
      <formula>$H$16="GEL"</formula>
    </cfRule>
  </conditionalFormatting>
  <conditionalFormatting sqref="B7">
    <cfRule type="expression" dxfId="155" priority="64">
      <formula>$F$10&lt;&gt;"ბიზნეს ოვერდრაფტი"</formula>
    </cfRule>
  </conditionalFormatting>
  <conditionalFormatting sqref="L7">
    <cfRule type="expression" dxfId="154" priority="63">
      <formula>$F$10&lt;&gt;"ბიზნეს ოვერდრაფტი"</formula>
    </cfRule>
  </conditionalFormatting>
  <conditionalFormatting sqref="H7">
    <cfRule type="expression" dxfId="153" priority="62">
      <formula>$F$10&lt;&gt;"ბიზნეს ოვერდრაფტი"</formula>
    </cfRule>
  </conditionalFormatting>
  <conditionalFormatting sqref="R7">
    <cfRule type="expression" dxfId="152" priority="61">
      <formula>$F$10&lt;&gt;"ბიზნეს ოვერდრაფტი"</formula>
    </cfRule>
  </conditionalFormatting>
  <conditionalFormatting sqref="L22 R22 L24 R24">
    <cfRule type="expression" dxfId="151" priority="60">
      <formula>$F$10&lt;&gt;"ბიზნეს ოვერდრაფტი"</formula>
    </cfRule>
  </conditionalFormatting>
  <conditionalFormatting sqref="R22 R24">
    <cfRule type="expression" dxfId="150" priority="59">
      <formula>$F$10&lt;&gt;"ბიზნეს ოვერდრაფტი"</formula>
    </cfRule>
  </conditionalFormatting>
  <conditionalFormatting sqref="H36">
    <cfRule type="expression" dxfId="149" priority="58">
      <formula>$F$36="თვის ბოლო"</formula>
    </cfRule>
  </conditionalFormatting>
  <conditionalFormatting sqref="C201:C212">
    <cfRule type="expression" dxfId="148" priority="57">
      <formula>C201=0</formula>
    </cfRule>
  </conditionalFormatting>
  <conditionalFormatting sqref="L3 L7">
    <cfRule type="expression" dxfId="147" priority="56">
      <formula>$H$16="GEL"</formula>
    </cfRule>
  </conditionalFormatting>
  <conditionalFormatting sqref="R3 R7">
    <cfRule type="expression" dxfId="146" priority="55">
      <formula>$H$16="GEL"</formula>
    </cfRule>
  </conditionalFormatting>
  <conditionalFormatting sqref="J79:J200">
    <cfRule type="expression" dxfId="145" priority="53">
      <formula>B79=""</formula>
    </cfRule>
    <cfRule type="expression" dxfId="144" priority="54">
      <formula>OR($F$10="ანუიტეტური",$F$10="საშეღავათო",$F$10="ნულოვანი საშეღავათო",$F$10="სამომხმარებლო",$F$10="ბიზნეს ოვერდრაფტი",$F$10="დეპოზიტით უზრუნველყოფილი")</formula>
    </cfRule>
  </conditionalFormatting>
  <conditionalFormatting sqref="C81:C200">
    <cfRule type="expression" dxfId="143" priority="15">
      <formula>B81=""</formula>
    </cfRule>
  </conditionalFormatting>
  <conditionalFormatting sqref="H20">
    <cfRule type="expression" dxfId="142" priority="51">
      <formula>$F$10="დეპოზიტით უზრუნველყოფილი"</formula>
    </cfRule>
  </conditionalFormatting>
  <conditionalFormatting sqref="G20">
    <cfRule type="expression" dxfId="141" priority="50">
      <formula>$F$10&lt;&gt;"დეპოზიტით უზრუნველყოფილი"</formula>
    </cfRule>
  </conditionalFormatting>
  <conditionalFormatting sqref="F32:H32 F34:H34 B36 F36:H36 L10 R10 L12 R12 L14 R14 L16 P16 R16 L18 L20 R18 P18 R20">
    <cfRule type="expression" dxfId="140" priority="49">
      <formula>$F$10="დეპოზიტით უზრუნველყოფილი"</formula>
    </cfRule>
  </conditionalFormatting>
  <conditionalFormatting sqref="G12:H12">
    <cfRule type="expression" dxfId="139" priority="44">
      <formula>AND($F$10="სამომხმარებლო",ISNUMBER(G12))</formula>
    </cfRule>
    <cfRule type="expression" dxfId="138" priority="45">
      <formula>AND(OR($F$10="საშეღავათო",$F$10="ნულოვანი საშეღავათო"),ISTEXT(G12))</formula>
    </cfRule>
    <cfRule type="expression" dxfId="137" priority="48">
      <formula>OR($F$10="ანუიტეტური",$F$10="ასიმეტრიული",$F$10="ასიმეტრიული პროცენტით",$F$10="ბიზნეს ოვერდრაფტი",$F$10="დეპოზიტით უზრუნველყოფილი")</formula>
    </cfRule>
  </conditionalFormatting>
  <conditionalFormatting sqref="L24">
    <cfRule type="expression" dxfId="136" priority="47">
      <formula>$F$10&lt;&gt;"ბიზნეს ოვერდრაფტი"</formula>
    </cfRule>
  </conditionalFormatting>
  <conditionalFormatting sqref="H3 H14 H20 H22 H24 R14 R16 R20 J10">
    <cfRule type="expression" dxfId="135" priority="46">
      <formula>$H$3&gt;50%</formula>
    </cfRule>
  </conditionalFormatting>
  <conditionalFormatting sqref="L81:L200">
    <cfRule type="expression" dxfId="134" priority="32">
      <formula>K81=""</formula>
    </cfRule>
  </conditionalFormatting>
  <conditionalFormatting sqref="R28">
    <cfRule type="expression" dxfId="133" priority="40">
      <formula>$H$3&gt;50%</formula>
    </cfRule>
  </conditionalFormatting>
  <conditionalFormatting sqref="Q32">
    <cfRule type="expression" dxfId="132" priority="39">
      <formula>AND($P$32="GEL",$H$16="GEL")</formula>
    </cfRule>
  </conditionalFormatting>
  <conditionalFormatting sqref="R32">
    <cfRule type="expression" dxfId="131" priority="38">
      <formula>$O$28="დეპოზიტით უზრუნველყოფილი"</formula>
    </cfRule>
  </conditionalFormatting>
  <conditionalFormatting sqref="R32">
    <cfRule type="expression" dxfId="130" priority="37">
      <formula>$H$3&gt;100%</formula>
    </cfRule>
  </conditionalFormatting>
  <conditionalFormatting sqref="P34">
    <cfRule type="expression" dxfId="129" priority="36">
      <formula>$H$3&gt;100%</formula>
    </cfRule>
  </conditionalFormatting>
  <conditionalFormatting sqref="R34">
    <cfRule type="expression" dxfId="128" priority="35">
      <formula>$H$3&gt;100%</formula>
    </cfRule>
  </conditionalFormatting>
  <conditionalFormatting sqref="H52">
    <cfRule type="expression" dxfId="127" priority="34">
      <formula>$F$52="თვის ბოლო"</formula>
    </cfRule>
  </conditionalFormatting>
  <conditionalFormatting sqref="F52 H52">
    <cfRule type="expression" dxfId="126" priority="33">
      <formula>$O$28="დეპოზიტით უზრუნველყოფილი"</formula>
    </cfRule>
  </conditionalFormatting>
  <conditionalFormatting sqref="R79:R586">
    <cfRule type="expression" dxfId="125" priority="42">
      <formula>K79=""</formula>
    </cfRule>
    <cfRule type="expression" dxfId="124" priority="43">
      <formula>OR($O$28="ანუიტეტური",$O$28="საშეღავათო",$O$28="ნულოვანი საშეღავათო",$O$28="სამომხმარებლო",$O$28="ბიზნეს ოვერდრაფტი",$O$28="დეპოზიტით უზრუნველყოფილი")</formula>
    </cfRule>
  </conditionalFormatting>
  <conditionalFormatting sqref="Q30:R30">
    <cfRule type="expression" dxfId="123" priority="29">
      <formula>AND($O$28="სამომხმარებლო",ISNUMBER(Q30))</formula>
    </cfRule>
    <cfRule type="expression" dxfId="122" priority="30">
      <formula>AND(OR($O$28="საშეღავათო",$O$28="ნულოვანი საშეღავათო"),ISTEXT(Q30))</formula>
    </cfRule>
    <cfRule type="expression" dxfId="121" priority="31">
      <formula>OR($O$28="ანუიტეტური",$O$28="ასიმეტრიული",$O$28="ასიმეტრიული პროცენტით",$O$28="ბიზნეს ოვერდრაფტი",$O$28="დეპოზიტით უზრუნველყოფილი")</formula>
    </cfRule>
  </conditionalFormatting>
  <conditionalFormatting sqref="Q36">
    <cfRule type="expression" dxfId="120" priority="28">
      <formula>$O$28="დეპოზიტით უზრუნველყოფილი"</formula>
    </cfRule>
  </conditionalFormatting>
  <conditionalFormatting sqref="R36">
    <cfRule type="expression" dxfId="119" priority="27">
      <formula>$O$28="დეპოზიტით უზრუნველყოფილი"</formula>
    </cfRule>
  </conditionalFormatting>
  <conditionalFormatting sqref="R38">
    <cfRule type="expression" dxfId="118" priority="26">
      <formula>$O$28="დეპოზიტით უზრუნველყოფილი"</formula>
    </cfRule>
  </conditionalFormatting>
  <conditionalFormatting sqref="R38">
    <cfRule type="expression" dxfId="117" priority="25">
      <formula>$H$3&gt;100%</formula>
    </cfRule>
  </conditionalFormatting>
  <conditionalFormatting sqref="P40">
    <cfRule type="expression" dxfId="116" priority="24">
      <formula>$O$28="დეპოზიტით უზრუნველყოფილი"</formula>
    </cfRule>
  </conditionalFormatting>
  <conditionalFormatting sqref="R40">
    <cfRule type="expression" dxfId="115" priority="23">
      <formula>$O$28="დეპოზიტით უზრუნველყოფილი"</formula>
    </cfRule>
  </conditionalFormatting>
  <conditionalFormatting sqref="R40">
    <cfRule type="expression" dxfId="114" priority="22">
      <formula>$H$3&gt;100%</formula>
    </cfRule>
  </conditionalFormatting>
  <conditionalFormatting sqref="R42">
    <cfRule type="expression" dxfId="113" priority="21">
      <formula>$O$28="დეპოზიტით უზრუნველყოფილი"</formula>
    </cfRule>
  </conditionalFormatting>
  <conditionalFormatting sqref="K81:Q200">
    <cfRule type="expression" dxfId="112" priority="13">
      <formula>K81=""</formula>
    </cfRule>
  </conditionalFormatting>
  <conditionalFormatting sqref="L48 R48 R50">
    <cfRule type="expression" dxfId="111" priority="20">
      <formula>$O$28&lt;&gt;"ბიზნეს ოვერდრაფტი"</formula>
    </cfRule>
  </conditionalFormatting>
  <conditionalFormatting sqref="R48">
    <cfRule type="expression" dxfId="110" priority="19">
      <formula>$O$28&lt;&gt;"ბიზნეს ოვერდრაფტი"</formula>
    </cfRule>
  </conditionalFormatting>
  <conditionalFormatting sqref="L50">
    <cfRule type="expression" dxfId="109" priority="18">
      <formula>$O$28&lt;&gt;"ბიზნეს ოვერდრაფტი"</formula>
    </cfRule>
  </conditionalFormatting>
  <conditionalFormatting sqref="R50">
    <cfRule type="expression" dxfId="108" priority="17">
      <formula>$O$28&lt;&gt;"ბიზნეს ოვერდრაფტი"</formula>
    </cfRule>
  </conditionalFormatting>
  <conditionalFormatting sqref="L50">
    <cfRule type="expression" dxfId="107" priority="16">
      <formula>$O$28&lt;&gt;"ბიზნეს ოვერდრაფტი"</formula>
    </cfRule>
  </conditionalFormatting>
  <conditionalFormatting sqref="L81:Q200">
    <cfRule type="expression" dxfId="106" priority="41">
      <formula>$O81&lt;0</formula>
    </cfRule>
  </conditionalFormatting>
  <conditionalFormatting sqref="J46:J48">
    <cfRule type="expression" dxfId="105" priority="71">
      <formula>$H$46=""</formula>
    </cfRule>
    <cfRule type="expression" dxfId="104" priority="72">
      <formula>$G$46=""</formula>
    </cfRule>
    <cfRule type="expression" dxfId="103" priority="73">
      <formula>$F$46=""</formula>
    </cfRule>
    <cfRule type="expression" dxfId="102" priority="74">
      <formula>DATE($F$46,$G$46,$H$46)&gt;=DATE($F$34,$G$34,$H$34)</formula>
    </cfRule>
  </conditionalFormatting>
  <conditionalFormatting sqref="B81:H200">
    <cfRule type="expression" dxfId="101" priority="14">
      <formula>$F81&lt;0</formula>
    </cfRule>
    <cfRule type="expression" dxfId="100" priority="52">
      <formula>B81=""</formula>
    </cfRule>
  </conditionalFormatting>
  <conditionalFormatting sqref="L46">
    <cfRule type="expression" dxfId="99" priority="9">
      <formula>$H$46=""</formula>
    </cfRule>
    <cfRule type="expression" dxfId="98" priority="10">
      <formula>$F$46=""</formula>
    </cfRule>
    <cfRule type="expression" dxfId="97" priority="11">
      <formula>$G$46=""</formula>
    </cfRule>
    <cfRule type="expression" dxfId="96" priority="12">
      <formula>WORKDAY(DATE($F$34,$G$34,$H$34),4,$BK$80:$BK$571)&lt;DATE($F$46,$G$46,$H$46)</formula>
    </cfRule>
  </conditionalFormatting>
  <conditionalFormatting sqref="K79:S200">
    <cfRule type="expression" dxfId="95" priority="69">
      <formula>DATE($F$34,$G$34,$H$34)&lt;=DATE($F$46,$G$46,$H$46)</formula>
    </cfRule>
    <cfRule type="expression" dxfId="94" priority="70">
      <formula>$F$46=""</formula>
    </cfRule>
  </conditionalFormatting>
  <conditionalFormatting sqref="P20">
    <cfRule type="expression" dxfId="93" priority="8">
      <formula>$F$10="დეპოზიტით უზრუნველყოფილი"</formula>
    </cfRule>
  </conditionalFormatting>
  <conditionalFormatting sqref="P46">
    <cfRule type="expression" dxfId="92" priority="3">
      <formula>$O$28="დეპოზიტით უზრუნველყოფილი"</formula>
    </cfRule>
  </conditionalFormatting>
  <conditionalFormatting sqref="P46">
    <cfRule type="expression" dxfId="91" priority="4">
      <formula>$H$46=""</formula>
    </cfRule>
    <cfRule type="expression" dxfId="90" priority="5">
      <formula>$F$46=""</formula>
    </cfRule>
    <cfRule type="expression" dxfId="89" priority="6">
      <formula>$G$46=""</formula>
    </cfRule>
    <cfRule type="expression" dxfId="88" priority="7">
      <formula>WORKDAY(DATE($F$34,$G$34,$H$34),4,$BK$80:$BK$571)&lt;DATE($F$46,$G$46,$H$46)</formula>
    </cfRule>
  </conditionalFormatting>
  <conditionalFormatting sqref="R46">
    <cfRule type="expression" dxfId="87" priority="2">
      <formula>$F$10="დეპოზიტით უზრუნველყოფილი"</formula>
    </cfRule>
  </conditionalFormatting>
  <conditionalFormatting sqref="R46">
    <cfRule type="expression" dxfId="86" priority="1">
      <formula>$H$3&gt;100%</formula>
    </cfRule>
  </conditionalFormatting>
  <conditionalFormatting sqref="L48 R48 L50 R50 K26:S26 A44:S44 B48 F48:H48 B50 F50:H50 B52 F52 H52 L28 O28 R28 L30 Q30 L32 P32:R32 L34 O34:R34 L36 Q36:R36 L38 R38 L40 L42 R42 F53:G53 F51:G51 O27:Q27 O29:Q29 K27:K43 P40:R40 L46 P46:R46">
    <cfRule type="expression" dxfId="85" priority="75">
      <formula>$H$46=""</formula>
    </cfRule>
    <cfRule type="expression" dxfId="84" priority="76">
      <formula>$F$46=""</formula>
    </cfRule>
    <cfRule type="expression" dxfId="83" priority="77">
      <formula>$G$46=""</formula>
    </cfRule>
    <cfRule type="expression" dxfId="82" priority="78">
      <formula>DATE($F$34,$G$34,$H$34)&lt;=DATE($F$46,$G$46,$H$46)</formula>
    </cfRule>
  </conditionalFormatting>
  <dataValidations count="25">
    <dataValidation type="list" allowBlank="1" showInputMessage="1" showErrorMessage="1" sqref="J46">
      <formula1>IF(DATE($F$46,$G$46,$H$46)&lt;DATE($F$34,$G$34,$H$34),$BR$80:$BR$81,"")</formula1>
    </dataValidation>
    <dataValidation showInputMessage="1" showErrorMessage="1" sqref="R20 R46"/>
    <dataValidation allowBlank="1" showInputMessage="1" showErrorMessage="1" prompt="ივსება თუ კლიენტს აქვს არასტანდარტული სიცოცხლის დაზღვევის საკომისიო!" sqref="P20 P46"/>
    <dataValidation allowBlank="1" showInputMessage="1" showErrorMessage="1" prompt="ივსება თუ კლიენტს აქვს არასტანდარტული განაღდების საკომისიო!" sqref="P16 P18"/>
    <dataValidation allowBlank="1" showInputMessage="1" showErrorMessage="1" prompt="გთხოვთ შეიყვანოთ სესხის გაცემის დღეს ეროვნული ბანკის ლარის აშშ დოლართან არსებული გაცვლითი კურსი!" sqref="H18"/>
    <dataValidation allowBlank="1" showInputMessage="1" showErrorMessage="1" prompt="ივსება თუ კლიენტს აქვს სტანდარტულზე ნაკლები წინსწრების საკომისიო!" sqref="P56"/>
    <dataValidation type="whole" allowBlank="1" showInputMessage="1" showErrorMessage="1" error="მნიშვნელბა უნდა იყოს 1 - 31 შუალედში!" sqref="H28 H30 H36 H32 H34 H50 H46 H52 H48">
      <formula1>1</formula1>
      <formula2>31</formula2>
    </dataValidation>
    <dataValidation type="whole" allowBlank="1" showInputMessage="1" showErrorMessage="1" error="მნიშვნელბა უნდა იყოს 1 - 12 შუალედში!" sqref="G28 G30 G32 G34 G56 G46 Q38 G48 G50 Q46">
      <formula1>1</formula1>
      <formula2>12</formula2>
    </dataValidation>
    <dataValidation type="whole" allowBlank="1" showInputMessage="1" showErrorMessage="1" error="მნიშვნელბა უნდა იყოს 2000 - 2030 შუალედში!" sqref="F28 F30 F32 F34 F56 F46 P38 F48 F50">
      <formula1>2000</formula1>
      <formula2>2030</formula2>
    </dataValidation>
    <dataValidation type="list" allowBlank="1" showInputMessage="1" showErrorMessage="1" error="მნიშვნელობა უნდა იყოს 1 - 120 შუალედში!" sqref="H20 R32">
      <formula1>$BL$80:$BL$199</formula1>
    </dataValidation>
    <dataValidation type="list" allowBlank="1" showInputMessage="1" showErrorMessage="1" sqref="H16 P32">
      <formula1>"GEL, USD"</formula1>
    </dataValidation>
    <dataValidation type="list" allowBlank="1" showInputMessage="1" showErrorMessage="1" sqref="F36:G36 F52">
      <formula1>"ფიქსირებული, თვის ბოლო"</formula1>
    </dataValidation>
    <dataValidation type="list" showInputMessage="1" showErrorMessage="1" prompt="ირჩევა სერვის პაკეტის ტარიფი. 0 ტარიფის არჩევა მოხდება მხოლოდ გამონაკლის კლიენტებზე." sqref="R14 R38">
      <formula1>$BQ$80:$BQ$82</formula1>
    </dataValidation>
    <dataValidation type="list" allowBlank="1" showInputMessage="1" showErrorMessage="1" sqref="F10:H10 O28:Q28">
      <formula1>$BP$80:$BP$87</formula1>
    </dataValidation>
    <dataValidation type="custom" allowBlank="1" showInputMessage="1" showErrorMessage="1" error="გადასახდელი თანხა არის საპროცენტო თანხაზე ნაკლები. გთხოვთ შეამოწმოთ!" sqref="J81:J200">
      <formula1>IF(J81&lt;&gt;0,J81&gt;G81,J81&lt;G81)</formula1>
    </dataValidation>
    <dataValidation showErrorMessage="1" promptTitle="გადასანაწილებელი თანხა" prompt="თანხა, რომელიც თანაბრად უნდა გადანაწილდეს მთელ პერიოდზე" sqref="R16 R40"/>
    <dataValidation allowBlank="1" showInputMessage="1" showErrorMessage="1" prompt="გთხოვთ შეიყვანოთ ეროვნული ბანკის ლარის აშშ დოლართან დღევანდელი გაცვლითი კურსი!" sqref="Q32"/>
    <dataValidation allowBlank="1" showInputMessage="1" showErrorMessage="1" prompt="ივსება მხოლოდ არასტანდარტული საპროცენტო განაკვეთის / დეპოზიტით უზრუნველყოფილი სესხის შემთხვევაში!" sqref="F22 O34"/>
    <dataValidation allowBlank="1" showInputMessage="1" showErrorMessage="1" prompt="ივსება მხოლოდ არასტანდარტული გაცემის საკომისიოს შემთხვევაში!" sqref="F24 Q34"/>
    <dataValidation allowBlank="1" showInputMessage="1" showErrorMessage="1" prompt="ეთითება იპოთეკის ან გირავნობის ხელშეკრულების რეგისტრაციის და მოხსნის ადმინისტრაციული გადასახდელების ჯამი." sqref="R10 Q36"/>
    <dataValidation allowBlank="1" showInputMessage="1" showErrorMessage="1" prompt="ეთითება ყველა გაწეული ხარჯის ჯამი, რაც არ იყო მითითებული და რისი გაწევაც უწევს კლიენტს ბანკის მოთხოვნით." sqref="R12 R36"/>
    <dataValidation allowBlank="1" showInputMessage="1" showErrorMessage="1" prompt="ივსება თუ კლიენტს აქვს არასტანდარტული განაღდების საკომისიოს!" sqref="P40"/>
    <dataValidation type="list" allowBlank="1" showInputMessage="1" showErrorMessage="1" sqref="G12:H12">
      <formula1>IF(OR(F10="საშეღავათო",F10="ნულოვანი საშეღავათო"),$BM$80:$BM$91,IF(F10="სამომხმარებლო",$BN$80:$BN$81))</formula1>
    </dataValidation>
    <dataValidation type="list" allowBlank="1" showInputMessage="1" showErrorMessage="1" sqref="Q30:R30">
      <formula1>IF(OR(O28="საშეღავათო",O28="ნულოვანი საშეღავათო"),$BM$80:$BM$91,IF(O28="სამომხმარებლო",$BN$80:$BN$81))</formula1>
    </dataValidation>
    <dataValidation type="custom" allowBlank="1" showInputMessage="1" showErrorMessage="1" error="გადასახდელი თანხა არის საპროცენტო თანხაზე ნაკლები. გთხოვთ შეამოწმოთ!" sqref="R81:R586">
      <formula1>IF(R81&lt;&gt;0,R81&gt;P81,R81&lt;P81)</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view="pageBreakPreview" topLeftCell="A28" zoomScale="90" zoomScaleNormal="90" zoomScaleSheetLayoutView="90" workbookViewId="0">
      <selection activeCell="L49" sqref="L49:M49"/>
    </sheetView>
  </sheetViews>
  <sheetFormatPr defaultColWidth="13.5703125" defaultRowHeight="23.25" customHeight="1"/>
  <cols>
    <col min="1" max="4" width="12.7109375" style="165" customWidth="1"/>
    <col min="5" max="5" width="28.28515625" style="165" customWidth="1"/>
    <col min="6" max="8" width="12.7109375" style="165" customWidth="1"/>
    <col min="9" max="9" width="12.5703125" style="165" customWidth="1"/>
    <col min="10" max="10" width="12.7109375" style="165" customWidth="1"/>
    <col min="11" max="11" width="18.85546875" style="165" customWidth="1"/>
    <col min="12" max="12" width="14.140625" style="165" customWidth="1"/>
    <col min="13" max="13" width="12.28515625" style="165" customWidth="1"/>
    <col min="14" max="15" width="13.5703125" style="165" hidden="1" customWidth="1"/>
    <col min="16" max="26" width="13.5703125" style="165" customWidth="1"/>
    <col min="27" max="256" width="13.5703125" style="165"/>
    <col min="257" max="258" width="12" style="165" customWidth="1"/>
    <col min="259" max="259" width="15.28515625" style="165" customWidth="1"/>
    <col min="260" max="260" width="12" style="165" customWidth="1"/>
    <col min="261" max="261" width="32.5703125" style="165" bestFit="1" customWidth="1"/>
    <col min="262" max="262" width="13.5703125" style="165" customWidth="1"/>
    <col min="263" max="263" width="16" style="165" customWidth="1"/>
    <col min="264" max="265" width="13.5703125" style="165" customWidth="1"/>
    <col min="266" max="267" width="17.85546875" style="165" customWidth="1"/>
    <col min="268" max="268" width="15.85546875" style="165" customWidth="1"/>
    <col min="269" max="269" width="14.7109375" style="165" customWidth="1"/>
    <col min="270" max="512" width="13.5703125" style="165"/>
    <col min="513" max="514" width="12" style="165" customWidth="1"/>
    <col min="515" max="515" width="15.28515625" style="165" customWidth="1"/>
    <col min="516" max="516" width="12" style="165" customWidth="1"/>
    <col min="517" max="517" width="32.5703125" style="165" bestFit="1" customWidth="1"/>
    <col min="518" max="518" width="13.5703125" style="165" customWidth="1"/>
    <col min="519" max="519" width="16" style="165" customWidth="1"/>
    <col min="520" max="521" width="13.5703125" style="165" customWidth="1"/>
    <col min="522" max="523" width="17.85546875" style="165" customWidth="1"/>
    <col min="524" max="524" width="15.85546875" style="165" customWidth="1"/>
    <col min="525" max="525" width="14.7109375" style="165" customWidth="1"/>
    <col min="526" max="768" width="13.5703125" style="165"/>
    <col min="769" max="770" width="12" style="165" customWidth="1"/>
    <col min="771" max="771" width="15.28515625" style="165" customWidth="1"/>
    <col min="772" max="772" width="12" style="165" customWidth="1"/>
    <col min="773" max="773" width="32.5703125" style="165" bestFit="1" customWidth="1"/>
    <col min="774" max="774" width="13.5703125" style="165" customWidth="1"/>
    <col min="775" max="775" width="16" style="165" customWidth="1"/>
    <col min="776" max="777" width="13.5703125" style="165" customWidth="1"/>
    <col min="778" max="779" width="17.85546875" style="165" customWidth="1"/>
    <col min="780" max="780" width="15.85546875" style="165" customWidth="1"/>
    <col min="781" max="781" width="14.7109375" style="165" customWidth="1"/>
    <col min="782" max="1024" width="13.5703125" style="165"/>
    <col min="1025" max="1026" width="12" style="165" customWidth="1"/>
    <col min="1027" max="1027" width="15.28515625" style="165" customWidth="1"/>
    <col min="1028" max="1028" width="12" style="165" customWidth="1"/>
    <col min="1029" max="1029" width="32.5703125" style="165" bestFit="1" customWidth="1"/>
    <col min="1030" max="1030" width="13.5703125" style="165" customWidth="1"/>
    <col min="1031" max="1031" width="16" style="165" customWidth="1"/>
    <col min="1032" max="1033" width="13.5703125" style="165" customWidth="1"/>
    <col min="1034" max="1035" width="17.85546875" style="165" customWidth="1"/>
    <col min="1036" max="1036" width="15.85546875" style="165" customWidth="1"/>
    <col min="1037" max="1037" width="14.7109375" style="165" customWidth="1"/>
    <col min="1038" max="1280" width="13.5703125" style="165"/>
    <col min="1281" max="1282" width="12" style="165" customWidth="1"/>
    <col min="1283" max="1283" width="15.28515625" style="165" customWidth="1"/>
    <col min="1284" max="1284" width="12" style="165" customWidth="1"/>
    <col min="1285" max="1285" width="32.5703125" style="165" bestFit="1" customWidth="1"/>
    <col min="1286" max="1286" width="13.5703125" style="165" customWidth="1"/>
    <col min="1287" max="1287" width="16" style="165" customWidth="1"/>
    <col min="1288" max="1289" width="13.5703125" style="165" customWidth="1"/>
    <col min="1290" max="1291" width="17.85546875" style="165" customWidth="1"/>
    <col min="1292" max="1292" width="15.85546875" style="165" customWidth="1"/>
    <col min="1293" max="1293" width="14.7109375" style="165" customWidth="1"/>
    <col min="1294" max="1536" width="13.5703125" style="165"/>
    <col min="1537" max="1538" width="12" style="165" customWidth="1"/>
    <col min="1539" max="1539" width="15.28515625" style="165" customWidth="1"/>
    <col min="1540" max="1540" width="12" style="165" customWidth="1"/>
    <col min="1541" max="1541" width="32.5703125" style="165" bestFit="1" customWidth="1"/>
    <col min="1542" max="1542" width="13.5703125" style="165" customWidth="1"/>
    <col min="1543" max="1543" width="16" style="165" customWidth="1"/>
    <col min="1544" max="1545" width="13.5703125" style="165" customWidth="1"/>
    <col min="1546" max="1547" width="17.85546875" style="165" customWidth="1"/>
    <col min="1548" max="1548" width="15.85546875" style="165" customWidth="1"/>
    <col min="1549" max="1549" width="14.7109375" style="165" customWidth="1"/>
    <col min="1550" max="1792" width="13.5703125" style="165"/>
    <col min="1793" max="1794" width="12" style="165" customWidth="1"/>
    <col min="1795" max="1795" width="15.28515625" style="165" customWidth="1"/>
    <col min="1796" max="1796" width="12" style="165" customWidth="1"/>
    <col min="1797" max="1797" width="32.5703125" style="165" bestFit="1" customWidth="1"/>
    <col min="1798" max="1798" width="13.5703125" style="165" customWidth="1"/>
    <col min="1799" max="1799" width="16" style="165" customWidth="1"/>
    <col min="1800" max="1801" width="13.5703125" style="165" customWidth="1"/>
    <col min="1802" max="1803" width="17.85546875" style="165" customWidth="1"/>
    <col min="1804" max="1804" width="15.85546875" style="165" customWidth="1"/>
    <col min="1805" max="1805" width="14.7109375" style="165" customWidth="1"/>
    <col min="1806" max="2048" width="13.5703125" style="165"/>
    <col min="2049" max="2050" width="12" style="165" customWidth="1"/>
    <col min="2051" max="2051" width="15.28515625" style="165" customWidth="1"/>
    <col min="2052" max="2052" width="12" style="165" customWidth="1"/>
    <col min="2053" max="2053" width="32.5703125" style="165" bestFit="1" customWidth="1"/>
    <col min="2054" max="2054" width="13.5703125" style="165" customWidth="1"/>
    <col min="2055" max="2055" width="16" style="165" customWidth="1"/>
    <col min="2056" max="2057" width="13.5703125" style="165" customWidth="1"/>
    <col min="2058" max="2059" width="17.85546875" style="165" customWidth="1"/>
    <col min="2060" max="2060" width="15.85546875" style="165" customWidth="1"/>
    <col min="2061" max="2061" width="14.7109375" style="165" customWidth="1"/>
    <col min="2062" max="2304" width="13.5703125" style="165"/>
    <col min="2305" max="2306" width="12" style="165" customWidth="1"/>
    <col min="2307" max="2307" width="15.28515625" style="165" customWidth="1"/>
    <col min="2308" max="2308" width="12" style="165" customWidth="1"/>
    <col min="2309" max="2309" width="32.5703125" style="165" bestFit="1" customWidth="1"/>
    <col min="2310" max="2310" width="13.5703125" style="165" customWidth="1"/>
    <col min="2311" max="2311" width="16" style="165" customWidth="1"/>
    <col min="2312" max="2313" width="13.5703125" style="165" customWidth="1"/>
    <col min="2314" max="2315" width="17.85546875" style="165" customWidth="1"/>
    <col min="2316" max="2316" width="15.85546875" style="165" customWidth="1"/>
    <col min="2317" max="2317" width="14.7109375" style="165" customWidth="1"/>
    <col min="2318" max="2560" width="13.5703125" style="165"/>
    <col min="2561" max="2562" width="12" style="165" customWidth="1"/>
    <col min="2563" max="2563" width="15.28515625" style="165" customWidth="1"/>
    <col min="2564" max="2564" width="12" style="165" customWidth="1"/>
    <col min="2565" max="2565" width="32.5703125" style="165" bestFit="1" customWidth="1"/>
    <col min="2566" max="2566" width="13.5703125" style="165" customWidth="1"/>
    <col min="2567" max="2567" width="16" style="165" customWidth="1"/>
    <col min="2568" max="2569" width="13.5703125" style="165" customWidth="1"/>
    <col min="2570" max="2571" width="17.85546875" style="165" customWidth="1"/>
    <col min="2572" max="2572" width="15.85546875" style="165" customWidth="1"/>
    <col min="2573" max="2573" width="14.7109375" style="165" customWidth="1"/>
    <col min="2574" max="2816" width="13.5703125" style="165"/>
    <col min="2817" max="2818" width="12" style="165" customWidth="1"/>
    <col min="2819" max="2819" width="15.28515625" style="165" customWidth="1"/>
    <col min="2820" max="2820" width="12" style="165" customWidth="1"/>
    <col min="2821" max="2821" width="32.5703125" style="165" bestFit="1" customWidth="1"/>
    <col min="2822" max="2822" width="13.5703125" style="165" customWidth="1"/>
    <col min="2823" max="2823" width="16" style="165" customWidth="1"/>
    <col min="2824" max="2825" width="13.5703125" style="165" customWidth="1"/>
    <col min="2826" max="2827" width="17.85546875" style="165" customWidth="1"/>
    <col min="2828" max="2828" width="15.85546875" style="165" customWidth="1"/>
    <col min="2829" max="2829" width="14.7109375" style="165" customWidth="1"/>
    <col min="2830" max="3072" width="13.5703125" style="165"/>
    <col min="3073" max="3074" width="12" style="165" customWidth="1"/>
    <col min="3075" max="3075" width="15.28515625" style="165" customWidth="1"/>
    <col min="3076" max="3076" width="12" style="165" customWidth="1"/>
    <col min="3077" max="3077" width="32.5703125" style="165" bestFit="1" customWidth="1"/>
    <col min="3078" max="3078" width="13.5703125" style="165" customWidth="1"/>
    <col min="3079" max="3079" width="16" style="165" customWidth="1"/>
    <col min="3080" max="3081" width="13.5703125" style="165" customWidth="1"/>
    <col min="3082" max="3083" width="17.85546875" style="165" customWidth="1"/>
    <col min="3084" max="3084" width="15.85546875" style="165" customWidth="1"/>
    <col min="3085" max="3085" width="14.7109375" style="165" customWidth="1"/>
    <col min="3086" max="3328" width="13.5703125" style="165"/>
    <col min="3329" max="3330" width="12" style="165" customWidth="1"/>
    <col min="3331" max="3331" width="15.28515625" style="165" customWidth="1"/>
    <col min="3332" max="3332" width="12" style="165" customWidth="1"/>
    <col min="3333" max="3333" width="32.5703125" style="165" bestFit="1" customWidth="1"/>
    <col min="3334" max="3334" width="13.5703125" style="165" customWidth="1"/>
    <col min="3335" max="3335" width="16" style="165" customWidth="1"/>
    <col min="3336" max="3337" width="13.5703125" style="165" customWidth="1"/>
    <col min="3338" max="3339" width="17.85546875" style="165" customWidth="1"/>
    <col min="3340" max="3340" width="15.85546875" style="165" customWidth="1"/>
    <col min="3341" max="3341" width="14.7109375" style="165" customWidth="1"/>
    <col min="3342" max="3584" width="13.5703125" style="165"/>
    <col min="3585" max="3586" width="12" style="165" customWidth="1"/>
    <col min="3587" max="3587" width="15.28515625" style="165" customWidth="1"/>
    <col min="3588" max="3588" width="12" style="165" customWidth="1"/>
    <col min="3589" max="3589" width="32.5703125" style="165" bestFit="1" customWidth="1"/>
    <col min="3590" max="3590" width="13.5703125" style="165" customWidth="1"/>
    <col min="3591" max="3591" width="16" style="165" customWidth="1"/>
    <col min="3592" max="3593" width="13.5703125" style="165" customWidth="1"/>
    <col min="3594" max="3595" width="17.85546875" style="165" customWidth="1"/>
    <col min="3596" max="3596" width="15.85546875" style="165" customWidth="1"/>
    <col min="3597" max="3597" width="14.7109375" style="165" customWidth="1"/>
    <col min="3598" max="3840" width="13.5703125" style="165"/>
    <col min="3841" max="3842" width="12" style="165" customWidth="1"/>
    <col min="3843" max="3843" width="15.28515625" style="165" customWidth="1"/>
    <col min="3844" max="3844" width="12" style="165" customWidth="1"/>
    <col min="3845" max="3845" width="32.5703125" style="165" bestFit="1" customWidth="1"/>
    <col min="3846" max="3846" width="13.5703125" style="165" customWidth="1"/>
    <col min="3847" max="3847" width="16" style="165" customWidth="1"/>
    <col min="3848" max="3849" width="13.5703125" style="165" customWidth="1"/>
    <col min="3850" max="3851" width="17.85546875" style="165" customWidth="1"/>
    <col min="3852" max="3852" width="15.85546875" style="165" customWidth="1"/>
    <col min="3853" max="3853" width="14.7109375" style="165" customWidth="1"/>
    <col min="3854" max="4096" width="13.5703125" style="165"/>
    <col min="4097" max="4098" width="12" style="165" customWidth="1"/>
    <col min="4099" max="4099" width="15.28515625" style="165" customWidth="1"/>
    <col min="4100" max="4100" width="12" style="165" customWidth="1"/>
    <col min="4101" max="4101" width="32.5703125" style="165" bestFit="1" customWidth="1"/>
    <col min="4102" max="4102" width="13.5703125" style="165" customWidth="1"/>
    <col min="4103" max="4103" width="16" style="165" customWidth="1"/>
    <col min="4104" max="4105" width="13.5703125" style="165" customWidth="1"/>
    <col min="4106" max="4107" width="17.85546875" style="165" customWidth="1"/>
    <col min="4108" max="4108" width="15.85546875" style="165" customWidth="1"/>
    <col min="4109" max="4109" width="14.7109375" style="165" customWidth="1"/>
    <col min="4110" max="4352" width="13.5703125" style="165"/>
    <col min="4353" max="4354" width="12" style="165" customWidth="1"/>
    <col min="4355" max="4355" width="15.28515625" style="165" customWidth="1"/>
    <col min="4356" max="4356" width="12" style="165" customWidth="1"/>
    <col min="4357" max="4357" width="32.5703125" style="165" bestFit="1" customWidth="1"/>
    <col min="4358" max="4358" width="13.5703125" style="165" customWidth="1"/>
    <col min="4359" max="4359" width="16" style="165" customWidth="1"/>
    <col min="4360" max="4361" width="13.5703125" style="165" customWidth="1"/>
    <col min="4362" max="4363" width="17.85546875" style="165" customWidth="1"/>
    <col min="4364" max="4364" width="15.85546875" style="165" customWidth="1"/>
    <col min="4365" max="4365" width="14.7109375" style="165" customWidth="1"/>
    <col min="4366" max="4608" width="13.5703125" style="165"/>
    <col min="4609" max="4610" width="12" style="165" customWidth="1"/>
    <col min="4611" max="4611" width="15.28515625" style="165" customWidth="1"/>
    <col min="4612" max="4612" width="12" style="165" customWidth="1"/>
    <col min="4613" max="4613" width="32.5703125" style="165" bestFit="1" customWidth="1"/>
    <col min="4614" max="4614" width="13.5703125" style="165" customWidth="1"/>
    <col min="4615" max="4615" width="16" style="165" customWidth="1"/>
    <col min="4616" max="4617" width="13.5703125" style="165" customWidth="1"/>
    <col min="4618" max="4619" width="17.85546875" style="165" customWidth="1"/>
    <col min="4620" max="4620" width="15.85546875" style="165" customWidth="1"/>
    <col min="4621" max="4621" width="14.7109375" style="165" customWidth="1"/>
    <col min="4622" max="4864" width="13.5703125" style="165"/>
    <col min="4865" max="4866" width="12" style="165" customWidth="1"/>
    <col min="4867" max="4867" width="15.28515625" style="165" customWidth="1"/>
    <col min="4868" max="4868" width="12" style="165" customWidth="1"/>
    <col min="4869" max="4869" width="32.5703125" style="165" bestFit="1" customWidth="1"/>
    <col min="4870" max="4870" width="13.5703125" style="165" customWidth="1"/>
    <col min="4871" max="4871" width="16" style="165" customWidth="1"/>
    <col min="4872" max="4873" width="13.5703125" style="165" customWidth="1"/>
    <col min="4874" max="4875" width="17.85546875" style="165" customWidth="1"/>
    <col min="4876" max="4876" width="15.85546875" style="165" customWidth="1"/>
    <col min="4877" max="4877" width="14.7109375" style="165" customWidth="1"/>
    <col min="4878" max="5120" width="13.5703125" style="165"/>
    <col min="5121" max="5122" width="12" style="165" customWidth="1"/>
    <col min="5123" max="5123" width="15.28515625" style="165" customWidth="1"/>
    <col min="5124" max="5124" width="12" style="165" customWidth="1"/>
    <col min="5125" max="5125" width="32.5703125" style="165" bestFit="1" customWidth="1"/>
    <col min="5126" max="5126" width="13.5703125" style="165" customWidth="1"/>
    <col min="5127" max="5127" width="16" style="165" customWidth="1"/>
    <col min="5128" max="5129" width="13.5703125" style="165" customWidth="1"/>
    <col min="5130" max="5131" width="17.85546875" style="165" customWidth="1"/>
    <col min="5132" max="5132" width="15.85546875" style="165" customWidth="1"/>
    <col min="5133" max="5133" width="14.7109375" style="165" customWidth="1"/>
    <col min="5134" max="5376" width="13.5703125" style="165"/>
    <col min="5377" max="5378" width="12" style="165" customWidth="1"/>
    <col min="5379" max="5379" width="15.28515625" style="165" customWidth="1"/>
    <col min="5380" max="5380" width="12" style="165" customWidth="1"/>
    <col min="5381" max="5381" width="32.5703125" style="165" bestFit="1" customWidth="1"/>
    <col min="5382" max="5382" width="13.5703125" style="165" customWidth="1"/>
    <col min="5383" max="5383" width="16" style="165" customWidth="1"/>
    <col min="5384" max="5385" width="13.5703125" style="165" customWidth="1"/>
    <col min="5386" max="5387" width="17.85546875" style="165" customWidth="1"/>
    <col min="5388" max="5388" width="15.85546875" style="165" customWidth="1"/>
    <col min="5389" max="5389" width="14.7109375" style="165" customWidth="1"/>
    <col min="5390" max="5632" width="13.5703125" style="165"/>
    <col min="5633" max="5634" width="12" style="165" customWidth="1"/>
    <col min="5635" max="5635" width="15.28515625" style="165" customWidth="1"/>
    <col min="5636" max="5636" width="12" style="165" customWidth="1"/>
    <col min="5637" max="5637" width="32.5703125" style="165" bestFit="1" customWidth="1"/>
    <col min="5638" max="5638" width="13.5703125" style="165" customWidth="1"/>
    <col min="5639" max="5639" width="16" style="165" customWidth="1"/>
    <col min="5640" max="5641" width="13.5703125" style="165" customWidth="1"/>
    <col min="5642" max="5643" width="17.85546875" style="165" customWidth="1"/>
    <col min="5644" max="5644" width="15.85546875" style="165" customWidth="1"/>
    <col min="5645" max="5645" width="14.7109375" style="165" customWidth="1"/>
    <col min="5646" max="5888" width="13.5703125" style="165"/>
    <col min="5889" max="5890" width="12" style="165" customWidth="1"/>
    <col min="5891" max="5891" width="15.28515625" style="165" customWidth="1"/>
    <col min="5892" max="5892" width="12" style="165" customWidth="1"/>
    <col min="5893" max="5893" width="32.5703125" style="165" bestFit="1" customWidth="1"/>
    <col min="5894" max="5894" width="13.5703125" style="165" customWidth="1"/>
    <col min="5895" max="5895" width="16" style="165" customWidth="1"/>
    <col min="5896" max="5897" width="13.5703125" style="165" customWidth="1"/>
    <col min="5898" max="5899" width="17.85546875" style="165" customWidth="1"/>
    <col min="5900" max="5900" width="15.85546875" style="165" customWidth="1"/>
    <col min="5901" max="5901" width="14.7109375" style="165" customWidth="1"/>
    <col min="5902" max="6144" width="13.5703125" style="165"/>
    <col min="6145" max="6146" width="12" style="165" customWidth="1"/>
    <col min="6147" max="6147" width="15.28515625" style="165" customWidth="1"/>
    <col min="6148" max="6148" width="12" style="165" customWidth="1"/>
    <col min="6149" max="6149" width="32.5703125" style="165" bestFit="1" customWidth="1"/>
    <col min="6150" max="6150" width="13.5703125" style="165" customWidth="1"/>
    <col min="6151" max="6151" width="16" style="165" customWidth="1"/>
    <col min="6152" max="6153" width="13.5703125" style="165" customWidth="1"/>
    <col min="6154" max="6155" width="17.85546875" style="165" customWidth="1"/>
    <col min="6156" max="6156" width="15.85546875" style="165" customWidth="1"/>
    <col min="6157" max="6157" width="14.7109375" style="165" customWidth="1"/>
    <col min="6158" max="6400" width="13.5703125" style="165"/>
    <col min="6401" max="6402" width="12" style="165" customWidth="1"/>
    <col min="6403" max="6403" width="15.28515625" style="165" customWidth="1"/>
    <col min="6404" max="6404" width="12" style="165" customWidth="1"/>
    <col min="6405" max="6405" width="32.5703125" style="165" bestFit="1" customWidth="1"/>
    <col min="6406" max="6406" width="13.5703125" style="165" customWidth="1"/>
    <col min="6407" max="6407" width="16" style="165" customWidth="1"/>
    <col min="6408" max="6409" width="13.5703125" style="165" customWidth="1"/>
    <col min="6410" max="6411" width="17.85546875" style="165" customWidth="1"/>
    <col min="6412" max="6412" width="15.85546875" style="165" customWidth="1"/>
    <col min="6413" max="6413" width="14.7109375" style="165" customWidth="1"/>
    <col min="6414" max="6656" width="13.5703125" style="165"/>
    <col min="6657" max="6658" width="12" style="165" customWidth="1"/>
    <col min="6659" max="6659" width="15.28515625" style="165" customWidth="1"/>
    <col min="6660" max="6660" width="12" style="165" customWidth="1"/>
    <col min="6661" max="6661" width="32.5703125" style="165" bestFit="1" customWidth="1"/>
    <col min="6662" max="6662" width="13.5703125" style="165" customWidth="1"/>
    <col min="6663" max="6663" width="16" style="165" customWidth="1"/>
    <col min="6664" max="6665" width="13.5703125" style="165" customWidth="1"/>
    <col min="6666" max="6667" width="17.85546875" style="165" customWidth="1"/>
    <col min="6668" max="6668" width="15.85546875" style="165" customWidth="1"/>
    <col min="6669" max="6669" width="14.7109375" style="165" customWidth="1"/>
    <col min="6670" max="6912" width="13.5703125" style="165"/>
    <col min="6913" max="6914" width="12" style="165" customWidth="1"/>
    <col min="6915" max="6915" width="15.28515625" style="165" customWidth="1"/>
    <col min="6916" max="6916" width="12" style="165" customWidth="1"/>
    <col min="6917" max="6917" width="32.5703125" style="165" bestFit="1" customWidth="1"/>
    <col min="6918" max="6918" width="13.5703125" style="165" customWidth="1"/>
    <col min="6919" max="6919" width="16" style="165" customWidth="1"/>
    <col min="6920" max="6921" width="13.5703125" style="165" customWidth="1"/>
    <col min="6922" max="6923" width="17.85546875" style="165" customWidth="1"/>
    <col min="6924" max="6924" width="15.85546875" style="165" customWidth="1"/>
    <col min="6925" max="6925" width="14.7109375" style="165" customWidth="1"/>
    <col min="6926" max="7168" width="13.5703125" style="165"/>
    <col min="7169" max="7170" width="12" style="165" customWidth="1"/>
    <col min="7171" max="7171" width="15.28515625" style="165" customWidth="1"/>
    <col min="7172" max="7172" width="12" style="165" customWidth="1"/>
    <col min="7173" max="7173" width="32.5703125" style="165" bestFit="1" customWidth="1"/>
    <col min="7174" max="7174" width="13.5703125" style="165" customWidth="1"/>
    <col min="7175" max="7175" width="16" style="165" customWidth="1"/>
    <col min="7176" max="7177" width="13.5703125" style="165" customWidth="1"/>
    <col min="7178" max="7179" width="17.85546875" style="165" customWidth="1"/>
    <col min="7180" max="7180" width="15.85546875" style="165" customWidth="1"/>
    <col min="7181" max="7181" width="14.7109375" style="165" customWidth="1"/>
    <col min="7182" max="7424" width="13.5703125" style="165"/>
    <col min="7425" max="7426" width="12" style="165" customWidth="1"/>
    <col min="7427" max="7427" width="15.28515625" style="165" customWidth="1"/>
    <col min="7428" max="7428" width="12" style="165" customWidth="1"/>
    <col min="7429" max="7429" width="32.5703125" style="165" bestFit="1" customWidth="1"/>
    <col min="7430" max="7430" width="13.5703125" style="165" customWidth="1"/>
    <col min="7431" max="7431" width="16" style="165" customWidth="1"/>
    <col min="7432" max="7433" width="13.5703125" style="165" customWidth="1"/>
    <col min="7434" max="7435" width="17.85546875" style="165" customWidth="1"/>
    <col min="7436" max="7436" width="15.85546875" style="165" customWidth="1"/>
    <col min="7437" max="7437" width="14.7109375" style="165" customWidth="1"/>
    <col min="7438" max="7680" width="13.5703125" style="165"/>
    <col min="7681" max="7682" width="12" style="165" customWidth="1"/>
    <col min="7683" max="7683" width="15.28515625" style="165" customWidth="1"/>
    <col min="7684" max="7684" width="12" style="165" customWidth="1"/>
    <col min="7685" max="7685" width="32.5703125" style="165" bestFit="1" customWidth="1"/>
    <col min="7686" max="7686" width="13.5703125" style="165" customWidth="1"/>
    <col min="7687" max="7687" width="16" style="165" customWidth="1"/>
    <col min="7688" max="7689" width="13.5703125" style="165" customWidth="1"/>
    <col min="7690" max="7691" width="17.85546875" style="165" customWidth="1"/>
    <col min="7692" max="7692" width="15.85546875" style="165" customWidth="1"/>
    <col min="7693" max="7693" width="14.7109375" style="165" customWidth="1"/>
    <col min="7694" max="7936" width="13.5703125" style="165"/>
    <col min="7937" max="7938" width="12" style="165" customWidth="1"/>
    <col min="7939" max="7939" width="15.28515625" style="165" customWidth="1"/>
    <col min="7940" max="7940" width="12" style="165" customWidth="1"/>
    <col min="7941" max="7941" width="32.5703125" style="165" bestFit="1" customWidth="1"/>
    <col min="7942" max="7942" width="13.5703125" style="165" customWidth="1"/>
    <col min="7943" max="7943" width="16" style="165" customWidth="1"/>
    <col min="7944" max="7945" width="13.5703125" style="165" customWidth="1"/>
    <col min="7946" max="7947" width="17.85546875" style="165" customWidth="1"/>
    <col min="7948" max="7948" width="15.85546875" style="165" customWidth="1"/>
    <col min="7949" max="7949" width="14.7109375" style="165" customWidth="1"/>
    <col min="7950" max="8192" width="13.5703125" style="165"/>
    <col min="8193" max="8194" width="12" style="165" customWidth="1"/>
    <col min="8195" max="8195" width="15.28515625" style="165" customWidth="1"/>
    <col min="8196" max="8196" width="12" style="165" customWidth="1"/>
    <col min="8197" max="8197" width="32.5703125" style="165" bestFit="1" customWidth="1"/>
    <col min="8198" max="8198" width="13.5703125" style="165" customWidth="1"/>
    <col min="8199" max="8199" width="16" style="165" customWidth="1"/>
    <col min="8200" max="8201" width="13.5703125" style="165" customWidth="1"/>
    <col min="8202" max="8203" width="17.85546875" style="165" customWidth="1"/>
    <col min="8204" max="8204" width="15.85546875" style="165" customWidth="1"/>
    <col min="8205" max="8205" width="14.7109375" style="165" customWidth="1"/>
    <col min="8206" max="8448" width="13.5703125" style="165"/>
    <col min="8449" max="8450" width="12" style="165" customWidth="1"/>
    <col min="8451" max="8451" width="15.28515625" style="165" customWidth="1"/>
    <col min="8452" max="8452" width="12" style="165" customWidth="1"/>
    <col min="8453" max="8453" width="32.5703125" style="165" bestFit="1" customWidth="1"/>
    <col min="8454" max="8454" width="13.5703125" style="165" customWidth="1"/>
    <col min="8455" max="8455" width="16" style="165" customWidth="1"/>
    <col min="8456" max="8457" width="13.5703125" style="165" customWidth="1"/>
    <col min="8458" max="8459" width="17.85546875" style="165" customWidth="1"/>
    <col min="8460" max="8460" width="15.85546875" style="165" customWidth="1"/>
    <col min="8461" max="8461" width="14.7109375" style="165" customWidth="1"/>
    <col min="8462" max="8704" width="13.5703125" style="165"/>
    <col min="8705" max="8706" width="12" style="165" customWidth="1"/>
    <col min="8707" max="8707" width="15.28515625" style="165" customWidth="1"/>
    <col min="8708" max="8708" width="12" style="165" customWidth="1"/>
    <col min="8709" max="8709" width="32.5703125" style="165" bestFit="1" customWidth="1"/>
    <col min="8710" max="8710" width="13.5703125" style="165" customWidth="1"/>
    <col min="8711" max="8711" width="16" style="165" customWidth="1"/>
    <col min="8712" max="8713" width="13.5703125" style="165" customWidth="1"/>
    <col min="8714" max="8715" width="17.85546875" style="165" customWidth="1"/>
    <col min="8716" max="8716" width="15.85546875" style="165" customWidth="1"/>
    <col min="8717" max="8717" width="14.7109375" style="165" customWidth="1"/>
    <col min="8718" max="8960" width="13.5703125" style="165"/>
    <col min="8961" max="8962" width="12" style="165" customWidth="1"/>
    <col min="8963" max="8963" width="15.28515625" style="165" customWidth="1"/>
    <col min="8964" max="8964" width="12" style="165" customWidth="1"/>
    <col min="8965" max="8965" width="32.5703125" style="165" bestFit="1" customWidth="1"/>
    <col min="8966" max="8966" width="13.5703125" style="165" customWidth="1"/>
    <col min="8967" max="8967" width="16" style="165" customWidth="1"/>
    <col min="8968" max="8969" width="13.5703125" style="165" customWidth="1"/>
    <col min="8970" max="8971" width="17.85546875" style="165" customWidth="1"/>
    <col min="8972" max="8972" width="15.85546875" style="165" customWidth="1"/>
    <col min="8973" max="8973" width="14.7109375" style="165" customWidth="1"/>
    <col min="8974" max="9216" width="13.5703125" style="165"/>
    <col min="9217" max="9218" width="12" style="165" customWidth="1"/>
    <col min="9219" max="9219" width="15.28515625" style="165" customWidth="1"/>
    <col min="9220" max="9220" width="12" style="165" customWidth="1"/>
    <col min="9221" max="9221" width="32.5703125" style="165" bestFit="1" customWidth="1"/>
    <col min="9222" max="9222" width="13.5703125" style="165" customWidth="1"/>
    <col min="9223" max="9223" width="16" style="165" customWidth="1"/>
    <col min="9224" max="9225" width="13.5703125" style="165" customWidth="1"/>
    <col min="9226" max="9227" width="17.85546875" style="165" customWidth="1"/>
    <col min="9228" max="9228" width="15.85546875" style="165" customWidth="1"/>
    <col min="9229" max="9229" width="14.7109375" style="165" customWidth="1"/>
    <col min="9230" max="9472" width="13.5703125" style="165"/>
    <col min="9473" max="9474" width="12" style="165" customWidth="1"/>
    <col min="9475" max="9475" width="15.28515625" style="165" customWidth="1"/>
    <col min="9476" max="9476" width="12" style="165" customWidth="1"/>
    <col min="9477" max="9477" width="32.5703125" style="165" bestFit="1" customWidth="1"/>
    <col min="9478" max="9478" width="13.5703125" style="165" customWidth="1"/>
    <col min="9479" max="9479" width="16" style="165" customWidth="1"/>
    <col min="9480" max="9481" width="13.5703125" style="165" customWidth="1"/>
    <col min="9482" max="9483" width="17.85546875" style="165" customWidth="1"/>
    <col min="9484" max="9484" width="15.85546875" style="165" customWidth="1"/>
    <col min="9485" max="9485" width="14.7109375" style="165" customWidth="1"/>
    <col min="9486" max="9728" width="13.5703125" style="165"/>
    <col min="9729" max="9730" width="12" style="165" customWidth="1"/>
    <col min="9731" max="9731" width="15.28515625" style="165" customWidth="1"/>
    <col min="9732" max="9732" width="12" style="165" customWidth="1"/>
    <col min="9733" max="9733" width="32.5703125" style="165" bestFit="1" customWidth="1"/>
    <col min="9734" max="9734" width="13.5703125" style="165" customWidth="1"/>
    <col min="9735" max="9735" width="16" style="165" customWidth="1"/>
    <col min="9736" max="9737" width="13.5703125" style="165" customWidth="1"/>
    <col min="9738" max="9739" width="17.85546875" style="165" customWidth="1"/>
    <col min="9740" max="9740" width="15.85546875" style="165" customWidth="1"/>
    <col min="9741" max="9741" width="14.7109375" style="165" customWidth="1"/>
    <col min="9742" max="9984" width="13.5703125" style="165"/>
    <col min="9985" max="9986" width="12" style="165" customWidth="1"/>
    <col min="9987" max="9987" width="15.28515625" style="165" customWidth="1"/>
    <col min="9988" max="9988" width="12" style="165" customWidth="1"/>
    <col min="9989" max="9989" width="32.5703125" style="165" bestFit="1" customWidth="1"/>
    <col min="9990" max="9990" width="13.5703125" style="165" customWidth="1"/>
    <col min="9991" max="9991" width="16" style="165" customWidth="1"/>
    <col min="9992" max="9993" width="13.5703125" style="165" customWidth="1"/>
    <col min="9994" max="9995" width="17.85546875" style="165" customWidth="1"/>
    <col min="9996" max="9996" width="15.85546875" style="165" customWidth="1"/>
    <col min="9997" max="9997" width="14.7109375" style="165" customWidth="1"/>
    <col min="9998" max="10240" width="13.5703125" style="165"/>
    <col min="10241" max="10242" width="12" style="165" customWidth="1"/>
    <col min="10243" max="10243" width="15.28515625" style="165" customWidth="1"/>
    <col min="10244" max="10244" width="12" style="165" customWidth="1"/>
    <col min="10245" max="10245" width="32.5703125" style="165" bestFit="1" customWidth="1"/>
    <col min="10246" max="10246" width="13.5703125" style="165" customWidth="1"/>
    <col min="10247" max="10247" width="16" style="165" customWidth="1"/>
    <col min="10248" max="10249" width="13.5703125" style="165" customWidth="1"/>
    <col min="10250" max="10251" width="17.85546875" style="165" customWidth="1"/>
    <col min="10252" max="10252" width="15.85546875" style="165" customWidth="1"/>
    <col min="10253" max="10253" width="14.7109375" style="165" customWidth="1"/>
    <col min="10254" max="10496" width="13.5703125" style="165"/>
    <col min="10497" max="10498" width="12" style="165" customWidth="1"/>
    <col min="10499" max="10499" width="15.28515625" style="165" customWidth="1"/>
    <col min="10500" max="10500" width="12" style="165" customWidth="1"/>
    <col min="10501" max="10501" width="32.5703125" style="165" bestFit="1" customWidth="1"/>
    <col min="10502" max="10502" width="13.5703125" style="165" customWidth="1"/>
    <col min="10503" max="10503" width="16" style="165" customWidth="1"/>
    <col min="10504" max="10505" width="13.5703125" style="165" customWidth="1"/>
    <col min="10506" max="10507" width="17.85546875" style="165" customWidth="1"/>
    <col min="10508" max="10508" width="15.85546875" style="165" customWidth="1"/>
    <col min="10509" max="10509" width="14.7109375" style="165" customWidth="1"/>
    <col min="10510" max="10752" width="13.5703125" style="165"/>
    <col min="10753" max="10754" width="12" style="165" customWidth="1"/>
    <col min="10755" max="10755" width="15.28515625" style="165" customWidth="1"/>
    <col min="10756" max="10756" width="12" style="165" customWidth="1"/>
    <col min="10757" max="10757" width="32.5703125" style="165" bestFit="1" customWidth="1"/>
    <col min="10758" max="10758" width="13.5703125" style="165" customWidth="1"/>
    <col min="10759" max="10759" width="16" style="165" customWidth="1"/>
    <col min="10760" max="10761" width="13.5703125" style="165" customWidth="1"/>
    <col min="10762" max="10763" width="17.85546875" style="165" customWidth="1"/>
    <col min="10764" max="10764" width="15.85546875" style="165" customWidth="1"/>
    <col min="10765" max="10765" width="14.7109375" style="165" customWidth="1"/>
    <col min="10766" max="11008" width="13.5703125" style="165"/>
    <col min="11009" max="11010" width="12" style="165" customWidth="1"/>
    <col min="11011" max="11011" width="15.28515625" style="165" customWidth="1"/>
    <col min="11012" max="11012" width="12" style="165" customWidth="1"/>
    <col min="11013" max="11013" width="32.5703125" style="165" bestFit="1" customWidth="1"/>
    <col min="11014" max="11014" width="13.5703125" style="165" customWidth="1"/>
    <col min="11015" max="11015" width="16" style="165" customWidth="1"/>
    <col min="11016" max="11017" width="13.5703125" style="165" customWidth="1"/>
    <col min="11018" max="11019" width="17.85546875" style="165" customWidth="1"/>
    <col min="11020" max="11020" width="15.85546875" style="165" customWidth="1"/>
    <col min="11021" max="11021" width="14.7109375" style="165" customWidth="1"/>
    <col min="11022" max="11264" width="13.5703125" style="165"/>
    <col min="11265" max="11266" width="12" style="165" customWidth="1"/>
    <col min="11267" max="11267" width="15.28515625" style="165" customWidth="1"/>
    <col min="11268" max="11268" width="12" style="165" customWidth="1"/>
    <col min="11269" max="11269" width="32.5703125" style="165" bestFit="1" customWidth="1"/>
    <col min="11270" max="11270" width="13.5703125" style="165" customWidth="1"/>
    <col min="11271" max="11271" width="16" style="165" customWidth="1"/>
    <col min="11272" max="11273" width="13.5703125" style="165" customWidth="1"/>
    <col min="11274" max="11275" width="17.85546875" style="165" customWidth="1"/>
    <col min="11276" max="11276" width="15.85546875" style="165" customWidth="1"/>
    <col min="11277" max="11277" width="14.7109375" style="165" customWidth="1"/>
    <col min="11278" max="11520" width="13.5703125" style="165"/>
    <col min="11521" max="11522" width="12" style="165" customWidth="1"/>
    <col min="11523" max="11523" width="15.28515625" style="165" customWidth="1"/>
    <col min="11524" max="11524" width="12" style="165" customWidth="1"/>
    <col min="11525" max="11525" width="32.5703125" style="165" bestFit="1" customWidth="1"/>
    <col min="11526" max="11526" width="13.5703125" style="165" customWidth="1"/>
    <col min="11527" max="11527" width="16" style="165" customWidth="1"/>
    <col min="11528" max="11529" width="13.5703125" style="165" customWidth="1"/>
    <col min="11530" max="11531" width="17.85546875" style="165" customWidth="1"/>
    <col min="11532" max="11532" width="15.85546875" style="165" customWidth="1"/>
    <col min="11533" max="11533" width="14.7109375" style="165" customWidth="1"/>
    <col min="11534" max="11776" width="13.5703125" style="165"/>
    <col min="11777" max="11778" width="12" style="165" customWidth="1"/>
    <col min="11779" max="11779" width="15.28515625" style="165" customWidth="1"/>
    <col min="11780" max="11780" width="12" style="165" customWidth="1"/>
    <col min="11781" max="11781" width="32.5703125" style="165" bestFit="1" customWidth="1"/>
    <col min="11782" max="11782" width="13.5703125" style="165" customWidth="1"/>
    <col min="11783" max="11783" width="16" style="165" customWidth="1"/>
    <col min="11784" max="11785" width="13.5703125" style="165" customWidth="1"/>
    <col min="11786" max="11787" width="17.85546875" style="165" customWidth="1"/>
    <col min="11788" max="11788" width="15.85546875" style="165" customWidth="1"/>
    <col min="11789" max="11789" width="14.7109375" style="165" customWidth="1"/>
    <col min="11790" max="12032" width="13.5703125" style="165"/>
    <col min="12033" max="12034" width="12" style="165" customWidth="1"/>
    <col min="12035" max="12035" width="15.28515625" style="165" customWidth="1"/>
    <col min="12036" max="12036" width="12" style="165" customWidth="1"/>
    <col min="12037" max="12037" width="32.5703125" style="165" bestFit="1" customWidth="1"/>
    <col min="12038" max="12038" width="13.5703125" style="165" customWidth="1"/>
    <col min="12039" max="12039" width="16" style="165" customWidth="1"/>
    <col min="12040" max="12041" width="13.5703125" style="165" customWidth="1"/>
    <col min="12042" max="12043" width="17.85546875" style="165" customWidth="1"/>
    <col min="12044" max="12044" width="15.85546875" style="165" customWidth="1"/>
    <col min="12045" max="12045" width="14.7109375" style="165" customWidth="1"/>
    <col min="12046" max="12288" width="13.5703125" style="165"/>
    <col min="12289" max="12290" width="12" style="165" customWidth="1"/>
    <col min="12291" max="12291" width="15.28515625" style="165" customWidth="1"/>
    <col min="12292" max="12292" width="12" style="165" customWidth="1"/>
    <col min="12293" max="12293" width="32.5703125" style="165" bestFit="1" customWidth="1"/>
    <col min="12294" max="12294" width="13.5703125" style="165" customWidth="1"/>
    <col min="12295" max="12295" width="16" style="165" customWidth="1"/>
    <col min="12296" max="12297" width="13.5703125" style="165" customWidth="1"/>
    <col min="12298" max="12299" width="17.85546875" style="165" customWidth="1"/>
    <col min="12300" max="12300" width="15.85546875" style="165" customWidth="1"/>
    <col min="12301" max="12301" width="14.7109375" style="165" customWidth="1"/>
    <col min="12302" max="12544" width="13.5703125" style="165"/>
    <col min="12545" max="12546" width="12" style="165" customWidth="1"/>
    <col min="12547" max="12547" width="15.28515625" style="165" customWidth="1"/>
    <col min="12548" max="12548" width="12" style="165" customWidth="1"/>
    <col min="12549" max="12549" width="32.5703125" style="165" bestFit="1" customWidth="1"/>
    <col min="12550" max="12550" width="13.5703125" style="165" customWidth="1"/>
    <col min="12551" max="12551" width="16" style="165" customWidth="1"/>
    <col min="12552" max="12553" width="13.5703125" style="165" customWidth="1"/>
    <col min="12554" max="12555" width="17.85546875" style="165" customWidth="1"/>
    <col min="12556" max="12556" width="15.85546875" style="165" customWidth="1"/>
    <col min="12557" max="12557" width="14.7109375" style="165" customWidth="1"/>
    <col min="12558" max="12800" width="13.5703125" style="165"/>
    <col min="12801" max="12802" width="12" style="165" customWidth="1"/>
    <col min="12803" max="12803" width="15.28515625" style="165" customWidth="1"/>
    <col min="12804" max="12804" width="12" style="165" customWidth="1"/>
    <col min="12805" max="12805" width="32.5703125" style="165" bestFit="1" customWidth="1"/>
    <col min="12806" max="12806" width="13.5703125" style="165" customWidth="1"/>
    <col min="12807" max="12807" width="16" style="165" customWidth="1"/>
    <col min="12808" max="12809" width="13.5703125" style="165" customWidth="1"/>
    <col min="12810" max="12811" width="17.85546875" style="165" customWidth="1"/>
    <col min="12812" max="12812" width="15.85546875" style="165" customWidth="1"/>
    <col min="12813" max="12813" width="14.7109375" style="165" customWidth="1"/>
    <col min="12814" max="13056" width="13.5703125" style="165"/>
    <col min="13057" max="13058" width="12" style="165" customWidth="1"/>
    <col min="13059" max="13059" width="15.28515625" style="165" customWidth="1"/>
    <col min="13060" max="13060" width="12" style="165" customWidth="1"/>
    <col min="13061" max="13061" width="32.5703125" style="165" bestFit="1" customWidth="1"/>
    <col min="13062" max="13062" width="13.5703125" style="165" customWidth="1"/>
    <col min="13063" max="13063" width="16" style="165" customWidth="1"/>
    <col min="13064" max="13065" width="13.5703125" style="165" customWidth="1"/>
    <col min="13066" max="13067" width="17.85546875" style="165" customWidth="1"/>
    <col min="13068" max="13068" width="15.85546875" style="165" customWidth="1"/>
    <col min="13069" max="13069" width="14.7109375" style="165" customWidth="1"/>
    <col min="13070" max="13312" width="13.5703125" style="165"/>
    <col min="13313" max="13314" width="12" style="165" customWidth="1"/>
    <col min="13315" max="13315" width="15.28515625" style="165" customWidth="1"/>
    <col min="13316" max="13316" width="12" style="165" customWidth="1"/>
    <col min="13317" max="13317" width="32.5703125" style="165" bestFit="1" customWidth="1"/>
    <col min="13318" max="13318" width="13.5703125" style="165" customWidth="1"/>
    <col min="13319" max="13319" width="16" style="165" customWidth="1"/>
    <col min="13320" max="13321" width="13.5703125" style="165" customWidth="1"/>
    <col min="13322" max="13323" width="17.85546875" style="165" customWidth="1"/>
    <col min="13324" max="13324" width="15.85546875" style="165" customWidth="1"/>
    <col min="13325" max="13325" width="14.7109375" style="165" customWidth="1"/>
    <col min="13326" max="13568" width="13.5703125" style="165"/>
    <col min="13569" max="13570" width="12" style="165" customWidth="1"/>
    <col min="13571" max="13571" width="15.28515625" style="165" customWidth="1"/>
    <col min="13572" max="13572" width="12" style="165" customWidth="1"/>
    <col min="13573" max="13573" width="32.5703125" style="165" bestFit="1" customWidth="1"/>
    <col min="13574" max="13574" width="13.5703125" style="165" customWidth="1"/>
    <col min="13575" max="13575" width="16" style="165" customWidth="1"/>
    <col min="13576" max="13577" width="13.5703125" style="165" customWidth="1"/>
    <col min="13578" max="13579" width="17.85546875" style="165" customWidth="1"/>
    <col min="13580" max="13580" width="15.85546875" style="165" customWidth="1"/>
    <col min="13581" max="13581" width="14.7109375" style="165" customWidth="1"/>
    <col min="13582" max="13824" width="13.5703125" style="165"/>
    <col min="13825" max="13826" width="12" style="165" customWidth="1"/>
    <col min="13827" max="13827" width="15.28515625" style="165" customWidth="1"/>
    <col min="13828" max="13828" width="12" style="165" customWidth="1"/>
    <col min="13829" max="13829" width="32.5703125" style="165" bestFit="1" customWidth="1"/>
    <col min="13830" max="13830" width="13.5703125" style="165" customWidth="1"/>
    <col min="13831" max="13831" width="16" style="165" customWidth="1"/>
    <col min="13832" max="13833" width="13.5703125" style="165" customWidth="1"/>
    <col min="13834" max="13835" width="17.85546875" style="165" customWidth="1"/>
    <col min="13836" max="13836" width="15.85546875" style="165" customWidth="1"/>
    <col min="13837" max="13837" width="14.7109375" style="165" customWidth="1"/>
    <col min="13838" max="14080" width="13.5703125" style="165"/>
    <col min="14081" max="14082" width="12" style="165" customWidth="1"/>
    <col min="14083" max="14083" width="15.28515625" style="165" customWidth="1"/>
    <col min="14084" max="14084" width="12" style="165" customWidth="1"/>
    <col min="14085" max="14085" width="32.5703125" style="165" bestFit="1" customWidth="1"/>
    <col min="14086" max="14086" width="13.5703125" style="165" customWidth="1"/>
    <col min="14087" max="14087" width="16" style="165" customWidth="1"/>
    <col min="14088" max="14089" width="13.5703125" style="165" customWidth="1"/>
    <col min="14090" max="14091" width="17.85546875" style="165" customWidth="1"/>
    <col min="14092" max="14092" width="15.85546875" style="165" customWidth="1"/>
    <col min="14093" max="14093" width="14.7109375" style="165" customWidth="1"/>
    <col min="14094" max="14336" width="13.5703125" style="165"/>
    <col min="14337" max="14338" width="12" style="165" customWidth="1"/>
    <col min="14339" max="14339" width="15.28515625" style="165" customWidth="1"/>
    <col min="14340" max="14340" width="12" style="165" customWidth="1"/>
    <col min="14341" max="14341" width="32.5703125" style="165" bestFit="1" customWidth="1"/>
    <col min="14342" max="14342" width="13.5703125" style="165" customWidth="1"/>
    <col min="14343" max="14343" width="16" style="165" customWidth="1"/>
    <col min="14344" max="14345" width="13.5703125" style="165" customWidth="1"/>
    <col min="14346" max="14347" width="17.85546875" style="165" customWidth="1"/>
    <col min="14348" max="14348" width="15.85546875" style="165" customWidth="1"/>
    <col min="14349" max="14349" width="14.7109375" style="165" customWidth="1"/>
    <col min="14350" max="14592" width="13.5703125" style="165"/>
    <col min="14593" max="14594" width="12" style="165" customWidth="1"/>
    <col min="14595" max="14595" width="15.28515625" style="165" customWidth="1"/>
    <col min="14596" max="14596" width="12" style="165" customWidth="1"/>
    <col min="14597" max="14597" width="32.5703125" style="165" bestFit="1" customWidth="1"/>
    <col min="14598" max="14598" width="13.5703125" style="165" customWidth="1"/>
    <col min="14599" max="14599" width="16" style="165" customWidth="1"/>
    <col min="14600" max="14601" width="13.5703125" style="165" customWidth="1"/>
    <col min="14602" max="14603" width="17.85546875" style="165" customWidth="1"/>
    <col min="14604" max="14604" width="15.85546875" style="165" customWidth="1"/>
    <col min="14605" max="14605" width="14.7109375" style="165" customWidth="1"/>
    <col min="14606" max="14848" width="13.5703125" style="165"/>
    <col min="14849" max="14850" width="12" style="165" customWidth="1"/>
    <col min="14851" max="14851" width="15.28515625" style="165" customWidth="1"/>
    <col min="14852" max="14852" width="12" style="165" customWidth="1"/>
    <col min="14853" max="14853" width="32.5703125" style="165" bestFit="1" customWidth="1"/>
    <col min="14854" max="14854" width="13.5703125" style="165" customWidth="1"/>
    <col min="14855" max="14855" width="16" style="165" customWidth="1"/>
    <col min="14856" max="14857" width="13.5703125" style="165" customWidth="1"/>
    <col min="14858" max="14859" width="17.85546875" style="165" customWidth="1"/>
    <col min="14860" max="14860" width="15.85546875" style="165" customWidth="1"/>
    <col min="14861" max="14861" width="14.7109375" style="165" customWidth="1"/>
    <col min="14862" max="15104" width="13.5703125" style="165"/>
    <col min="15105" max="15106" width="12" style="165" customWidth="1"/>
    <col min="15107" max="15107" width="15.28515625" style="165" customWidth="1"/>
    <col min="15108" max="15108" width="12" style="165" customWidth="1"/>
    <col min="15109" max="15109" width="32.5703125" style="165" bestFit="1" customWidth="1"/>
    <col min="15110" max="15110" width="13.5703125" style="165" customWidth="1"/>
    <col min="15111" max="15111" width="16" style="165" customWidth="1"/>
    <col min="15112" max="15113" width="13.5703125" style="165" customWidth="1"/>
    <col min="15114" max="15115" width="17.85546875" style="165" customWidth="1"/>
    <col min="15116" max="15116" width="15.85546875" style="165" customWidth="1"/>
    <col min="15117" max="15117" width="14.7109375" style="165" customWidth="1"/>
    <col min="15118" max="15360" width="13.5703125" style="165"/>
    <col min="15361" max="15362" width="12" style="165" customWidth="1"/>
    <col min="15363" max="15363" width="15.28515625" style="165" customWidth="1"/>
    <col min="15364" max="15364" width="12" style="165" customWidth="1"/>
    <col min="15365" max="15365" width="32.5703125" style="165" bestFit="1" customWidth="1"/>
    <col min="15366" max="15366" width="13.5703125" style="165" customWidth="1"/>
    <col min="15367" max="15367" width="16" style="165" customWidth="1"/>
    <col min="15368" max="15369" width="13.5703125" style="165" customWidth="1"/>
    <col min="15370" max="15371" width="17.85546875" style="165" customWidth="1"/>
    <col min="15372" max="15372" width="15.85546875" style="165" customWidth="1"/>
    <col min="15373" max="15373" width="14.7109375" style="165" customWidth="1"/>
    <col min="15374" max="15616" width="13.5703125" style="165"/>
    <col min="15617" max="15618" width="12" style="165" customWidth="1"/>
    <col min="15619" max="15619" width="15.28515625" style="165" customWidth="1"/>
    <col min="15620" max="15620" width="12" style="165" customWidth="1"/>
    <col min="15621" max="15621" width="32.5703125" style="165" bestFit="1" customWidth="1"/>
    <col min="15622" max="15622" width="13.5703125" style="165" customWidth="1"/>
    <col min="15623" max="15623" width="16" style="165" customWidth="1"/>
    <col min="15624" max="15625" width="13.5703125" style="165" customWidth="1"/>
    <col min="15626" max="15627" width="17.85546875" style="165" customWidth="1"/>
    <col min="15628" max="15628" width="15.85546875" style="165" customWidth="1"/>
    <col min="15629" max="15629" width="14.7109375" style="165" customWidth="1"/>
    <col min="15630" max="15872" width="13.5703125" style="165"/>
    <col min="15873" max="15874" width="12" style="165" customWidth="1"/>
    <col min="15875" max="15875" width="15.28515625" style="165" customWidth="1"/>
    <col min="15876" max="15876" width="12" style="165" customWidth="1"/>
    <col min="15877" max="15877" width="32.5703125" style="165" bestFit="1" customWidth="1"/>
    <col min="15878" max="15878" width="13.5703125" style="165" customWidth="1"/>
    <col min="15879" max="15879" width="16" style="165" customWidth="1"/>
    <col min="15880" max="15881" width="13.5703125" style="165" customWidth="1"/>
    <col min="15882" max="15883" width="17.85546875" style="165" customWidth="1"/>
    <col min="15884" max="15884" width="15.85546875" style="165" customWidth="1"/>
    <col min="15885" max="15885" width="14.7109375" style="165" customWidth="1"/>
    <col min="15886" max="16128" width="13.5703125" style="165"/>
    <col min="16129" max="16130" width="12" style="165" customWidth="1"/>
    <col min="16131" max="16131" width="15.28515625" style="165" customWidth="1"/>
    <col min="16132" max="16132" width="12" style="165" customWidth="1"/>
    <col min="16133" max="16133" width="32.5703125" style="165" bestFit="1" customWidth="1"/>
    <col min="16134" max="16134" width="13.5703125" style="165" customWidth="1"/>
    <col min="16135" max="16135" width="16" style="165" customWidth="1"/>
    <col min="16136" max="16137" width="13.5703125" style="165" customWidth="1"/>
    <col min="16138" max="16139" width="17.85546875" style="165" customWidth="1"/>
    <col min="16140" max="16140" width="15.85546875" style="165" customWidth="1"/>
    <col min="16141" max="16141" width="14.7109375" style="165" customWidth="1"/>
    <col min="16142" max="16384" width="13.5703125" style="165"/>
  </cols>
  <sheetData>
    <row r="1" spans="1:15" ht="23.25" customHeight="1">
      <c r="A1" s="683" t="str">
        <f>საქმიანობა!A1</f>
        <v>Version 04-მარტი-2019</v>
      </c>
      <c r="B1" s="684"/>
      <c r="C1" s="684"/>
      <c r="D1" s="681" t="s">
        <v>364</v>
      </c>
      <c r="E1" s="681"/>
      <c r="F1" s="681"/>
      <c r="G1" s="681"/>
      <c r="H1" s="681"/>
      <c r="I1" s="681"/>
      <c r="J1" s="681"/>
      <c r="K1" s="681"/>
      <c r="L1" s="681"/>
      <c r="M1" s="682"/>
      <c r="O1" s="165" t="s">
        <v>595</v>
      </c>
    </row>
    <row r="2" spans="1:15" ht="23.25" customHeight="1">
      <c r="A2" s="696" t="s">
        <v>355</v>
      </c>
      <c r="B2" s="697"/>
      <c r="C2" s="697"/>
      <c r="D2" s="697"/>
      <c r="E2" s="222" t="str">
        <f>საქმიანობა!B8</f>
        <v>მამუკა ჭუმბურიძე</v>
      </c>
      <c r="F2" s="698" t="str">
        <f>საქმიანობა!G8</f>
        <v>37001001052</v>
      </c>
      <c r="G2" s="698"/>
      <c r="H2" s="699" t="s">
        <v>356</v>
      </c>
      <c r="I2" s="699"/>
      <c r="J2" s="699"/>
      <c r="K2" s="691" t="str">
        <f>საქმიანობა!B11</f>
        <v>ფიზიკური პირი</v>
      </c>
      <c r="L2" s="691"/>
      <c r="M2" s="694"/>
      <c r="O2" s="165" t="s">
        <v>596</v>
      </c>
    </row>
    <row r="3" spans="1:15" ht="23.25" customHeight="1" thickBot="1">
      <c r="A3" s="700" t="s">
        <v>357</v>
      </c>
      <c r="B3" s="701"/>
      <c r="C3" s="701"/>
      <c r="D3" s="701"/>
      <c r="E3" s="702" t="str">
        <f>საქმიანობა!B4</f>
        <v>სამტრედია</v>
      </c>
      <c r="F3" s="702"/>
      <c r="G3" s="702"/>
      <c r="H3" s="703" t="s">
        <v>358</v>
      </c>
      <c r="I3" s="703"/>
      <c r="J3" s="703"/>
      <c r="K3" s="702" t="str">
        <f>საქმიანობა!B5</f>
        <v>თეონა კუჭუხიძე</v>
      </c>
      <c r="L3" s="702"/>
      <c r="M3" s="704"/>
    </row>
    <row r="4" spans="1:15" ht="23.25" customHeight="1">
      <c r="A4" s="685" t="s">
        <v>160</v>
      </c>
      <c r="B4" s="686"/>
      <c r="C4" s="686"/>
      <c r="D4" s="686"/>
      <c r="E4" s="686"/>
      <c r="F4" s="686"/>
      <c r="G4" s="686"/>
      <c r="H4" s="686"/>
      <c r="I4" s="686"/>
      <c r="J4" s="686"/>
      <c r="K4" s="686"/>
      <c r="L4" s="686"/>
      <c r="M4" s="687"/>
      <c r="O4" s="165" t="s">
        <v>463</v>
      </c>
    </row>
    <row r="5" spans="1:15" ht="23.25" customHeight="1">
      <c r="A5" s="668" t="s">
        <v>287</v>
      </c>
      <c r="B5" s="669"/>
      <c r="C5" s="669"/>
      <c r="D5" s="669"/>
      <c r="E5" s="690" t="str">
        <f>საქმიანობა!B23</f>
        <v>სწრაფი სესხი</v>
      </c>
      <c r="F5" s="664"/>
      <c r="G5" s="664"/>
      <c r="H5" s="688" t="s">
        <v>286</v>
      </c>
      <c r="I5" s="688"/>
      <c r="J5" s="688"/>
      <c r="K5" s="688" t="s">
        <v>362</v>
      </c>
      <c r="L5" s="688"/>
      <c r="M5" s="689"/>
      <c r="O5" s="165" t="s">
        <v>464</v>
      </c>
    </row>
    <row r="6" spans="1:15" ht="23.25" customHeight="1">
      <c r="A6" s="668" t="s">
        <v>359</v>
      </c>
      <c r="B6" s="695"/>
      <c r="C6" s="695"/>
      <c r="D6" s="695"/>
      <c r="E6" s="221">
        <f>IF(საქმიანობა!B24="","",საქმიანობა!B24)</f>
        <v>1500</v>
      </c>
      <c r="F6" s="215" t="s">
        <v>144</v>
      </c>
      <c r="G6" s="194">
        <f>IF(საქმიანობა!B25="","",საქმიანობა!B25)</f>
        <v>18</v>
      </c>
      <c r="H6" s="691" t="str">
        <f>საქმიანობა!B33</f>
        <v>3.1 ბიზნესის მიმდინარე ხარჯები</v>
      </c>
      <c r="I6" s="691"/>
      <c r="J6" s="691"/>
      <c r="K6" s="691" t="str">
        <f>საქმიანობა!B57</f>
        <v>აგრო</v>
      </c>
      <c r="L6" s="691"/>
      <c r="M6" s="694"/>
      <c r="O6" s="165" t="s">
        <v>465</v>
      </c>
    </row>
    <row r="7" spans="1:15" ht="30" customHeight="1">
      <c r="A7" s="668" t="s">
        <v>536</v>
      </c>
      <c r="B7" s="695"/>
      <c r="C7" s="695"/>
      <c r="D7" s="695"/>
      <c r="E7" s="203">
        <f>IF(OR(E6="",G6="",E6=0,G6=0),"",საქმიანობა!C29)</f>
        <v>0.33500000000000002</v>
      </c>
      <c r="F7" s="203">
        <f>IF(OR(E6="",G6="",E6=0,G6=0),"",საქმიანობა!E29)</f>
        <v>0.03</v>
      </c>
      <c r="G7" s="204">
        <f>IF(OR(E6="",G6="",E6=0,G6=0),"",საქმიანობა!G29)</f>
        <v>6.0000000000000001E-3</v>
      </c>
      <c r="H7" s="692" t="s">
        <v>351</v>
      </c>
      <c r="I7" s="692"/>
      <c r="J7" s="194">
        <f>IF(საქმიანობა!B19="","",საქმიანობა!B19)</f>
        <v>292</v>
      </c>
      <c r="K7" s="693" t="s">
        <v>361</v>
      </c>
      <c r="L7" s="693"/>
      <c r="M7" s="205" t="str">
        <f>საქმიანობა!B20</f>
        <v>C3</v>
      </c>
      <c r="O7" s="165" t="s">
        <v>466</v>
      </c>
    </row>
    <row r="8" spans="1:15" ht="23.25" customHeight="1">
      <c r="A8" s="668" t="s">
        <v>129</v>
      </c>
      <c r="B8" s="669"/>
      <c r="C8" s="669"/>
      <c r="D8" s="669"/>
      <c r="E8" s="690" t="str">
        <f>საქმიანობა!B26</f>
        <v>ანუიტეტური</v>
      </c>
      <c r="F8" s="709"/>
      <c r="G8" s="709"/>
      <c r="H8" s="692" t="s">
        <v>310</v>
      </c>
      <c r="I8" s="692"/>
      <c r="J8" s="211">
        <f>IF(საქმიანობა!F27="","",საქმიანობა!F27)</f>
        <v>0.02</v>
      </c>
      <c r="K8" s="713" t="s">
        <v>311</v>
      </c>
      <c r="L8" s="713"/>
      <c r="M8" s="212">
        <f>IF(საქმიანობა!J27="","",საქმიანობა!J27)</f>
        <v>0.02</v>
      </c>
      <c r="O8" s="165" t="s">
        <v>467</v>
      </c>
    </row>
    <row r="9" spans="1:15" ht="23.25" customHeight="1">
      <c r="A9" s="668" t="s">
        <v>360</v>
      </c>
      <c r="B9" s="669"/>
      <c r="C9" s="669"/>
      <c r="D9" s="669"/>
      <c r="E9" s="690">
        <f>საქმიანობა!B27</f>
        <v>0</v>
      </c>
      <c r="F9" s="709"/>
      <c r="G9" s="709"/>
      <c r="H9" s="713" t="s">
        <v>352</v>
      </c>
      <c r="I9" s="713"/>
      <c r="J9" s="713"/>
      <c r="K9" s="679" t="str">
        <f>საქმიანობა!B21</f>
        <v>ალტერნატიული</v>
      </c>
      <c r="L9" s="679"/>
      <c r="M9" s="680"/>
      <c r="O9" s="165" t="s">
        <v>593</v>
      </c>
    </row>
    <row r="10" spans="1:15" ht="23.25" customHeight="1">
      <c r="A10" s="668" t="s">
        <v>227</v>
      </c>
      <c r="B10" s="669"/>
      <c r="C10" s="669"/>
      <c r="D10" s="669"/>
      <c r="E10" s="690" t="str">
        <f>საქმიანობა!J26</f>
        <v>ახალი სესხი</v>
      </c>
      <c r="F10" s="709"/>
      <c r="G10" s="709"/>
      <c r="H10" s="713" t="s">
        <v>207</v>
      </c>
      <c r="I10" s="713"/>
      <c r="J10" s="713"/>
      <c r="K10" s="728">
        <f>IF(საქმიანობა!B40="","",საქმიანობა!B40)</f>
        <v>43570</v>
      </c>
      <c r="L10" s="728"/>
      <c r="M10" s="729"/>
      <c r="O10" s="165" t="s">
        <v>594</v>
      </c>
    </row>
    <row r="11" spans="1:15" ht="69" customHeight="1" thickBot="1">
      <c r="A11" s="735" t="s">
        <v>542</v>
      </c>
      <c r="B11" s="736"/>
      <c r="C11" s="737"/>
      <c r="D11" s="219" t="str">
        <f>საქმიანობა!B15</f>
        <v>დიახ</v>
      </c>
      <c r="E11" s="738" t="s">
        <v>540</v>
      </c>
      <c r="F11" s="737"/>
      <c r="G11" s="219" t="str">
        <f>საქმიანობა!F15</f>
        <v>არა</v>
      </c>
      <c r="H11" s="734" t="s">
        <v>541</v>
      </c>
      <c r="I11" s="734"/>
      <c r="J11" s="232">
        <f>საქმიანობა!J15</f>
        <v>0</v>
      </c>
      <c r="K11" s="734" t="s">
        <v>626</v>
      </c>
      <c r="L11" s="734"/>
      <c r="M11" s="232" t="str">
        <f>საქმიანობა!F17</f>
        <v>არა</v>
      </c>
      <c r="O11" s="165" t="s">
        <v>167</v>
      </c>
    </row>
    <row r="12" spans="1:15" ht="23.25" customHeight="1">
      <c r="A12" s="685" t="s">
        <v>226</v>
      </c>
      <c r="B12" s="686"/>
      <c r="C12" s="686"/>
      <c r="D12" s="686"/>
      <c r="E12" s="686"/>
      <c r="F12" s="686"/>
      <c r="G12" s="686"/>
      <c r="H12" s="686"/>
      <c r="I12" s="686"/>
      <c r="J12" s="686"/>
      <c r="K12" s="686"/>
      <c r="L12" s="686"/>
      <c r="M12" s="687"/>
    </row>
    <row r="13" spans="1:15" ht="23.25" customHeight="1" thickBot="1">
      <c r="A13" s="730" t="s">
        <v>474</v>
      </c>
      <c r="B13" s="731"/>
      <c r="C13" s="732" t="str">
        <f>IF(საქმიანობა!I49="თანხმობა",საქმიანობა!B49,"")</f>
        <v/>
      </c>
      <c r="D13" s="732"/>
      <c r="E13" s="224" t="s">
        <v>479</v>
      </c>
      <c r="F13" s="733" t="str">
        <f>IF(საქმიანობა!I49="თანხმობა",საქმიანობა!D49,"")</f>
        <v/>
      </c>
      <c r="G13" s="733"/>
      <c r="H13" s="731" t="s">
        <v>475</v>
      </c>
      <c r="I13" s="731"/>
      <c r="J13" s="207" t="str">
        <f>IF(საქმიანობა!I49="თანხმობა",საქმიანობა!E49,"")</f>
        <v/>
      </c>
      <c r="K13" s="715" t="s">
        <v>532</v>
      </c>
      <c r="L13" s="715"/>
      <c r="M13" s="214" t="str">
        <f>IF(საქმიანობა!I49="თანხმობა",საქმიანობა!G49,"")</f>
        <v/>
      </c>
    </row>
    <row r="14" spans="1:15" ht="23.25" customHeight="1">
      <c r="A14" s="685" t="s">
        <v>523</v>
      </c>
      <c r="B14" s="686"/>
      <c r="C14" s="686"/>
      <c r="D14" s="686"/>
      <c r="E14" s="686"/>
      <c r="F14" s="686"/>
      <c r="G14" s="686"/>
      <c r="H14" s="686"/>
      <c r="I14" s="686"/>
      <c r="J14" s="686"/>
      <c r="K14" s="686"/>
      <c r="L14" s="686"/>
      <c r="M14" s="687"/>
    </row>
    <row r="15" spans="1:15" ht="23.25" customHeight="1" thickBot="1">
      <c r="A15" s="363" t="s">
        <v>474</v>
      </c>
      <c r="B15" s="364" t="str">
        <f>IF(საქმიანობა!E46&gt;0,საქმიანობა!E46,"")</f>
        <v/>
      </c>
      <c r="C15" s="714" t="s">
        <v>129</v>
      </c>
      <c r="D15" s="714"/>
      <c r="E15" s="365" t="str">
        <f>IF(B15="","",IF(საქმიანობა!D43&gt;0,საქმიანობა!D43,""))</f>
        <v/>
      </c>
      <c r="F15" s="366" t="s">
        <v>479</v>
      </c>
      <c r="G15" s="367" t="str">
        <f>IF(B15="","",IF(საქმიანობა!H43&gt;0,საქმიანობა!H43,""))</f>
        <v/>
      </c>
      <c r="H15" s="716" t="s">
        <v>538</v>
      </c>
      <c r="I15" s="716"/>
      <c r="J15" s="367" t="str">
        <f>IF(B15="","",IF(საქმიანობა!D46&gt;0,საქმიანობა!D46,""))</f>
        <v/>
      </c>
      <c r="K15" s="717" t="s">
        <v>207</v>
      </c>
      <c r="L15" s="717"/>
      <c r="M15" s="368" t="str">
        <f>IF(B15="","",IF(საქმიანობა!H46&gt;0,საქმიანობა!H46,""))</f>
        <v/>
      </c>
    </row>
    <row r="16" spans="1:15" ht="23.25" customHeight="1">
      <c r="A16" s="685" t="s">
        <v>531</v>
      </c>
      <c r="B16" s="686"/>
      <c r="C16" s="686"/>
      <c r="D16" s="686"/>
      <c r="E16" s="686"/>
      <c r="F16" s="686"/>
      <c r="G16" s="686"/>
      <c r="H16" s="686"/>
      <c r="I16" s="686"/>
      <c r="J16" s="686"/>
      <c r="K16" s="686"/>
      <c r="L16" s="686"/>
      <c r="M16" s="687"/>
    </row>
    <row r="17" spans="1:13" ht="33" customHeight="1">
      <c r="A17" s="724" t="s">
        <v>621</v>
      </c>
      <c r="B17" s="692"/>
      <c r="C17" s="692"/>
      <c r="D17" s="692"/>
      <c r="E17" s="712" t="s">
        <v>617</v>
      </c>
      <c r="F17" s="712"/>
      <c r="G17" s="718" t="s">
        <v>618</v>
      </c>
      <c r="H17" s="718"/>
      <c r="I17" s="718" t="s">
        <v>503</v>
      </c>
      <c r="J17" s="718"/>
      <c r="K17" s="688" t="s">
        <v>619</v>
      </c>
      <c r="L17" s="688"/>
      <c r="M17" s="689"/>
    </row>
    <row r="18" spans="1:13" ht="23.25" customHeight="1">
      <c r="A18" s="724" t="s">
        <v>614</v>
      </c>
      <c r="B18" s="692"/>
      <c r="C18" s="692"/>
      <c r="D18" s="692"/>
      <c r="E18" s="722" t="str">
        <f>IF(საქმიანობა!G53="თანხმობა",საქმიანობა!D53," ")</f>
        <v xml:space="preserve"> </v>
      </c>
      <c r="F18" s="722"/>
      <c r="G18" s="727" t="str">
        <f>IF(საქმიანობა!G53="თანხმობა",საქმიანობა!E53," ")</f>
        <v xml:space="preserve"> </v>
      </c>
      <c r="H18" s="727"/>
      <c r="I18" s="722" t="str">
        <f>IF(საქმიანობა!G53="თანხმობა",საქმიანობა!G53," ")</f>
        <v xml:space="preserve"> </v>
      </c>
      <c r="J18" s="722"/>
      <c r="K18" s="690" t="str">
        <f>IF(საქმიანობა!G53="თანხმობა",საქმიანობა!I53," ")</f>
        <v xml:space="preserve"> </v>
      </c>
      <c r="L18" s="709"/>
      <c r="M18" s="723"/>
    </row>
    <row r="19" spans="1:13" ht="23.25" customHeight="1">
      <c r="A19" s="724" t="s">
        <v>615</v>
      </c>
      <c r="B19" s="692"/>
      <c r="C19" s="692"/>
      <c r="D19" s="692"/>
      <c r="E19" s="722" t="str">
        <f>IF(საქმიანობა!G54="თანხმობა",საქმიანობა!D54," ")</f>
        <v xml:space="preserve"> </v>
      </c>
      <c r="F19" s="722"/>
      <c r="G19" s="727" t="str">
        <f>IF(საქმიანობა!G54="თანხმობა",საქმიანობა!E54," ")</f>
        <v xml:space="preserve"> </v>
      </c>
      <c r="H19" s="727"/>
      <c r="I19" s="722" t="str">
        <f>IF(საქმიანობა!G54="თანხმობა",საქმიანობა!G54," ")</f>
        <v xml:space="preserve"> </v>
      </c>
      <c r="J19" s="722"/>
      <c r="K19" s="690" t="str">
        <f>IF(საქმიანობა!G54="თანხმობა",საქმიანობა!I54," ")</f>
        <v xml:space="preserve"> </v>
      </c>
      <c r="L19" s="709"/>
      <c r="M19" s="723"/>
    </row>
    <row r="20" spans="1:13" ht="23.25" customHeight="1" thickBot="1">
      <c r="A20" s="725" t="s">
        <v>616</v>
      </c>
      <c r="B20" s="726"/>
      <c r="C20" s="726"/>
      <c r="D20" s="726"/>
      <c r="E20" s="722" t="str">
        <f>IF(საქმიანობა!G55="თანხმობა",საქმიანობა!D55," ")</f>
        <v xml:space="preserve"> </v>
      </c>
      <c r="F20" s="722"/>
      <c r="G20" s="727" t="str">
        <f>IF(საქმიანობა!G55="თანხმობა",საქმიანობა!E55," ")</f>
        <v xml:space="preserve"> </v>
      </c>
      <c r="H20" s="727"/>
      <c r="I20" s="722" t="str">
        <f>IF(საქმიანობა!G55="თანხმობა",საქმიანობა!G55," ")</f>
        <v xml:space="preserve"> </v>
      </c>
      <c r="J20" s="722"/>
      <c r="K20" s="690" t="str">
        <f>IF(საქმიანობა!G55="თანხმობა",საქმიანობა!I55," ")</f>
        <v xml:space="preserve"> </v>
      </c>
      <c r="L20" s="709"/>
      <c r="M20" s="723"/>
    </row>
    <row r="21" spans="1:13" ht="23.25" customHeight="1">
      <c r="A21" s="719" t="s">
        <v>512</v>
      </c>
      <c r="B21" s="720"/>
      <c r="C21" s="720"/>
      <c r="D21" s="720"/>
      <c r="E21" s="720"/>
      <c r="F21" s="720"/>
      <c r="G21" s="720"/>
      <c r="H21" s="720"/>
      <c r="I21" s="720"/>
      <c r="J21" s="720"/>
      <c r="K21" s="720"/>
      <c r="L21" s="720"/>
      <c r="M21" s="721"/>
    </row>
    <row r="22" spans="1:13" ht="23.25" customHeight="1">
      <c r="A22" s="705">
        <f>საქმიანობა!B36</f>
        <v>0</v>
      </c>
      <c r="B22" s="706"/>
      <c r="C22" s="706"/>
      <c r="D22" s="706"/>
      <c r="E22" s="706"/>
      <c r="F22" s="222">
        <f>საქმიანობა!E36</f>
        <v>0</v>
      </c>
      <c r="G22" s="706">
        <f>საქმიანობა!F36</f>
        <v>0</v>
      </c>
      <c r="H22" s="706"/>
      <c r="I22" s="706"/>
      <c r="J22" s="706"/>
      <c r="K22" s="706"/>
      <c r="L22" s="706"/>
      <c r="M22" s="201">
        <f>საქმიანობა!J36</f>
        <v>0</v>
      </c>
    </row>
    <row r="23" spans="1:13" ht="23.25" customHeight="1" thickBot="1">
      <c r="A23" s="707" t="str">
        <f>საქმიანობა!B37</f>
        <v>ბიზნესისთვის</v>
      </c>
      <c r="B23" s="708"/>
      <c r="C23" s="708"/>
      <c r="D23" s="708"/>
      <c r="E23" s="708"/>
      <c r="F23" s="223">
        <f>საქმიანობა!E37</f>
        <v>1500</v>
      </c>
      <c r="G23" s="708">
        <f>საქმიანობა!F37</f>
        <v>0</v>
      </c>
      <c r="H23" s="708"/>
      <c r="I23" s="708"/>
      <c r="J23" s="708"/>
      <c r="K23" s="708"/>
      <c r="L23" s="708"/>
      <c r="M23" s="202">
        <f>საქმიანობა!J37</f>
        <v>0</v>
      </c>
    </row>
    <row r="24" spans="1:13" ht="23.25" customHeight="1">
      <c r="A24" s="759" t="s">
        <v>469</v>
      </c>
      <c r="B24" s="760"/>
      <c r="C24" s="760"/>
      <c r="D24" s="760"/>
      <c r="E24" s="710" t="s">
        <v>452</v>
      </c>
      <c r="F24" s="711"/>
      <c r="G24" s="711"/>
      <c r="H24" s="710" t="s">
        <v>453</v>
      </c>
      <c r="I24" s="711"/>
      <c r="J24" s="711"/>
      <c r="K24" s="710" t="s">
        <v>454</v>
      </c>
      <c r="L24" s="711"/>
      <c r="M24" s="763"/>
    </row>
    <row r="25" spans="1:13" ht="23.25" customHeight="1">
      <c r="A25" s="668" t="s">
        <v>150</v>
      </c>
      <c r="B25" s="669"/>
      <c r="C25" s="669"/>
      <c r="D25" s="669"/>
      <c r="E25" s="663" t="str">
        <f>IFERROR(საქმიანობა!B137," ")</f>
        <v xml:space="preserve"> </v>
      </c>
      <c r="F25" s="664"/>
      <c r="G25" s="664"/>
      <c r="H25" s="663" t="str">
        <f>IFERROR(საქმიანობა!E137," ")</f>
        <v xml:space="preserve"> </v>
      </c>
      <c r="I25" s="664"/>
      <c r="J25" s="664"/>
      <c r="K25" s="663" t="str">
        <f>IFERROR(საქმიანობა!H137," ")</f>
        <v xml:space="preserve"> </v>
      </c>
      <c r="L25" s="664"/>
      <c r="M25" s="665"/>
    </row>
    <row r="26" spans="1:13" ht="23.25" customHeight="1">
      <c r="A26" s="668" t="s">
        <v>84</v>
      </c>
      <c r="B26" s="669"/>
      <c r="C26" s="669"/>
      <c r="D26" s="669"/>
      <c r="E26" s="663" t="str">
        <f>IF(E25=" ","",საქმიანობა!B138)</f>
        <v/>
      </c>
      <c r="F26" s="664"/>
      <c r="G26" s="664"/>
      <c r="H26" s="663" t="str">
        <f>IF(H25=" ","",საქმიანობა!E138)</f>
        <v/>
      </c>
      <c r="I26" s="664"/>
      <c r="J26" s="664"/>
      <c r="K26" s="663" t="str">
        <f>IF(K25=" ","",საქმიანობა!H138)</f>
        <v/>
      </c>
      <c r="L26" s="664"/>
      <c r="M26" s="665"/>
    </row>
    <row r="27" spans="1:13" ht="23.25" customHeight="1">
      <c r="A27" s="668" t="s">
        <v>383</v>
      </c>
      <c r="B27" s="669"/>
      <c r="C27" s="669"/>
      <c r="D27" s="669"/>
      <c r="E27" s="663" t="str">
        <f>IF(E25=" ","",საქმიანობა!B139)</f>
        <v/>
      </c>
      <c r="F27" s="664"/>
      <c r="G27" s="664"/>
      <c r="H27" s="663" t="str">
        <f>IF(H25=" ","",საქმიანობა!E139)</f>
        <v/>
      </c>
      <c r="I27" s="664"/>
      <c r="J27" s="664"/>
      <c r="K27" s="663" t="str">
        <f>IF(K25=" ","",საქმიანობა!H139)</f>
        <v/>
      </c>
      <c r="L27" s="664"/>
      <c r="M27" s="665"/>
    </row>
    <row r="28" spans="1:13" ht="23.25" customHeight="1">
      <c r="A28" s="668" t="s">
        <v>362</v>
      </c>
      <c r="B28" s="669"/>
      <c r="C28" s="669"/>
      <c r="D28" s="669"/>
      <c r="E28" s="663" t="str">
        <f>IF(E25=" ","",საქმიანობა!B141)</f>
        <v/>
      </c>
      <c r="F28" s="664"/>
      <c r="G28" s="664"/>
      <c r="H28" s="663" t="str">
        <f>IF(H25=" ","",საქმიანობა!E141)</f>
        <v/>
      </c>
      <c r="I28" s="664"/>
      <c r="J28" s="664"/>
      <c r="K28" s="663" t="str">
        <f>IF(K25=" ","",საქმიანობა!H141)</f>
        <v/>
      </c>
      <c r="L28" s="664"/>
      <c r="M28" s="665"/>
    </row>
    <row r="29" spans="1:13" ht="23.25" customHeight="1">
      <c r="A29" s="668" t="s">
        <v>445</v>
      </c>
      <c r="B29" s="669"/>
      <c r="C29" s="669"/>
      <c r="D29" s="669"/>
      <c r="E29" s="663" t="str">
        <f>IF(E25=" ","",საქმიანობა!B142)</f>
        <v/>
      </c>
      <c r="F29" s="664"/>
      <c r="G29" s="664"/>
      <c r="H29" s="663" t="str">
        <f>IF(H25=" ","",საქმიანობა!E142)</f>
        <v/>
      </c>
      <c r="I29" s="664"/>
      <c r="J29" s="664"/>
      <c r="K29" s="663" t="str">
        <f>IF(K25=" ","",საქმიანობა!H142)</f>
        <v/>
      </c>
      <c r="L29" s="664"/>
      <c r="M29" s="665"/>
    </row>
    <row r="30" spans="1:13" ht="23.25" customHeight="1">
      <c r="A30" s="668" t="s">
        <v>446</v>
      </c>
      <c r="B30" s="669"/>
      <c r="C30" s="669"/>
      <c r="D30" s="669"/>
      <c r="E30" s="663" t="str">
        <f>IF(E25=" ","",საქმიანობა!B143)</f>
        <v/>
      </c>
      <c r="F30" s="664"/>
      <c r="G30" s="664"/>
      <c r="H30" s="663" t="str">
        <f>IF(H25=" ","",საქმიანობა!E143)</f>
        <v/>
      </c>
      <c r="I30" s="664"/>
      <c r="J30" s="664"/>
      <c r="K30" s="663" t="str">
        <f>IF(K25=" ","",საქმიანობა!H143)</f>
        <v/>
      </c>
      <c r="L30" s="664"/>
      <c r="M30" s="665"/>
    </row>
    <row r="31" spans="1:13" ht="23.25" customHeight="1">
      <c r="A31" s="668" t="s">
        <v>592</v>
      </c>
      <c r="B31" s="669"/>
      <c r="C31" s="669"/>
      <c r="D31" s="669"/>
      <c r="E31" s="666" t="str">
        <f>IF(E25=" ","",საქმიანობა!B144)</f>
        <v/>
      </c>
      <c r="F31" s="666"/>
      <c r="G31" s="666"/>
      <c r="H31" s="666" t="str">
        <f>IF(H25=" ","",საქმიანობა!E144)</f>
        <v/>
      </c>
      <c r="I31" s="666"/>
      <c r="J31" s="666"/>
      <c r="K31" s="666" t="str">
        <f>IF(K25=" ","",საქმიანობა!H144)</f>
        <v/>
      </c>
      <c r="L31" s="666"/>
      <c r="M31" s="667"/>
    </row>
    <row r="32" spans="1:13" ht="23.25" customHeight="1">
      <c r="A32" s="668" t="s">
        <v>447</v>
      </c>
      <c r="B32" s="669"/>
      <c r="C32" s="669"/>
      <c r="D32" s="669"/>
      <c r="E32" s="666" t="str">
        <f>IF(E25=" ","",საქმიანობა!B145)</f>
        <v/>
      </c>
      <c r="F32" s="666"/>
      <c r="G32" s="666"/>
      <c r="H32" s="666" t="str">
        <f>IF(H25=" ","",საქმიანობა!E145)</f>
        <v/>
      </c>
      <c r="I32" s="666"/>
      <c r="J32" s="666"/>
      <c r="K32" s="666" t="str">
        <f>IF(K25=" ","",საქმიანობა!H145)</f>
        <v/>
      </c>
      <c r="L32" s="666"/>
      <c r="M32" s="667"/>
    </row>
    <row r="33" spans="1:13" ht="23.25" customHeight="1">
      <c r="A33" s="668" t="s">
        <v>309</v>
      </c>
      <c r="B33" s="669"/>
      <c r="C33" s="669"/>
      <c r="D33" s="669"/>
      <c r="E33" s="663" t="str">
        <f>IF(E25=" ","",საქმიანობა!B146)</f>
        <v/>
      </c>
      <c r="F33" s="664"/>
      <c r="G33" s="664"/>
      <c r="H33" s="663" t="str">
        <f>IF(H25=" ","",საქმიანობა!E146)</f>
        <v/>
      </c>
      <c r="I33" s="664"/>
      <c r="J33" s="664"/>
      <c r="K33" s="663" t="str">
        <f>IF(K25=" ","",საქმიანობა!H146)</f>
        <v/>
      </c>
      <c r="L33" s="664"/>
      <c r="M33" s="665"/>
    </row>
    <row r="34" spans="1:13" ht="23.25" customHeight="1">
      <c r="A34" s="668" t="s">
        <v>448</v>
      </c>
      <c r="B34" s="669"/>
      <c r="C34" s="669"/>
      <c r="D34" s="669"/>
      <c r="E34" s="663" t="str">
        <f>IF(E25=" ","",საქმიანობა!B147)</f>
        <v/>
      </c>
      <c r="F34" s="664"/>
      <c r="G34" s="664"/>
      <c r="H34" s="663" t="str">
        <f>IF(H25=" ","",საქმიანობა!E147)</f>
        <v/>
      </c>
      <c r="I34" s="664"/>
      <c r="J34" s="664"/>
      <c r="K34" s="663" t="str">
        <f>IF(K25=" ","",საქმიანობა!H147)</f>
        <v/>
      </c>
      <c r="L34" s="664"/>
      <c r="M34" s="665"/>
    </row>
    <row r="35" spans="1:13" ht="23.25" customHeight="1">
      <c r="A35" s="668" t="s">
        <v>552</v>
      </c>
      <c r="B35" s="669"/>
      <c r="C35" s="669"/>
      <c r="D35" s="669"/>
      <c r="E35" s="663" t="str">
        <f>IF(E25=" ","",საქმიანობა!B158)</f>
        <v/>
      </c>
      <c r="F35" s="664"/>
      <c r="G35" s="664"/>
      <c r="H35" s="663" t="str">
        <f>IF(H25=" ","",საქმიანობა!E158)</f>
        <v/>
      </c>
      <c r="I35" s="664"/>
      <c r="J35" s="664"/>
      <c r="K35" s="663" t="str">
        <f>IF(K25=" ","",საქმიანობა!H158)</f>
        <v/>
      </c>
      <c r="L35" s="664"/>
      <c r="M35" s="665"/>
    </row>
    <row r="36" spans="1:13" ht="23.25" customHeight="1">
      <c r="A36" s="668" t="s">
        <v>449</v>
      </c>
      <c r="B36" s="669"/>
      <c r="C36" s="669"/>
      <c r="D36" s="669"/>
      <c r="E36" s="663" t="str">
        <f>IF(E25=" ","",IFERROR(საქმიანობა!B159,""))</f>
        <v/>
      </c>
      <c r="F36" s="664"/>
      <c r="G36" s="664"/>
      <c r="H36" s="663" t="str">
        <f>IFERROR(საქმიანობა!E159,"")</f>
        <v/>
      </c>
      <c r="I36" s="664"/>
      <c r="J36" s="664"/>
      <c r="K36" s="663" t="str">
        <f>IFERROR(საქმიანობა!H159,"")</f>
        <v/>
      </c>
      <c r="L36" s="664"/>
      <c r="M36" s="665"/>
    </row>
    <row r="37" spans="1:13" ht="23.25" customHeight="1" thickBot="1">
      <c r="A37" s="672" t="s">
        <v>451</v>
      </c>
      <c r="B37" s="673"/>
      <c r="C37" s="673"/>
      <c r="D37" s="673"/>
      <c r="E37" s="674" t="str">
        <f>IF(E25=" ","",საქმიანობა!B160)</f>
        <v/>
      </c>
      <c r="F37" s="674"/>
      <c r="G37" s="674"/>
      <c r="H37" s="674" t="str">
        <f>IF(H25=" ","",საქმიანობა!E160)</f>
        <v/>
      </c>
      <c r="I37" s="674"/>
      <c r="J37" s="674"/>
      <c r="K37" s="674" t="str">
        <f>IF(K25=" ","",საქმიანობა!H160)</f>
        <v/>
      </c>
      <c r="L37" s="674"/>
      <c r="M37" s="678"/>
    </row>
    <row r="38" spans="1:13" ht="23.25" customHeight="1">
      <c r="A38" s="675" t="s">
        <v>460</v>
      </c>
      <c r="B38" s="676"/>
      <c r="C38" s="676"/>
      <c r="D38" s="676"/>
      <c r="E38" s="676"/>
      <c r="F38" s="676"/>
      <c r="G38" s="676"/>
      <c r="H38" s="676"/>
      <c r="I38" s="676"/>
      <c r="J38" s="676"/>
      <c r="K38" s="676"/>
      <c r="L38" s="676"/>
      <c r="M38" s="677"/>
    </row>
    <row r="39" spans="1:13" s="228" customFormat="1" ht="25.5" customHeight="1">
      <c r="A39" s="225" t="s">
        <v>461</v>
      </c>
      <c r="B39" s="670"/>
      <c r="C39" s="670"/>
      <c r="D39" s="670"/>
      <c r="E39" s="226" t="s">
        <v>462</v>
      </c>
      <c r="F39" s="227"/>
      <c r="G39" s="226" t="s">
        <v>377</v>
      </c>
      <c r="H39" s="670"/>
      <c r="I39" s="670"/>
      <c r="J39" s="670"/>
      <c r="K39" s="176" t="str">
        <f>IF(B39=$O$9,$O$1,IF(B39=$O$10,$O$2," "))</f>
        <v xml:space="preserve"> </v>
      </c>
      <c r="L39" s="670"/>
      <c r="M39" s="671"/>
    </row>
    <row r="40" spans="1:13" s="228" customFormat="1" ht="25.5" customHeight="1">
      <c r="A40" s="225" t="s">
        <v>461</v>
      </c>
      <c r="B40" s="670"/>
      <c r="C40" s="670"/>
      <c r="D40" s="670"/>
      <c r="E40" s="226" t="s">
        <v>462</v>
      </c>
      <c r="F40" s="227"/>
      <c r="G40" s="226" t="s">
        <v>377</v>
      </c>
      <c r="H40" s="670"/>
      <c r="I40" s="670"/>
      <c r="J40" s="670"/>
      <c r="K40" s="176" t="str">
        <f>IF(B40=$O$9,$O$1,IF(B40=$O$10,$O$2," "))</f>
        <v xml:space="preserve"> </v>
      </c>
      <c r="L40" s="670"/>
      <c r="M40" s="671"/>
    </row>
    <row r="41" spans="1:13" s="228" customFormat="1" ht="25.5" customHeight="1">
      <c r="A41" s="225" t="s">
        <v>461</v>
      </c>
      <c r="B41" s="670"/>
      <c r="C41" s="670"/>
      <c r="D41" s="670"/>
      <c r="E41" s="226" t="s">
        <v>462</v>
      </c>
      <c r="F41" s="227"/>
      <c r="G41" s="226" t="s">
        <v>377</v>
      </c>
      <c r="H41" s="670"/>
      <c r="I41" s="670"/>
      <c r="J41" s="670"/>
      <c r="K41" s="176" t="str">
        <f>IF(B41=$O$9,$O$1,IF(B41=$O$10,$O$2," "))</f>
        <v xml:space="preserve"> </v>
      </c>
      <c r="L41" s="670"/>
      <c r="M41" s="671"/>
    </row>
    <row r="42" spans="1:13" s="228" customFormat="1" ht="25.5" customHeight="1">
      <c r="A42" s="225" t="s">
        <v>461</v>
      </c>
      <c r="B42" s="670"/>
      <c r="C42" s="670"/>
      <c r="D42" s="670"/>
      <c r="E42" s="226" t="s">
        <v>462</v>
      </c>
      <c r="F42" s="227"/>
      <c r="G42" s="226" t="s">
        <v>377</v>
      </c>
      <c r="H42" s="670"/>
      <c r="I42" s="670"/>
      <c r="J42" s="670"/>
      <c r="K42" s="176" t="str">
        <f>IF(B42=$O$9,$O$1,IF(B42=$O$10,$O$2," "))</f>
        <v xml:space="preserve"> </v>
      </c>
      <c r="L42" s="670"/>
      <c r="M42" s="671"/>
    </row>
    <row r="43" spans="1:13" s="228" customFormat="1" ht="25.5" customHeight="1" thickBot="1">
      <c r="A43" s="229" t="s">
        <v>461</v>
      </c>
      <c r="B43" s="761"/>
      <c r="C43" s="761"/>
      <c r="D43" s="761"/>
      <c r="E43" s="230" t="s">
        <v>462</v>
      </c>
      <c r="F43" s="231"/>
      <c r="G43" s="230" t="s">
        <v>377</v>
      </c>
      <c r="H43" s="761"/>
      <c r="I43" s="761"/>
      <c r="J43" s="761"/>
      <c r="K43" s="200" t="str">
        <f>IF(B43=$O$9,$O$1,IF(B43=$O$10,$O$2," "))</f>
        <v xml:space="preserve"> </v>
      </c>
      <c r="L43" s="761"/>
      <c r="M43" s="762"/>
    </row>
    <row r="44" spans="1:13" ht="23.25" customHeight="1">
      <c r="A44" s="675" t="s">
        <v>513</v>
      </c>
      <c r="B44" s="676"/>
      <c r="C44" s="676"/>
      <c r="D44" s="676"/>
      <c r="E44" s="676"/>
      <c r="F44" s="676"/>
      <c r="G44" s="676"/>
      <c r="H44" s="676"/>
      <c r="I44" s="676"/>
      <c r="J44" s="676"/>
      <c r="K44" s="676"/>
      <c r="L44" s="676"/>
      <c r="M44" s="677"/>
    </row>
    <row r="45" spans="1:13" ht="23.25" customHeight="1">
      <c r="A45" s="755"/>
      <c r="B45" s="751"/>
      <c r="C45" s="751"/>
      <c r="D45" s="751"/>
      <c r="E45" s="751"/>
      <c r="F45" s="751"/>
      <c r="G45" s="751"/>
      <c r="H45" s="751"/>
      <c r="I45" s="751"/>
      <c r="J45" s="751"/>
      <c r="K45" s="751"/>
      <c r="L45" s="751"/>
      <c r="M45" s="756"/>
    </row>
    <row r="46" spans="1:13" ht="23.25" customHeight="1">
      <c r="A46" s="755"/>
      <c r="B46" s="751"/>
      <c r="C46" s="751"/>
      <c r="D46" s="751"/>
      <c r="E46" s="751"/>
      <c r="F46" s="751"/>
      <c r="G46" s="751"/>
      <c r="H46" s="751"/>
      <c r="I46" s="751"/>
      <c r="J46" s="751"/>
      <c r="K46" s="751"/>
      <c r="L46" s="751"/>
      <c r="M46" s="756"/>
    </row>
    <row r="47" spans="1:13" ht="23.25" customHeight="1" thickBot="1">
      <c r="A47" s="757"/>
      <c r="B47" s="741"/>
      <c r="C47" s="741"/>
      <c r="D47" s="741"/>
      <c r="E47" s="741"/>
      <c r="F47" s="741"/>
      <c r="G47" s="741"/>
      <c r="H47" s="741"/>
      <c r="I47" s="741"/>
      <c r="J47" s="741"/>
      <c r="K47" s="741"/>
      <c r="L47" s="741"/>
      <c r="M47" s="758"/>
    </row>
    <row r="48" spans="1:13" ht="23.25" customHeight="1">
      <c r="A48" s="745" t="s">
        <v>504</v>
      </c>
      <c r="B48" s="746"/>
      <c r="C48" s="746"/>
      <c r="D48" s="747" t="s">
        <v>505</v>
      </c>
      <c r="E48" s="747"/>
      <c r="F48" s="747"/>
      <c r="G48" s="746" t="s">
        <v>150</v>
      </c>
      <c r="H48" s="746"/>
      <c r="I48" s="746"/>
      <c r="J48" s="746" t="s">
        <v>503</v>
      </c>
      <c r="K48" s="746"/>
      <c r="L48" s="746" t="s">
        <v>212</v>
      </c>
      <c r="M48" s="748"/>
    </row>
    <row r="49" spans="1:18" ht="23.25" customHeight="1">
      <c r="A49" s="749" t="s">
        <v>506</v>
      </c>
      <c r="B49" s="750"/>
      <c r="C49" s="750"/>
      <c r="D49" s="751" t="s">
        <v>358</v>
      </c>
      <c r="E49" s="751"/>
      <c r="F49" s="751"/>
      <c r="G49" s="751" t="s">
        <v>640</v>
      </c>
      <c r="H49" s="751"/>
      <c r="I49" s="751"/>
      <c r="J49" s="752" t="s">
        <v>177</v>
      </c>
      <c r="K49" s="752"/>
      <c r="L49" s="753">
        <v>43535</v>
      </c>
      <c r="M49" s="754"/>
    </row>
    <row r="50" spans="1:18" ht="23.25" customHeight="1">
      <c r="A50" s="749" t="s">
        <v>507</v>
      </c>
      <c r="B50" s="750"/>
      <c r="C50" s="750"/>
      <c r="D50" s="751"/>
      <c r="E50" s="751"/>
      <c r="F50" s="751"/>
      <c r="G50" s="751"/>
      <c r="H50" s="751"/>
      <c r="I50" s="751"/>
      <c r="J50" s="752"/>
      <c r="K50" s="752"/>
      <c r="L50" s="753"/>
      <c r="M50" s="754"/>
    </row>
    <row r="51" spans="1:18" ht="23.25" customHeight="1" thickBot="1">
      <c r="A51" s="739" t="s">
        <v>508</v>
      </c>
      <c r="B51" s="740"/>
      <c r="C51" s="740"/>
      <c r="D51" s="741"/>
      <c r="E51" s="741"/>
      <c r="F51" s="741"/>
      <c r="G51" s="741"/>
      <c r="H51" s="741"/>
      <c r="I51" s="741"/>
      <c r="J51" s="742"/>
      <c r="K51" s="742"/>
      <c r="L51" s="743"/>
      <c r="M51" s="744"/>
    </row>
    <row r="52" spans="1:18" ht="23.25" customHeight="1">
      <c r="R52" s="1"/>
    </row>
  </sheetData>
  <sheetProtection algorithmName="SHA-512" hashValue="usTjQOlTHv9nBu2JlSgNJYaeKNL6Os6WD2W8xG4E2t8R1y0ruSMlMNgil5IdkdtLl25AH7CpaEmjOxnYY2pdfg==" saltValue="tPmjiah2U3UjEcmJw0OG5A==" spinCount="100000" sheet="1" objects="1" scenarios="1" autoFilter="0"/>
  <mergeCells count="167">
    <mergeCell ref="I20:J20"/>
    <mergeCell ref="A44:M44"/>
    <mergeCell ref="L39:M39"/>
    <mergeCell ref="K36:M36"/>
    <mergeCell ref="H37:J37"/>
    <mergeCell ref="A45:M47"/>
    <mergeCell ref="G23:L23"/>
    <mergeCell ref="A24:D24"/>
    <mergeCell ref="A35:D35"/>
    <mergeCell ref="E35:G35"/>
    <mergeCell ref="H35:J35"/>
    <mergeCell ref="K35:M35"/>
    <mergeCell ref="H39:J39"/>
    <mergeCell ref="K33:M33"/>
    <mergeCell ref="K34:M34"/>
    <mergeCell ref="H34:J34"/>
    <mergeCell ref="H42:J42"/>
    <mergeCell ref="L42:M42"/>
    <mergeCell ref="B43:D43"/>
    <mergeCell ref="H43:J43"/>
    <mergeCell ref="L43:M43"/>
    <mergeCell ref="B42:D42"/>
    <mergeCell ref="K25:M25"/>
    <mergeCell ref="K24:M24"/>
    <mergeCell ref="A51:C51"/>
    <mergeCell ref="D51:F51"/>
    <mergeCell ref="G51:I51"/>
    <mergeCell ref="J51:K51"/>
    <mergeCell ref="L51:M51"/>
    <mergeCell ref="A48:C48"/>
    <mergeCell ref="D48:F48"/>
    <mergeCell ref="G48:I48"/>
    <mergeCell ref="J48:K48"/>
    <mergeCell ref="L48:M48"/>
    <mergeCell ref="A49:C49"/>
    <mergeCell ref="D49:F49"/>
    <mergeCell ref="G49:I49"/>
    <mergeCell ref="J49:K49"/>
    <mergeCell ref="L49:M49"/>
    <mergeCell ref="A50:C50"/>
    <mergeCell ref="D50:F50"/>
    <mergeCell ref="G50:I50"/>
    <mergeCell ref="J50:K50"/>
    <mergeCell ref="L50:M50"/>
    <mergeCell ref="E10:G10"/>
    <mergeCell ref="H10:J10"/>
    <mergeCell ref="K10:M10"/>
    <mergeCell ref="A12:M12"/>
    <mergeCell ref="A13:B13"/>
    <mergeCell ref="C13:D13"/>
    <mergeCell ref="F13:G13"/>
    <mergeCell ref="H13:I13"/>
    <mergeCell ref="H11:I11"/>
    <mergeCell ref="A11:C11"/>
    <mergeCell ref="E11:F11"/>
    <mergeCell ref="K11:L11"/>
    <mergeCell ref="A14:M14"/>
    <mergeCell ref="C15:D15"/>
    <mergeCell ref="K13:L13"/>
    <mergeCell ref="H15:I15"/>
    <mergeCell ref="K15:L15"/>
    <mergeCell ref="G17:H17"/>
    <mergeCell ref="I17:J17"/>
    <mergeCell ref="A21:M21"/>
    <mergeCell ref="E18:F18"/>
    <mergeCell ref="E19:F19"/>
    <mergeCell ref="E20:F20"/>
    <mergeCell ref="K17:M17"/>
    <mergeCell ref="K18:M18"/>
    <mergeCell ref="K19:M19"/>
    <mergeCell ref="K20:M20"/>
    <mergeCell ref="A17:D17"/>
    <mergeCell ref="A18:D18"/>
    <mergeCell ref="A19:D19"/>
    <mergeCell ref="A20:D20"/>
    <mergeCell ref="G18:H18"/>
    <mergeCell ref="I18:J18"/>
    <mergeCell ref="G19:H19"/>
    <mergeCell ref="I19:J19"/>
    <mergeCell ref="G20:H20"/>
    <mergeCell ref="A22:E22"/>
    <mergeCell ref="G22:L22"/>
    <mergeCell ref="A23:E23"/>
    <mergeCell ref="A34:D34"/>
    <mergeCell ref="A26:D26"/>
    <mergeCell ref="E8:G8"/>
    <mergeCell ref="E29:G29"/>
    <mergeCell ref="H29:J29"/>
    <mergeCell ref="E30:G30"/>
    <mergeCell ref="H30:J30"/>
    <mergeCell ref="E24:G24"/>
    <mergeCell ref="H24:J24"/>
    <mergeCell ref="E25:G25"/>
    <mergeCell ref="H25:J25"/>
    <mergeCell ref="E27:G27"/>
    <mergeCell ref="H27:J27"/>
    <mergeCell ref="A16:M16"/>
    <mergeCell ref="E17:F17"/>
    <mergeCell ref="K8:L8"/>
    <mergeCell ref="A8:D8"/>
    <mergeCell ref="E9:G9"/>
    <mergeCell ref="A10:D10"/>
    <mergeCell ref="A9:D9"/>
    <mergeCell ref="H9:J9"/>
    <mergeCell ref="K9:M9"/>
    <mergeCell ref="D1:M1"/>
    <mergeCell ref="A1:C1"/>
    <mergeCell ref="A4:M4"/>
    <mergeCell ref="K5:M5"/>
    <mergeCell ref="A5:D5"/>
    <mergeCell ref="E5:G5"/>
    <mergeCell ref="H5:J5"/>
    <mergeCell ref="H6:J6"/>
    <mergeCell ref="H7:I7"/>
    <mergeCell ref="K7:L7"/>
    <mergeCell ref="K6:M6"/>
    <mergeCell ref="A6:D6"/>
    <mergeCell ref="A7:D7"/>
    <mergeCell ref="A2:D2"/>
    <mergeCell ref="F2:G2"/>
    <mergeCell ref="H2:J2"/>
    <mergeCell ref="K2:M2"/>
    <mergeCell ref="A3:D3"/>
    <mergeCell ref="E3:G3"/>
    <mergeCell ref="H3:J3"/>
    <mergeCell ref="K3:M3"/>
    <mergeCell ref="H8:I8"/>
    <mergeCell ref="H41:J41"/>
    <mergeCell ref="L41:M41"/>
    <mergeCell ref="B40:D40"/>
    <mergeCell ref="A36:D36"/>
    <mergeCell ref="A37:D37"/>
    <mergeCell ref="E36:G36"/>
    <mergeCell ref="H36:J36"/>
    <mergeCell ref="E37:G37"/>
    <mergeCell ref="A38:M38"/>
    <mergeCell ref="B39:D39"/>
    <mergeCell ref="K37:M37"/>
    <mergeCell ref="H40:J40"/>
    <mergeCell ref="L40:M40"/>
    <mergeCell ref="B41:D41"/>
    <mergeCell ref="A25:D25"/>
    <mergeCell ref="A27:D27"/>
    <mergeCell ref="A28:D28"/>
    <mergeCell ref="A29:D29"/>
    <mergeCell ref="A30:D30"/>
    <mergeCell ref="A32:D32"/>
    <mergeCell ref="A33:D33"/>
    <mergeCell ref="E33:G33"/>
    <mergeCell ref="H33:J33"/>
    <mergeCell ref="E34:G34"/>
    <mergeCell ref="E28:G28"/>
    <mergeCell ref="H28:J28"/>
    <mergeCell ref="E26:G26"/>
    <mergeCell ref="H26:J26"/>
    <mergeCell ref="K27:M27"/>
    <mergeCell ref="K32:M32"/>
    <mergeCell ref="A31:D31"/>
    <mergeCell ref="E31:G31"/>
    <mergeCell ref="H31:J31"/>
    <mergeCell ref="K31:M31"/>
    <mergeCell ref="K29:M29"/>
    <mergeCell ref="K30:M30"/>
    <mergeCell ref="K26:M26"/>
    <mergeCell ref="E32:G32"/>
    <mergeCell ref="H32:J32"/>
    <mergeCell ref="K28:M28"/>
  </mergeCells>
  <dataValidations count="13">
    <dataValidation type="list" allowBlank="1" showInputMessage="1" showErrorMessage="1" sqref="F6">
      <formula1>"GEL,USD"</formula1>
    </dataValidation>
    <dataValidation type="list" allowBlank="1" showInputMessage="1" showErrorMessage="1" sqref="WVP983007 IU5 SQ5 ACM5 AMI5 AWE5 BGA5 BPW5 BZS5 CJO5 CTK5 DDG5 DNC5 DWY5 EGU5 EQQ5 FAM5 FKI5 FUE5 GEA5 GNW5 GXS5 HHO5 HRK5 IBG5 ILC5 IUY5 JEU5 JOQ5 JYM5 KII5 KSE5 LCA5 LLW5 LVS5 MFO5 MPK5 MZG5 NJC5 NSY5 OCU5 OMQ5 OWM5 PGI5 PQE5 QAA5 QJW5 QTS5 RDO5 RNK5 RXG5 SHC5 SQY5 TAU5 TKQ5 TUM5 UEI5 UOE5 UYA5 VHW5 VRS5 WBO5 WLK5 WVG5 E65493 JA65503 SW65503 ACS65503 AMO65503 AWK65503 BGG65503 BQC65503 BZY65503 CJU65503 CTQ65503 DDM65503 DNI65503 DXE65503 EHA65503 EQW65503 FAS65503 FKO65503 FUK65503 GEG65503 GOC65503 GXY65503 HHU65503 HRQ65503 IBM65503 ILI65503 IVE65503 JFA65503 JOW65503 JYS65503 KIO65503 KSK65503 LCG65503 LMC65503 LVY65503 MFU65503 MPQ65503 MZM65503 NJI65503 NTE65503 ODA65503 OMW65503 OWS65503 PGO65503 PQK65503 QAG65503 QKC65503 QTY65503 RDU65503 RNQ65503 RXM65503 SHI65503 SRE65503 TBA65503 TKW65503 TUS65503 UEO65503 UOK65503 UYG65503 VIC65503 VRY65503 WBU65503 WLQ65503 WVM65503 E131029 JA131039 SW131039 ACS131039 AMO131039 AWK131039 BGG131039 BQC131039 BZY131039 CJU131039 CTQ131039 DDM131039 DNI131039 DXE131039 EHA131039 EQW131039 FAS131039 FKO131039 FUK131039 GEG131039 GOC131039 GXY131039 HHU131039 HRQ131039 IBM131039 ILI131039 IVE131039 JFA131039 JOW131039 JYS131039 KIO131039 KSK131039 LCG131039 LMC131039 LVY131039 MFU131039 MPQ131039 MZM131039 NJI131039 NTE131039 ODA131039 OMW131039 OWS131039 PGO131039 PQK131039 QAG131039 QKC131039 QTY131039 RDU131039 RNQ131039 RXM131039 SHI131039 SRE131039 TBA131039 TKW131039 TUS131039 UEO131039 UOK131039 UYG131039 VIC131039 VRY131039 WBU131039 WLQ131039 WVM131039 E196565 JA196575 SW196575 ACS196575 AMO196575 AWK196575 BGG196575 BQC196575 BZY196575 CJU196575 CTQ196575 DDM196575 DNI196575 DXE196575 EHA196575 EQW196575 FAS196575 FKO196575 FUK196575 GEG196575 GOC196575 GXY196575 HHU196575 HRQ196575 IBM196575 ILI196575 IVE196575 JFA196575 JOW196575 JYS196575 KIO196575 KSK196575 LCG196575 LMC196575 LVY196575 MFU196575 MPQ196575 MZM196575 NJI196575 NTE196575 ODA196575 OMW196575 OWS196575 PGO196575 PQK196575 QAG196575 QKC196575 QTY196575 RDU196575 RNQ196575 RXM196575 SHI196575 SRE196575 TBA196575 TKW196575 TUS196575 UEO196575 UOK196575 UYG196575 VIC196575 VRY196575 WBU196575 WLQ196575 WVM196575 E262101 JA262111 SW262111 ACS262111 AMO262111 AWK262111 BGG262111 BQC262111 BZY262111 CJU262111 CTQ262111 DDM262111 DNI262111 DXE262111 EHA262111 EQW262111 FAS262111 FKO262111 FUK262111 GEG262111 GOC262111 GXY262111 HHU262111 HRQ262111 IBM262111 ILI262111 IVE262111 JFA262111 JOW262111 JYS262111 KIO262111 KSK262111 LCG262111 LMC262111 LVY262111 MFU262111 MPQ262111 MZM262111 NJI262111 NTE262111 ODA262111 OMW262111 OWS262111 PGO262111 PQK262111 QAG262111 QKC262111 QTY262111 RDU262111 RNQ262111 RXM262111 SHI262111 SRE262111 TBA262111 TKW262111 TUS262111 UEO262111 UOK262111 UYG262111 VIC262111 VRY262111 WBU262111 WLQ262111 WVM262111 E327637 JA327647 SW327647 ACS327647 AMO327647 AWK327647 BGG327647 BQC327647 BZY327647 CJU327647 CTQ327647 DDM327647 DNI327647 DXE327647 EHA327647 EQW327647 FAS327647 FKO327647 FUK327647 GEG327647 GOC327647 GXY327647 HHU327647 HRQ327647 IBM327647 ILI327647 IVE327647 JFA327647 JOW327647 JYS327647 KIO327647 KSK327647 LCG327647 LMC327647 LVY327647 MFU327647 MPQ327647 MZM327647 NJI327647 NTE327647 ODA327647 OMW327647 OWS327647 PGO327647 PQK327647 QAG327647 QKC327647 QTY327647 RDU327647 RNQ327647 RXM327647 SHI327647 SRE327647 TBA327647 TKW327647 TUS327647 UEO327647 UOK327647 UYG327647 VIC327647 VRY327647 WBU327647 WLQ327647 WVM327647 E393173 JA393183 SW393183 ACS393183 AMO393183 AWK393183 BGG393183 BQC393183 BZY393183 CJU393183 CTQ393183 DDM393183 DNI393183 DXE393183 EHA393183 EQW393183 FAS393183 FKO393183 FUK393183 GEG393183 GOC393183 GXY393183 HHU393183 HRQ393183 IBM393183 ILI393183 IVE393183 JFA393183 JOW393183 JYS393183 KIO393183 KSK393183 LCG393183 LMC393183 LVY393183 MFU393183 MPQ393183 MZM393183 NJI393183 NTE393183 ODA393183 OMW393183 OWS393183 PGO393183 PQK393183 QAG393183 QKC393183 QTY393183 RDU393183 RNQ393183 RXM393183 SHI393183 SRE393183 TBA393183 TKW393183 TUS393183 UEO393183 UOK393183 UYG393183 VIC393183 VRY393183 WBU393183 WLQ393183 WVM393183 E458709 JA458719 SW458719 ACS458719 AMO458719 AWK458719 BGG458719 BQC458719 BZY458719 CJU458719 CTQ458719 DDM458719 DNI458719 DXE458719 EHA458719 EQW458719 FAS458719 FKO458719 FUK458719 GEG458719 GOC458719 GXY458719 HHU458719 HRQ458719 IBM458719 ILI458719 IVE458719 JFA458719 JOW458719 JYS458719 KIO458719 KSK458719 LCG458719 LMC458719 LVY458719 MFU458719 MPQ458719 MZM458719 NJI458719 NTE458719 ODA458719 OMW458719 OWS458719 PGO458719 PQK458719 QAG458719 QKC458719 QTY458719 RDU458719 RNQ458719 RXM458719 SHI458719 SRE458719 TBA458719 TKW458719 TUS458719 UEO458719 UOK458719 UYG458719 VIC458719 VRY458719 WBU458719 WLQ458719 WVM458719 E524245 JA524255 SW524255 ACS524255 AMO524255 AWK524255 BGG524255 BQC524255 BZY524255 CJU524255 CTQ524255 DDM524255 DNI524255 DXE524255 EHA524255 EQW524255 FAS524255 FKO524255 FUK524255 GEG524255 GOC524255 GXY524255 HHU524255 HRQ524255 IBM524255 ILI524255 IVE524255 JFA524255 JOW524255 JYS524255 KIO524255 KSK524255 LCG524255 LMC524255 LVY524255 MFU524255 MPQ524255 MZM524255 NJI524255 NTE524255 ODA524255 OMW524255 OWS524255 PGO524255 PQK524255 QAG524255 QKC524255 QTY524255 RDU524255 RNQ524255 RXM524255 SHI524255 SRE524255 TBA524255 TKW524255 TUS524255 UEO524255 UOK524255 UYG524255 VIC524255 VRY524255 WBU524255 WLQ524255 WVM524255 E589781 JA589791 SW589791 ACS589791 AMO589791 AWK589791 BGG589791 BQC589791 BZY589791 CJU589791 CTQ589791 DDM589791 DNI589791 DXE589791 EHA589791 EQW589791 FAS589791 FKO589791 FUK589791 GEG589791 GOC589791 GXY589791 HHU589791 HRQ589791 IBM589791 ILI589791 IVE589791 JFA589791 JOW589791 JYS589791 KIO589791 KSK589791 LCG589791 LMC589791 LVY589791 MFU589791 MPQ589791 MZM589791 NJI589791 NTE589791 ODA589791 OMW589791 OWS589791 PGO589791 PQK589791 QAG589791 QKC589791 QTY589791 RDU589791 RNQ589791 RXM589791 SHI589791 SRE589791 TBA589791 TKW589791 TUS589791 UEO589791 UOK589791 UYG589791 VIC589791 VRY589791 WBU589791 WLQ589791 WVM589791 E655317 JA655327 SW655327 ACS655327 AMO655327 AWK655327 BGG655327 BQC655327 BZY655327 CJU655327 CTQ655327 DDM655327 DNI655327 DXE655327 EHA655327 EQW655327 FAS655327 FKO655327 FUK655327 GEG655327 GOC655327 GXY655327 HHU655327 HRQ655327 IBM655327 ILI655327 IVE655327 JFA655327 JOW655327 JYS655327 KIO655327 KSK655327 LCG655327 LMC655327 LVY655327 MFU655327 MPQ655327 MZM655327 NJI655327 NTE655327 ODA655327 OMW655327 OWS655327 PGO655327 PQK655327 QAG655327 QKC655327 QTY655327 RDU655327 RNQ655327 RXM655327 SHI655327 SRE655327 TBA655327 TKW655327 TUS655327 UEO655327 UOK655327 UYG655327 VIC655327 VRY655327 WBU655327 WLQ655327 WVM655327 E720853 JA720863 SW720863 ACS720863 AMO720863 AWK720863 BGG720863 BQC720863 BZY720863 CJU720863 CTQ720863 DDM720863 DNI720863 DXE720863 EHA720863 EQW720863 FAS720863 FKO720863 FUK720863 GEG720863 GOC720863 GXY720863 HHU720863 HRQ720863 IBM720863 ILI720863 IVE720863 JFA720863 JOW720863 JYS720863 KIO720863 KSK720863 LCG720863 LMC720863 LVY720863 MFU720863 MPQ720863 MZM720863 NJI720863 NTE720863 ODA720863 OMW720863 OWS720863 PGO720863 PQK720863 QAG720863 QKC720863 QTY720863 RDU720863 RNQ720863 RXM720863 SHI720863 SRE720863 TBA720863 TKW720863 TUS720863 UEO720863 UOK720863 UYG720863 VIC720863 VRY720863 WBU720863 WLQ720863 WVM720863 E786389 JA786399 SW786399 ACS786399 AMO786399 AWK786399 BGG786399 BQC786399 BZY786399 CJU786399 CTQ786399 DDM786399 DNI786399 DXE786399 EHA786399 EQW786399 FAS786399 FKO786399 FUK786399 GEG786399 GOC786399 GXY786399 HHU786399 HRQ786399 IBM786399 ILI786399 IVE786399 JFA786399 JOW786399 JYS786399 KIO786399 KSK786399 LCG786399 LMC786399 LVY786399 MFU786399 MPQ786399 MZM786399 NJI786399 NTE786399 ODA786399 OMW786399 OWS786399 PGO786399 PQK786399 QAG786399 QKC786399 QTY786399 RDU786399 RNQ786399 RXM786399 SHI786399 SRE786399 TBA786399 TKW786399 TUS786399 UEO786399 UOK786399 UYG786399 VIC786399 VRY786399 WBU786399 WLQ786399 WVM786399 E851925 JA851935 SW851935 ACS851935 AMO851935 AWK851935 BGG851935 BQC851935 BZY851935 CJU851935 CTQ851935 DDM851935 DNI851935 DXE851935 EHA851935 EQW851935 FAS851935 FKO851935 FUK851935 GEG851935 GOC851935 GXY851935 HHU851935 HRQ851935 IBM851935 ILI851935 IVE851935 JFA851935 JOW851935 JYS851935 KIO851935 KSK851935 LCG851935 LMC851935 LVY851935 MFU851935 MPQ851935 MZM851935 NJI851935 NTE851935 ODA851935 OMW851935 OWS851935 PGO851935 PQK851935 QAG851935 QKC851935 QTY851935 RDU851935 RNQ851935 RXM851935 SHI851935 SRE851935 TBA851935 TKW851935 TUS851935 UEO851935 UOK851935 UYG851935 VIC851935 VRY851935 WBU851935 WLQ851935 WVM851935 E917461 JA917471 SW917471 ACS917471 AMO917471 AWK917471 BGG917471 BQC917471 BZY917471 CJU917471 CTQ917471 DDM917471 DNI917471 DXE917471 EHA917471 EQW917471 FAS917471 FKO917471 FUK917471 GEG917471 GOC917471 GXY917471 HHU917471 HRQ917471 IBM917471 ILI917471 IVE917471 JFA917471 JOW917471 JYS917471 KIO917471 KSK917471 LCG917471 LMC917471 LVY917471 MFU917471 MPQ917471 MZM917471 NJI917471 NTE917471 ODA917471 OMW917471 OWS917471 PGO917471 PQK917471 QAG917471 QKC917471 QTY917471 RDU917471 RNQ917471 RXM917471 SHI917471 SRE917471 TBA917471 TKW917471 TUS917471 UEO917471 UOK917471 UYG917471 VIC917471 VRY917471 WBU917471 WLQ917471 WVM917471 E982997 JA983007 SW983007 ACS983007 AMO983007 AWK983007 BGG983007 BQC983007 BZY983007 CJU983007 CTQ983007 DDM983007 DNI983007 DXE983007 EHA983007 EQW983007 FAS983007 FKO983007 FUK983007 GEG983007 GOC983007 GXY983007 HHU983007 HRQ983007 IBM983007 ILI983007 IVE983007 JFA983007 JOW983007 JYS983007 KIO983007 KSK983007 LCG983007 LMC983007 LVY983007 MFU983007 MPQ983007 MZM983007 NJI983007 NTE983007 ODA983007 OMW983007 OWS983007 PGO983007 PQK983007 QAG983007 QKC983007 QTY983007 RDU983007 RNQ983007 RXM983007 SHI983007 SRE983007 TBA983007 TKW983007 TUS983007 UEO983007 UOK983007 UYG983007 VIC983007 VRY983007 WBU983007 WLQ983007 WVM98300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H65493 JD65503 SZ65503 ACV65503 AMR65503 AWN65503 BGJ65503 BQF65503 CAB65503 CJX65503 CTT65503 DDP65503 DNL65503 DXH65503 EHD65503 EQZ65503 FAV65503 FKR65503 FUN65503 GEJ65503 GOF65503 GYB65503 HHX65503 HRT65503 IBP65503 ILL65503 IVH65503 JFD65503 JOZ65503 JYV65503 KIR65503 KSN65503 LCJ65503 LMF65503 LWB65503 MFX65503 MPT65503 MZP65503 NJL65503 NTH65503 ODD65503 OMZ65503 OWV65503 PGR65503 PQN65503 QAJ65503 QKF65503 QUB65503 RDX65503 RNT65503 RXP65503 SHL65503 SRH65503 TBD65503 TKZ65503 TUV65503 UER65503 UON65503 UYJ65503 VIF65503 VSB65503 WBX65503 WLT65503 WVP65503 H131029 JD131039 SZ131039 ACV131039 AMR131039 AWN131039 BGJ131039 BQF131039 CAB131039 CJX131039 CTT131039 DDP131039 DNL131039 DXH131039 EHD131039 EQZ131039 FAV131039 FKR131039 FUN131039 GEJ131039 GOF131039 GYB131039 HHX131039 HRT131039 IBP131039 ILL131039 IVH131039 JFD131039 JOZ131039 JYV131039 KIR131039 KSN131039 LCJ131039 LMF131039 LWB131039 MFX131039 MPT131039 MZP131039 NJL131039 NTH131039 ODD131039 OMZ131039 OWV131039 PGR131039 PQN131039 QAJ131039 QKF131039 QUB131039 RDX131039 RNT131039 RXP131039 SHL131039 SRH131039 TBD131039 TKZ131039 TUV131039 UER131039 UON131039 UYJ131039 VIF131039 VSB131039 WBX131039 WLT131039 WVP131039 H196565 JD196575 SZ196575 ACV196575 AMR196575 AWN196575 BGJ196575 BQF196575 CAB196575 CJX196575 CTT196575 DDP196575 DNL196575 DXH196575 EHD196575 EQZ196575 FAV196575 FKR196575 FUN196575 GEJ196575 GOF196575 GYB196575 HHX196575 HRT196575 IBP196575 ILL196575 IVH196575 JFD196575 JOZ196575 JYV196575 KIR196575 KSN196575 LCJ196575 LMF196575 LWB196575 MFX196575 MPT196575 MZP196575 NJL196575 NTH196575 ODD196575 OMZ196575 OWV196575 PGR196575 PQN196575 QAJ196575 QKF196575 QUB196575 RDX196575 RNT196575 RXP196575 SHL196575 SRH196575 TBD196575 TKZ196575 TUV196575 UER196575 UON196575 UYJ196575 VIF196575 VSB196575 WBX196575 WLT196575 WVP196575 H262101 JD262111 SZ262111 ACV262111 AMR262111 AWN262111 BGJ262111 BQF262111 CAB262111 CJX262111 CTT262111 DDP262111 DNL262111 DXH262111 EHD262111 EQZ262111 FAV262111 FKR262111 FUN262111 GEJ262111 GOF262111 GYB262111 HHX262111 HRT262111 IBP262111 ILL262111 IVH262111 JFD262111 JOZ262111 JYV262111 KIR262111 KSN262111 LCJ262111 LMF262111 LWB262111 MFX262111 MPT262111 MZP262111 NJL262111 NTH262111 ODD262111 OMZ262111 OWV262111 PGR262111 PQN262111 QAJ262111 QKF262111 QUB262111 RDX262111 RNT262111 RXP262111 SHL262111 SRH262111 TBD262111 TKZ262111 TUV262111 UER262111 UON262111 UYJ262111 VIF262111 VSB262111 WBX262111 WLT262111 WVP262111 H327637 JD327647 SZ327647 ACV327647 AMR327647 AWN327647 BGJ327647 BQF327647 CAB327647 CJX327647 CTT327647 DDP327647 DNL327647 DXH327647 EHD327647 EQZ327647 FAV327647 FKR327647 FUN327647 GEJ327647 GOF327647 GYB327647 HHX327647 HRT327647 IBP327647 ILL327647 IVH327647 JFD327647 JOZ327647 JYV327647 KIR327647 KSN327647 LCJ327647 LMF327647 LWB327647 MFX327647 MPT327647 MZP327647 NJL327647 NTH327647 ODD327647 OMZ327647 OWV327647 PGR327647 PQN327647 QAJ327647 QKF327647 QUB327647 RDX327647 RNT327647 RXP327647 SHL327647 SRH327647 TBD327647 TKZ327647 TUV327647 UER327647 UON327647 UYJ327647 VIF327647 VSB327647 WBX327647 WLT327647 WVP327647 H393173 JD393183 SZ393183 ACV393183 AMR393183 AWN393183 BGJ393183 BQF393183 CAB393183 CJX393183 CTT393183 DDP393183 DNL393183 DXH393183 EHD393183 EQZ393183 FAV393183 FKR393183 FUN393183 GEJ393183 GOF393183 GYB393183 HHX393183 HRT393183 IBP393183 ILL393183 IVH393183 JFD393183 JOZ393183 JYV393183 KIR393183 KSN393183 LCJ393183 LMF393183 LWB393183 MFX393183 MPT393183 MZP393183 NJL393183 NTH393183 ODD393183 OMZ393183 OWV393183 PGR393183 PQN393183 QAJ393183 QKF393183 QUB393183 RDX393183 RNT393183 RXP393183 SHL393183 SRH393183 TBD393183 TKZ393183 TUV393183 UER393183 UON393183 UYJ393183 VIF393183 VSB393183 WBX393183 WLT393183 WVP393183 H458709 JD458719 SZ458719 ACV458719 AMR458719 AWN458719 BGJ458719 BQF458719 CAB458719 CJX458719 CTT458719 DDP458719 DNL458719 DXH458719 EHD458719 EQZ458719 FAV458719 FKR458719 FUN458719 GEJ458719 GOF458719 GYB458719 HHX458719 HRT458719 IBP458719 ILL458719 IVH458719 JFD458719 JOZ458719 JYV458719 KIR458719 KSN458719 LCJ458719 LMF458719 LWB458719 MFX458719 MPT458719 MZP458719 NJL458719 NTH458719 ODD458719 OMZ458719 OWV458719 PGR458719 PQN458719 QAJ458719 QKF458719 QUB458719 RDX458719 RNT458719 RXP458719 SHL458719 SRH458719 TBD458719 TKZ458719 TUV458719 UER458719 UON458719 UYJ458719 VIF458719 VSB458719 WBX458719 WLT458719 WVP458719 H524245 JD524255 SZ524255 ACV524255 AMR524255 AWN524255 BGJ524255 BQF524255 CAB524255 CJX524255 CTT524255 DDP524255 DNL524255 DXH524255 EHD524255 EQZ524255 FAV524255 FKR524255 FUN524255 GEJ524255 GOF524255 GYB524255 HHX524255 HRT524255 IBP524255 ILL524255 IVH524255 JFD524255 JOZ524255 JYV524255 KIR524255 KSN524255 LCJ524255 LMF524255 LWB524255 MFX524255 MPT524255 MZP524255 NJL524255 NTH524255 ODD524255 OMZ524255 OWV524255 PGR524255 PQN524255 QAJ524255 QKF524255 QUB524255 RDX524255 RNT524255 RXP524255 SHL524255 SRH524255 TBD524255 TKZ524255 TUV524255 UER524255 UON524255 UYJ524255 VIF524255 VSB524255 WBX524255 WLT524255 WVP524255 H589781 JD589791 SZ589791 ACV589791 AMR589791 AWN589791 BGJ589791 BQF589791 CAB589791 CJX589791 CTT589791 DDP589791 DNL589791 DXH589791 EHD589791 EQZ589791 FAV589791 FKR589791 FUN589791 GEJ589791 GOF589791 GYB589791 HHX589791 HRT589791 IBP589791 ILL589791 IVH589791 JFD589791 JOZ589791 JYV589791 KIR589791 KSN589791 LCJ589791 LMF589791 LWB589791 MFX589791 MPT589791 MZP589791 NJL589791 NTH589791 ODD589791 OMZ589791 OWV589791 PGR589791 PQN589791 QAJ589791 QKF589791 QUB589791 RDX589791 RNT589791 RXP589791 SHL589791 SRH589791 TBD589791 TKZ589791 TUV589791 UER589791 UON589791 UYJ589791 VIF589791 VSB589791 WBX589791 WLT589791 WVP589791 H655317 JD655327 SZ655327 ACV655327 AMR655327 AWN655327 BGJ655327 BQF655327 CAB655327 CJX655327 CTT655327 DDP655327 DNL655327 DXH655327 EHD655327 EQZ655327 FAV655327 FKR655327 FUN655327 GEJ655327 GOF655327 GYB655327 HHX655327 HRT655327 IBP655327 ILL655327 IVH655327 JFD655327 JOZ655327 JYV655327 KIR655327 KSN655327 LCJ655327 LMF655327 LWB655327 MFX655327 MPT655327 MZP655327 NJL655327 NTH655327 ODD655327 OMZ655327 OWV655327 PGR655327 PQN655327 QAJ655327 QKF655327 QUB655327 RDX655327 RNT655327 RXP655327 SHL655327 SRH655327 TBD655327 TKZ655327 TUV655327 UER655327 UON655327 UYJ655327 VIF655327 VSB655327 WBX655327 WLT655327 WVP655327 H720853 JD720863 SZ720863 ACV720863 AMR720863 AWN720863 BGJ720863 BQF720863 CAB720863 CJX720863 CTT720863 DDP720863 DNL720863 DXH720863 EHD720863 EQZ720863 FAV720863 FKR720863 FUN720863 GEJ720863 GOF720863 GYB720863 HHX720863 HRT720863 IBP720863 ILL720863 IVH720863 JFD720863 JOZ720863 JYV720863 KIR720863 KSN720863 LCJ720863 LMF720863 LWB720863 MFX720863 MPT720863 MZP720863 NJL720863 NTH720863 ODD720863 OMZ720863 OWV720863 PGR720863 PQN720863 QAJ720863 QKF720863 QUB720863 RDX720863 RNT720863 RXP720863 SHL720863 SRH720863 TBD720863 TKZ720863 TUV720863 UER720863 UON720863 UYJ720863 VIF720863 VSB720863 WBX720863 WLT720863 WVP720863 H786389 JD786399 SZ786399 ACV786399 AMR786399 AWN786399 BGJ786399 BQF786399 CAB786399 CJX786399 CTT786399 DDP786399 DNL786399 DXH786399 EHD786399 EQZ786399 FAV786399 FKR786399 FUN786399 GEJ786399 GOF786399 GYB786399 HHX786399 HRT786399 IBP786399 ILL786399 IVH786399 JFD786399 JOZ786399 JYV786399 KIR786399 KSN786399 LCJ786399 LMF786399 LWB786399 MFX786399 MPT786399 MZP786399 NJL786399 NTH786399 ODD786399 OMZ786399 OWV786399 PGR786399 PQN786399 QAJ786399 QKF786399 QUB786399 RDX786399 RNT786399 RXP786399 SHL786399 SRH786399 TBD786399 TKZ786399 TUV786399 UER786399 UON786399 UYJ786399 VIF786399 VSB786399 WBX786399 WLT786399 WVP786399 H851925 JD851935 SZ851935 ACV851935 AMR851935 AWN851935 BGJ851935 BQF851935 CAB851935 CJX851935 CTT851935 DDP851935 DNL851935 DXH851935 EHD851935 EQZ851935 FAV851935 FKR851935 FUN851935 GEJ851935 GOF851935 GYB851935 HHX851935 HRT851935 IBP851935 ILL851935 IVH851935 JFD851935 JOZ851935 JYV851935 KIR851935 KSN851935 LCJ851935 LMF851935 LWB851935 MFX851935 MPT851935 MZP851935 NJL851935 NTH851935 ODD851935 OMZ851935 OWV851935 PGR851935 PQN851935 QAJ851935 QKF851935 QUB851935 RDX851935 RNT851935 RXP851935 SHL851935 SRH851935 TBD851935 TKZ851935 TUV851935 UER851935 UON851935 UYJ851935 VIF851935 VSB851935 WBX851935 WLT851935 WVP851935 H917461 JD917471 SZ917471 ACV917471 AMR917471 AWN917471 BGJ917471 BQF917471 CAB917471 CJX917471 CTT917471 DDP917471 DNL917471 DXH917471 EHD917471 EQZ917471 FAV917471 FKR917471 FUN917471 GEJ917471 GOF917471 GYB917471 HHX917471 HRT917471 IBP917471 ILL917471 IVH917471 JFD917471 JOZ917471 JYV917471 KIR917471 KSN917471 LCJ917471 LMF917471 LWB917471 MFX917471 MPT917471 MZP917471 NJL917471 NTH917471 ODD917471 OMZ917471 OWV917471 PGR917471 PQN917471 QAJ917471 QKF917471 QUB917471 RDX917471 RNT917471 RXP917471 SHL917471 SRH917471 TBD917471 TKZ917471 TUV917471 UER917471 UON917471 UYJ917471 VIF917471 VSB917471 WBX917471 WLT917471 WVP917471 H982997 JD983007 SZ983007 ACV983007 AMR983007 AWN983007 BGJ983007 BQF983007 CAB983007 CJX983007 CTT983007 DDP983007 DNL983007 DXH983007 EHD983007 EQZ983007 FAV983007 FKR983007 FUN983007 GEJ983007 GOF983007 GYB983007 HHX983007 HRT983007 IBP983007 ILL983007 IVH983007 JFD983007 JOZ983007 JYV983007 KIR983007 KSN983007 LCJ983007 LMF983007 LWB983007 MFX983007 MPT983007 MZP983007 NJL983007 NTH983007 ODD983007 OMZ983007 OWV983007 PGR983007 PQN983007 QAJ983007 QKF983007 QUB983007 RDX983007 RNT983007 RXP983007 SHL983007 SRH983007 TBD983007 TKZ983007 TUV983007 UER983007 UON983007 UYJ983007 VIF983007 VSB983007 WBX983007 WLT983007">
      <formula1>პროდუქტი</formula1>
    </dataValidation>
    <dataValidation type="list" allowBlank="1" showInputMessage="1" showErrorMessage="1" sqref="WVS983010 IR8 SN8 ACJ8 AMF8 AWB8 BFX8 BPT8 BZP8 CJL8 CTH8 DDD8 DMZ8 DWV8 EGR8 EQN8 FAJ8 FKF8 FUB8 GDX8 GNT8 GXP8 HHL8 HRH8 IBD8 IKZ8 IUV8 JER8 JON8 JYJ8 KIF8 KSB8 LBX8 LLT8 LVP8 MFL8 MPH8 MZD8 NIZ8 NSV8 OCR8 OMN8 OWJ8 PGF8 PQB8 PZX8 QJT8 QTP8 RDL8 RNH8 RXD8 SGZ8 SQV8 TAR8 TKN8 TUJ8 UEF8 UOB8 UXX8 VHT8 VRP8 WBL8 WLH8 WVD8 E65496 JA65506 SW65506 ACS65506 AMO65506 AWK65506 BGG65506 BQC65506 BZY65506 CJU65506 CTQ65506 DDM65506 DNI65506 DXE65506 EHA65506 EQW65506 FAS65506 FKO65506 FUK65506 GEG65506 GOC65506 GXY65506 HHU65506 HRQ65506 IBM65506 ILI65506 IVE65506 JFA65506 JOW65506 JYS65506 KIO65506 KSK65506 LCG65506 LMC65506 LVY65506 MFU65506 MPQ65506 MZM65506 NJI65506 NTE65506 ODA65506 OMW65506 OWS65506 PGO65506 PQK65506 QAG65506 QKC65506 QTY65506 RDU65506 RNQ65506 RXM65506 SHI65506 SRE65506 TBA65506 TKW65506 TUS65506 UEO65506 UOK65506 UYG65506 VIC65506 VRY65506 WBU65506 WLQ65506 WVM65506 E131032 JA131042 SW131042 ACS131042 AMO131042 AWK131042 BGG131042 BQC131042 BZY131042 CJU131042 CTQ131042 DDM131042 DNI131042 DXE131042 EHA131042 EQW131042 FAS131042 FKO131042 FUK131042 GEG131042 GOC131042 GXY131042 HHU131042 HRQ131042 IBM131042 ILI131042 IVE131042 JFA131042 JOW131042 JYS131042 KIO131042 KSK131042 LCG131042 LMC131042 LVY131042 MFU131042 MPQ131042 MZM131042 NJI131042 NTE131042 ODA131042 OMW131042 OWS131042 PGO131042 PQK131042 QAG131042 QKC131042 QTY131042 RDU131042 RNQ131042 RXM131042 SHI131042 SRE131042 TBA131042 TKW131042 TUS131042 UEO131042 UOK131042 UYG131042 VIC131042 VRY131042 WBU131042 WLQ131042 WVM131042 E196568 JA196578 SW196578 ACS196578 AMO196578 AWK196578 BGG196578 BQC196578 BZY196578 CJU196578 CTQ196578 DDM196578 DNI196578 DXE196578 EHA196578 EQW196578 FAS196578 FKO196578 FUK196578 GEG196578 GOC196578 GXY196578 HHU196578 HRQ196578 IBM196578 ILI196578 IVE196578 JFA196578 JOW196578 JYS196578 KIO196578 KSK196578 LCG196578 LMC196578 LVY196578 MFU196578 MPQ196578 MZM196578 NJI196578 NTE196578 ODA196578 OMW196578 OWS196578 PGO196578 PQK196578 QAG196578 QKC196578 QTY196578 RDU196578 RNQ196578 RXM196578 SHI196578 SRE196578 TBA196578 TKW196578 TUS196578 UEO196578 UOK196578 UYG196578 VIC196578 VRY196578 WBU196578 WLQ196578 WVM196578 E262104 JA262114 SW262114 ACS262114 AMO262114 AWK262114 BGG262114 BQC262114 BZY262114 CJU262114 CTQ262114 DDM262114 DNI262114 DXE262114 EHA262114 EQW262114 FAS262114 FKO262114 FUK262114 GEG262114 GOC262114 GXY262114 HHU262114 HRQ262114 IBM262114 ILI262114 IVE262114 JFA262114 JOW262114 JYS262114 KIO262114 KSK262114 LCG262114 LMC262114 LVY262114 MFU262114 MPQ262114 MZM262114 NJI262114 NTE262114 ODA262114 OMW262114 OWS262114 PGO262114 PQK262114 QAG262114 QKC262114 QTY262114 RDU262114 RNQ262114 RXM262114 SHI262114 SRE262114 TBA262114 TKW262114 TUS262114 UEO262114 UOK262114 UYG262114 VIC262114 VRY262114 WBU262114 WLQ262114 WVM262114 E327640 JA327650 SW327650 ACS327650 AMO327650 AWK327650 BGG327650 BQC327650 BZY327650 CJU327650 CTQ327650 DDM327650 DNI327650 DXE327650 EHA327650 EQW327650 FAS327650 FKO327650 FUK327650 GEG327650 GOC327650 GXY327650 HHU327650 HRQ327650 IBM327650 ILI327650 IVE327650 JFA327650 JOW327650 JYS327650 KIO327650 KSK327650 LCG327650 LMC327650 LVY327650 MFU327650 MPQ327650 MZM327650 NJI327650 NTE327650 ODA327650 OMW327650 OWS327650 PGO327650 PQK327650 QAG327650 QKC327650 QTY327650 RDU327650 RNQ327650 RXM327650 SHI327650 SRE327650 TBA327650 TKW327650 TUS327650 UEO327650 UOK327650 UYG327650 VIC327650 VRY327650 WBU327650 WLQ327650 WVM327650 E393176 JA393186 SW393186 ACS393186 AMO393186 AWK393186 BGG393186 BQC393186 BZY393186 CJU393186 CTQ393186 DDM393186 DNI393186 DXE393186 EHA393186 EQW393186 FAS393186 FKO393186 FUK393186 GEG393186 GOC393186 GXY393186 HHU393186 HRQ393186 IBM393186 ILI393186 IVE393186 JFA393186 JOW393186 JYS393186 KIO393186 KSK393186 LCG393186 LMC393186 LVY393186 MFU393186 MPQ393186 MZM393186 NJI393186 NTE393186 ODA393186 OMW393186 OWS393186 PGO393186 PQK393186 QAG393186 QKC393186 QTY393186 RDU393186 RNQ393186 RXM393186 SHI393186 SRE393186 TBA393186 TKW393186 TUS393186 UEO393186 UOK393186 UYG393186 VIC393186 VRY393186 WBU393186 WLQ393186 WVM393186 E458712 JA458722 SW458722 ACS458722 AMO458722 AWK458722 BGG458722 BQC458722 BZY458722 CJU458722 CTQ458722 DDM458722 DNI458722 DXE458722 EHA458722 EQW458722 FAS458722 FKO458722 FUK458722 GEG458722 GOC458722 GXY458722 HHU458722 HRQ458722 IBM458722 ILI458722 IVE458722 JFA458722 JOW458722 JYS458722 KIO458722 KSK458722 LCG458722 LMC458722 LVY458722 MFU458722 MPQ458722 MZM458722 NJI458722 NTE458722 ODA458722 OMW458722 OWS458722 PGO458722 PQK458722 QAG458722 QKC458722 QTY458722 RDU458722 RNQ458722 RXM458722 SHI458722 SRE458722 TBA458722 TKW458722 TUS458722 UEO458722 UOK458722 UYG458722 VIC458722 VRY458722 WBU458722 WLQ458722 WVM458722 E524248 JA524258 SW524258 ACS524258 AMO524258 AWK524258 BGG524258 BQC524258 BZY524258 CJU524258 CTQ524258 DDM524258 DNI524258 DXE524258 EHA524258 EQW524258 FAS524258 FKO524258 FUK524258 GEG524258 GOC524258 GXY524258 HHU524258 HRQ524258 IBM524258 ILI524258 IVE524258 JFA524258 JOW524258 JYS524258 KIO524258 KSK524258 LCG524258 LMC524258 LVY524258 MFU524258 MPQ524258 MZM524258 NJI524258 NTE524258 ODA524258 OMW524258 OWS524258 PGO524258 PQK524258 QAG524258 QKC524258 QTY524258 RDU524258 RNQ524258 RXM524258 SHI524258 SRE524258 TBA524258 TKW524258 TUS524258 UEO524258 UOK524258 UYG524258 VIC524258 VRY524258 WBU524258 WLQ524258 WVM524258 E589784 JA589794 SW589794 ACS589794 AMO589794 AWK589794 BGG589794 BQC589794 BZY589794 CJU589794 CTQ589794 DDM589794 DNI589794 DXE589794 EHA589794 EQW589794 FAS589794 FKO589794 FUK589794 GEG589794 GOC589794 GXY589794 HHU589794 HRQ589794 IBM589794 ILI589794 IVE589794 JFA589794 JOW589794 JYS589794 KIO589794 KSK589794 LCG589794 LMC589794 LVY589794 MFU589794 MPQ589794 MZM589794 NJI589794 NTE589794 ODA589794 OMW589794 OWS589794 PGO589794 PQK589794 QAG589794 QKC589794 QTY589794 RDU589794 RNQ589794 RXM589794 SHI589794 SRE589794 TBA589794 TKW589794 TUS589794 UEO589794 UOK589794 UYG589794 VIC589794 VRY589794 WBU589794 WLQ589794 WVM589794 E655320 JA655330 SW655330 ACS655330 AMO655330 AWK655330 BGG655330 BQC655330 BZY655330 CJU655330 CTQ655330 DDM655330 DNI655330 DXE655330 EHA655330 EQW655330 FAS655330 FKO655330 FUK655330 GEG655330 GOC655330 GXY655330 HHU655330 HRQ655330 IBM655330 ILI655330 IVE655330 JFA655330 JOW655330 JYS655330 KIO655330 KSK655330 LCG655330 LMC655330 LVY655330 MFU655330 MPQ655330 MZM655330 NJI655330 NTE655330 ODA655330 OMW655330 OWS655330 PGO655330 PQK655330 QAG655330 QKC655330 QTY655330 RDU655330 RNQ655330 RXM655330 SHI655330 SRE655330 TBA655330 TKW655330 TUS655330 UEO655330 UOK655330 UYG655330 VIC655330 VRY655330 WBU655330 WLQ655330 WVM655330 E720856 JA720866 SW720866 ACS720866 AMO720866 AWK720866 BGG720866 BQC720866 BZY720866 CJU720866 CTQ720866 DDM720866 DNI720866 DXE720866 EHA720866 EQW720866 FAS720866 FKO720866 FUK720866 GEG720866 GOC720866 GXY720866 HHU720866 HRQ720866 IBM720866 ILI720866 IVE720866 JFA720866 JOW720866 JYS720866 KIO720866 KSK720866 LCG720866 LMC720866 LVY720866 MFU720866 MPQ720866 MZM720866 NJI720866 NTE720866 ODA720866 OMW720866 OWS720866 PGO720866 PQK720866 QAG720866 QKC720866 QTY720866 RDU720866 RNQ720866 RXM720866 SHI720866 SRE720866 TBA720866 TKW720866 TUS720866 UEO720866 UOK720866 UYG720866 VIC720866 VRY720866 WBU720866 WLQ720866 WVM720866 E786392 JA786402 SW786402 ACS786402 AMO786402 AWK786402 BGG786402 BQC786402 BZY786402 CJU786402 CTQ786402 DDM786402 DNI786402 DXE786402 EHA786402 EQW786402 FAS786402 FKO786402 FUK786402 GEG786402 GOC786402 GXY786402 HHU786402 HRQ786402 IBM786402 ILI786402 IVE786402 JFA786402 JOW786402 JYS786402 KIO786402 KSK786402 LCG786402 LMC786402 LVY786402 MFU786402 MPQ786402 MZM786402 NJI786402 NTE786402 ODA786402 OMW786402 OWS786402 PGO786402 PQK786402 QAG786402 QKC786402 QTY786402 RDU786402 RNQ786402 RXM786402 SHI786402 SRE786402 TBA786402 TKW786402 TUS786402 UEO786402 UOK786402 UYG786402 VIC786402 VRY786402 WBU786402 WLQ786402 WVM786402 E851928 JA851938 SW851938 ACS851938 AMO851938 AWK851938 BGG851938 BQC851938 BZY851938 CJU851938 CTQ851938 DDM851938 DNI851938 DXE851938 EHA851938 EQW851938 FAS851938 FKO851938 FUK851938 GEG851938 GOC851938 GXY851938 HHU851938 HRQ851938 IBM851938 ILI851938 IVE851938 JFA851938 JOW851938 JYS851938 KIO851938 KSK851938 LCG851938 LMC851938 LVY851938 MFU851938 MPQ851938 MZM851938 NJI851938 NTE851938 ODA851938 OMW851938 OWS851938 PGO851938 PQK851938 QAG851938 QKC851938 QTY851938 RDU851938 RNQ851938 RXM851938 SHI851938 SRE851938 TBA851938 TKW851938 TUS851938 UEO851938 UOK851938 UYG851938 VIC851938 VRY851938 WBU851938 WLQ851938 WVM851938 E917464 JA917474 SW917474 ACS917474 AMO917474 AWK917474 BGG917474 BQC917474 BZY917474 CJU917474 CTQ917474 DDM917474 DNI917474 DXE917474 EHA917474 EQW917474 FAS917474 FKO917474 FUK917474 GEG917474 GOC917474 GXY917474 HHU917474 HRQ917474 IBM917474 ILI917474 IVE917474 JFA917474 JOW917474 JYS917474 KIO917474 KSK917474 LCG917474 LMC917474 LVY917474 MFU917474 MPQ917474 MZM917474 NJI917474 NTE917474 ODA917474 OMW917474 OWS917474 PGO917474 PQK917474 QAG917474 QKC917474 QTY917474 RDU917474 RNQ917474 RXM917474 SHI917474 SRE917474 TBA917474 TKW917474 TUS917474 UEO917474 UOK917474 UYG917474 VIC917474 VRY917474 WBU917474 WLQ917474 WVM917474 E983000 JA983010 SW983010 ACS983010 AMO983010 AWK983010 BGG983010 BQC983010 BZY983010 CJU983010 CTQ983010 DDM983010 DNI983010 DXE983010 EHA983010 EQW983010 FAS983010 FKO983010 FUK983010 GEG983010 GOC983010 GXY983010 HHU983010 HRQ983010 IBM983010 ILI983010 IVE983010 JFA983010 JOW983010 JYS983010 KIO983010 KSK983010 LCG983010 LMC983010 LVY983010 MFU983010 MPQ983010 MZM983010 NJI983010 NTE983010 ODA983010 OMW983010 OWS983010 PGO983010 PQK983010 QAG983010 QKC983010 QTY983010 RDU983010 RNQ983010 RXM983010 SHI983010 SRE983010 TBA983010 TKW983010 TUS983010 UEO983010 UOK983010 UYG983010 VIC983010 VRY983010 WBU983010 WLQ983010 WVM983010 IU8 SQ8 ACM8 AMI8 AWE8 BGA8 BPW8 BZS8 CJO8 CTK8 DDG8 DNC8 DWY8 EGU8 EQQ8 FAM8 FKI8 FUE8 GEA8 GNW8 GXS8 HHO8 HRK8 IBG8 ILC8 IUY8 JEU8 JOQ8 JYM8 KII8 KSE8 LCA8 LLW8 LVS8 MFO8 MPK8 MZG8 NJC8 NSY8 OCU8 OMQ8 OWM8 PGI8 PQE8 QAA8 QJW8 QTS8 RDO8 RNK8 RXG8 SHC8 SQY8 TAU8 TKQ8 TUM8 UEI8 UOE8 UYA8 VHW8 VRS8 WBO8 WLK8 WVG8 H65496 JD65506 SZ65506 ACV65506 AMR65506 AWN65506 BGJ65506 BQF65506 CAB65506 CJX65506 CTT65506 DDP65506 DNL65506 DXH65506 EHD65506 EQZ65506 FAV65506 FKR65506 FUN65506 GEJ65506 GOF65506 GYB65506 HHX65506 HRT65506 IBP65506 ILL65506 IVH65506 JFD65506 JOZ65506 JYV65506 KIR65506 KSN65506 LCJ65506 LMF65506 LWB65506 MFX65506 MPT65506 MZP65506 NJL65506 NTH65506 ODD65506 OMZ65506 OWV65506 PGR65506 PQN65506 QAJ65506 QKF65506 QUB65506 RDX65506 RNT65506 RXP65506 SHL65506 SRH65506 TBD65506 TKZ65506 TUV65506 UER65506 UON65506 UYJ65506 VIF65506 VSB65506 WBX65506 WLT65506 WVP65506 H131032 JD131042 SZ131042 ACV131042 AMR131042 AWN131042 BGJ131042 BQF131042 CAB131042 CJX131042 CTT131042 DDP131042 DNL131042 DXH131042 EHD131042 EQZ131042 FAV131042 FKR131042 FUN131042 GEJ131042 GOF131042 GYB131042 HHX131042 HRT131042 IBP131042 ILL131042 IVH131042 JFD131042 JOZ131042 JYV131042 KIR131042 KSN131042 LCJ131042 LMF131042 LWB131042 MFX131042 MPT131042 MZP131042 NJL131042 NTH131042 ODD131042 OMZ131042 OWV131042 PGR131042 PQN131042 QAJ131042 QKF131042 QUB131042 RDX131042 RNT131042 RXP131042 SHL131042 SRH131042 TBD131042 TKZ131042 TUV131042 UER131042 UON131042 UYJ131042 VIF131042 VSB131042 WBX131042 WLT131042 WVP131042 H196568 JD196578 SZ196578 ACV196578 AMR196578 AWN196578 BGJ196578 BQF196578 CAB196578 CJX196578 CTT196578 DDP196578 DNL196578 DXH196578 EHD196578 EQZ196578 FAV196578 FKR196578 FUN196578 GEJ196578 GOF196578 GYB196578 HHX196578 HRT196578 IBP196578 ILL196578 IVH196578 JFD196578 JOZ196578 JYV196578 KIR196578 KSN196578 LCJ196578 LMF196578 LWB196578 MFX196578 MPT196578 MZP196578 NJL196578 NTH196578 ODD196578 OMZ196578 OWV196578 PGR196578 PQN196578 QAJ196578 QKF196578 QUB196578 RDX196578 RNT196578 RXP196578 SHL196578 SRH196578 TBD196578 TKZ196578 TUV196578 UER196578 UON196578 UYJ196578 VIF196578 VSB196578 WBX196578 WLT196578 WVP196578 H262104 JD262114 SZ262114 ACV262114 AMR262114 AWN262114 BGJ262114 BQF262114 CAB262114 CJX262114 CTT262114 DDP262114 DNL262114 DXH262114 EHD262114 EQZ262114 FAV262114 FKR262114 FUN262114 GEJ262114 GOF262114 GYB262114 HHX262114 HRT262114 IBP262114 ILL262114 IVH262114 JFD262114 JOZ262114 JYV262114 KIR262114 KSN262114 LCJ262114 LMF262114 LWB262114 MFX262114 MPT262114 MZP262114 NJL262114 NTH262114 ODD262114 OMZ262114 OWV262114 PGR262114 PQN262114 QAJ262114 QKF262114 QUB262114 RDX262114 RNT262114 RXP262114 SHL262114 SRH262114 TBD262114 TKZ262114 TUV262114 UER262114 UON262114 UYJ262114 VIF262114 VSB262114 WBX262114 WLT262114 WVP262114 H327640 JD327650 SZ327650 ACV327650 AMR327650 AWN327650 BGJ327650 BQF327650 CAB327650 CJX327650 CTT327650 DDP327650 DNL327650 DXH327650 EHD327650 EQZ327650 FAV327650 FKR327650 FUN327650 GEJ327650 GOF327650 GYB327650 HHX327650 HRT327650 IBP327650 ILL327650 IVH327650 JFD327650 JOZ327650 JYV327650 KIR327650 KSN327650 LCJ327650 LMF327650 LWB327650 MFX327650 MPT327650 MZP327650 NJL327650 NTH327650 ODD327650 OMZ327650 OWV327650 PGR327650 PQN327650 QAJ327650 QKF327650 QUB327650 RDX327650 RNT327650 RXP327650 SHL327650 SRH327650 TBD327650 TKZ327650 TUV327650 UER327650 UON327650 UYJ327650 VIF327650 VSB327650 WBX327650 WLT327650 WVP327650 H393176 JD393186 SZ393186 ACV393186 AMR393186 AWN393186 BGJ393186 BQF393186 CAB393186 CJX393186 CTT393186 DDP393186 DNL393186 DXH393186 EHD393186 EQZ393186 FAV393186 FKR393186 FUN393186 GEJ393186 GOF393186 GYB393186 HHX393186 HRT393186 IBP393186 ILL393186 IVH393186 JFD393186 JOZ393186 JYV393186 KIR393186 KSN393186 LCJ393186 LMF393186 LWB393186 MFX393186 MPT393186 MZP393186 NJL393186 NTH393186 ODD393186 OMZ393186 OWV393186 PGR393186 PQN393186 QAJ393186 QKF393186 QUB393186 RDX393186 RNT393186 RXP393186 SHL393186 SRH393186 TBD393186 TKZ393186 TUV393186 UER393186 UON393186 UYJ393186 VIF393186 VSB393186 WBX393186 WLT393186 WVP393186 H458712 JD458722 SZ458722 ACV458722 AMR458722 AWN458722 BGJ458722 BQF458722 CAB458722 CJX458722 CTT458722 DDP458722 DNL458722 DXH458722 EHD458722 EQZ458722 FAV458722 FKR458722 FUN458722 GEJ458722 GOF458722 GYB458722 HHX458722 HRT458722 IBP458722 ILL458722 IVH458722 JFD458722 JOZ458722 JYV458722 KIR458722 KSN458722 LCJ458722 LMF458722 LWB458722 MFX458722 MPT458722 MZP458722 NJL458722 NTH458722 ODD458722 OMZ458722 OWV458722 PGR458722 PQN458722 QAJ458722 QKF458722 QUB458722 RDX458722 RNT458722 RXP458722 SHL458722 SRH458722 TBD458722 TKZ458722 TUV458722 UER458722 UON458722 UYJ458722 VIF458722 VSB458722 WBX458722 WLT458722 WVP458722 H524248 JD524258 SZ524258 ACV524258 AMR524258 AWN524258 BGJ524258 BQF524258 CAB524258 CJX524258 CTT524258 DDP524258 DNL524258 DXH524258 EHD524258 EQZ524258 FAV524258 FKR524258 FUN524258 GEJ524258 GOF524258 GYB524258 HHX524258 HRT524258 IBP524258 ILL524258 IVH524258 JFD524258 JOZ524258 JYV524258 KIR524258 KSN524258 LCJ524258 LMF524258 LWB524258 MFX524258 MPT524258 MZP524258 NJL524258 NTH524258 ODD524258 OMZ524258 OWV524258 PGR524258 PQN524258 QAJ524258 QKF524258 QUB524258 RDX524258 RNT524258 RXP524258 SHL524258 SRH524258 TBD524258 TKZ524258 TUV524258 UER524258 UON524258 UYJ524258 VIF524258 VSB524258 WBX524258 WLT524258 WVP524258 H589784 JD589794 SZ589794 ACV589794 AMR589794 AWN589794 BGJ589794 BQF589794 CAB589794 CJX589794 CTT589794 DDP589794 DNL589794 DXH589794 EHD589794 EQZ589794 FAV589794 FKR589794 FUN589794 GEJ589794 GOF589794 GYB589794 HHX589794 HRT589794 IBP589794 ILL589794 IVH589794 JFD589794 JOZ589794 JYV589794 KIR589794 KSN589794 LCJ589794 LMF589794 LWB589794 MFX589794 MPT589794 MZP589794 NJL589794 NTH589794 ODD589794 OMZ589794 OWV589794 PGR589794 PQN589794 QAJ589794 QKF589794 QUB589794 RDX589794 RNT589794 RXP589794 SHL589794 SRH589794 TBD589794 TKZ589794 TUV589794 UER589794 UON589794 UYJ589794 VIF589794 VSB589794 WBX589794 WLT589794 WVP589794 H655320 JD655330 SZ655330 ACV655330 AMR655330 AWN655330 BGJ655330 BQF655330 CAB655330 CJX655330 CTT655330 DDP655330 DNL655330 DXH655330 EHD655330 EQZ655330 FAV655330 FKR655330 FUN655330 GEJ655330 GOF655330 GYB655330 HHX655330 HRT655330 IBP655330 ILL655330 IVH655330 JFD655330 JOZ655330 JYV655330 KIR655330 KSN655330 LCJ655330 LMF655330 LWB655330 MFX655330 MPT655330 MZP655330 NJL655330 NTH655330 ODD655330 OMZ655330 OWV655330 PGR655330 PQN655330 QAJ655330 QKF655330 QUB655330 RDX655330 RNT655330 RXP655330 SHL655330 SRH655330 TBD655330 TKZ655330 TUV655330 UER655330 UON655330 UYJ655330 VIF655330 VSB655330 WBX655330 WLT655330 WVP655330 H720856 JD720866 SZ720866 ACV720866 AMR720866 AWN720866 BGJ720866 BQF720866 CAB720866 CJX720866 CTT720866 DDP720866 DNL720866 DXH720866 EHD720866 EQZ720866 FAV720866 FKR720866 FUN720866 GEJ720866 GOF720866 GYB720866 HHX720866 HRT720866 IBP720866 ILL720866 IVH720866 JFD720866 JOZ720866 JYV720866 KIR720866 KSN720866 LCJ720866 LMF720866 LWB720866 MFX720866 MPT720866 MZP720866 NJL720866 NTH720866 ODD720866 OMZ720866 OWV720866 PGR720866 PQN720866 QAJ720866 QKF720866 QUB720866 RDX720866 RNT720866 RXP720866 SHL720866 SRH720866 TBD720866 TKZ720866 TUV720866 UER720866 UON720866 UYJ720866 VIF720866 VSB720866 WBX720866 WLT720866 WVP720866 H786392 JD786402 SZ786402 ACV786402 AMR786402 AWN786402 BGJ786402 BQF786402 CAB786402 CJX786402 CTT786402 DDP786402 DNL786402 DXH786402 EHD786402 EQZ786402 FAV786402 FKR786402 FUN786402 GEJ786402 GOF786402 GYB786402 HHX786402 HRT786402 IBP786402 ILL786402 IVH786402 JFD786402 JOZ786402 JYV786402 KIR786402 KSN786402 LCJ786402 LMF786402 LWB786402 MFX786402 MPT786402 MZP786402 NJL786402 NTH786402 ODD786402 OMZ786402 OWV786402 PGR786402 PQN786402 QAJ786402 QKF786402 QUB786402 RDX786402 RNT786402 RXP786402 SHL786402 SRH786402 TBD786402 TKZ786402 TUV786402 UER786402 UON786402 UYJ786402 VIF786402 VSB786402 WBX786402 WLT786402 WVP786402 H851928 JD851938 SZ851938 ACV851938 AMR851938 AWN851938 BGJ851938 BQF851938 CAB851938 CJX851938 CTT851938 DDP851938 DNL851938 DXH851938 EHD851938 EQZ851938 FAV851938 FKR851938 FUN851938 GEJ851938 GOF851938 GYB851938 HHX851938 HRT851938 IBP851938 ILL851938 IVH851938 JFD851938 JOZ851938 JYV851938 KIR851938 KSN851938 LCJ851938 LMF851938 LWB851938 MFX851938 MPT851938 MZP851938 NJL851938 NTH851938 ODD851938 OMZ851938 OWV851938 PGR851938 PQN851938 QAJ851938 QKF851938 QUB851938 RDX851938 RNT851938 RXP851938 SHL851938 SRH851938 TBD851938 TKZ851938 TUV851938 UER851938 UON851938 UYJ851938 VIF851938 VSB851938 WBX851938 WLT851938 WVP851938 H917464 JD917474 SZ917474 ACV917474 AMR917474 AWN917474 BGJ917474 BQF917474 CAB917474 CJX917474 CTT917474 DDP917474 DNL917474 DXH917474 EHD917474 EQZ917474 FAV917474 FKR917474 FUN917474 GEJ917474 GOF917474 GYB917474 HHX917474 HRT917474 IBP917474 ILL917474 IVH917474 JFD917474 JOZ917474 JYV917474 KIR917474 KSN917474 LCJ917474 LMF917474 LWB917474 MFX917474 MPT917474 MZP917474 NJL917474 NTH917474 ODD917474 OMZ917474 OWV917474 PGR917474 PQN917474 QAJ917474 QKF917474 QUB917474 RDX917474 RNT917474 RXP917474 SHL917474 SRH917474 TBD917474 TKZ917474 TUV917474 UER917474 UON917474 UYJ917474 VIF917474 VSB917474 WBX917474 WLT917474 WVP917474 H983000 JD983010 SZ983010 ACV983010 AMR983010 AWN983010 BGJ983010 BQF983010 CAB983010 CJX983010 CTT983010 DDP983010 DNL983010 DXH983010 EHD983010 EQZ983010 FAV983010 FKR983010 FUN983010 GEJ983010 GOF983010 GYB983010 HHX983010 HRT983010 IBP983010 ILL983010 IVH983010 JFD983010 JOZ983010 JYV983010 KIR983010 KSN983010 LCJ983010 LMF983010 LWB983010 MFX983010 MPT983010 MZP983010 NJL983010 NTH983010 ODD983010 OMZ983010 OWV983010 PGR983010 PQN983010 QAJ983010 QKF983010 QUB983010 RDX983010 RNT983010 RXP983010 SHL983010 SRH983010 TBD983010 TKZ983010 TUV983010 UER983010 UON983010 UYJ983010 VIF983010 VSB983010 WBX983010 WLT983010 WVP983010 IX8 ST8 ACP8 AML8 AWH8 BGD8 BPZ8 BZV8 CJR8 CTN8 DDJ8 DNF8 DXB8 EGX8 EQT8 FAP8 FKL8 FUH8 GED8 GNZ8 GXV8 HHR8 HRN8 IBJ8 ILF8 IVB8 JEX8 JOT8 JYP8 KIL8 KSH8 LCD8 LLZ8 LVV8 MFR8 MPN8 MZJ8 NJF8 NTB8 OCX8 OMT8 OWP8 PGL8 PQH8 QAD8 QJZ8 QTV8 RDR8 RNN8 RXJ8 SHF8 SRB8 TAX8 TKT8 TUP8 UEL8 UOH8 UYD8 VHZ8 VRV8 WBR8 WLN8 WVJ8 K65496 JG65506 TC65506 ACY65506 AMU65506 AWQ65506 BGM65506 BQI65506 CAE65506 CKA65506 CTW65506 DDS65506 DNO65506 DXK65506 EHG65506 ERC65506 FAY65506 FKU65506 FUQ65506 GEM65506 GOI65506 GYE65506 HIA65506 HRW65506 IBS65506 ILO65506 IVK65506 JFG65506 JPC65506 JYY65506 KIU65506 KSQ65506 LCM65506 LMI65506 LWE65506 MGA65506 MPW65506 MZS65506 NJO65506 NTK65506 ODG65506 ONC65506 OWY65506 PGU65506 PQQ65506 QAM65506 QKI65506 QUE65506 REA65506 RNW65506 RXS65506 SHO65506 SRK65506 TBG65506 TLC65506 TUY65506 UEU65506 UOQ65506 UYM65506 VII65506 VSE65506 WCA65506 WLW65506 WVS65506 K131032 JG131042 TC131042 ACY131042 AMU131042 AWQ131042 BGM131042 BQI131042 CAE131042 CKA131042 CTW131042 DDS131042 DNO131042 DXK131042 EHG131042 ERC131042 FAY131042 FKU131042 FUQ131042 GEM131042 GOI131042 GYE131042 HIA131042 HRW131042 IBS131042 ILO131042 IVK131042 JFG131042 JPC131042 JYY131042 KIU131042 KSQ131042 LCM131042 LMI131042 LWE131042 MGA131042 MPW131042 MZS131042 NJO131042 NTK131042 ODG131042 ONC131042 OWY131042 PGU131042 PQQ131042 QAM131042 QKI131042 QUE131042 REA131042 RNW131042 RXS131042 SHO131042 SRK131042 TBG131042 TLC131042 TUY131042 UEU131042 UOQ131042 UYM131042 VII131042 VSE131042 WCA131042 WLW131042 WVS131042 K196568 JG196578 TC196578 ACY196578 AMU196578 AWQ196578 BGM196578 BQI196578 CAE196578 CKA196578 CTW196578 DDS196578 DNO196578 DXK196578 EHG196578 ERC196578 FAY196578 FKU196578 FUQ196578 GEM196578 GOI196578 GYE196578 HIA196578 HRW196578 IBS196578 ILO196578 IVK196578 JFG196578 JPC196578 JYY196578 KIU196578 KSQ196578 LCM196578 LMI196578 LWE196578 MGA196578 MPW196578 MZS196578 NJO196578 NTK196578 ODG196578 ONC196578 OWY196578 PGU196578 PQQ196578 QAM196578 QKI196578 QUE196578 REA196578 RNW196578 RXS196578 SHO196578 SRK196578 TBG196578 TLC196578 TUY196578 UEU196578 UOQ196578 UYM196578 VII196578 VSE196578 WCA196578 WLW196578 WVS196578 K262104 JG262114 TC262114 ACY262114 AMU262114 AWQ262114 BGM262114 BQI262114 CAE262114 CKA262114 CTW262114 DDS262114 DNO262114 DXK262114 EHG262114 ERC262114 FAY262114 FKU262114 FUQ262114 GEM262114 GOI262114 GYE262114 HIA262114 HRW262114 IBS262114 ILO262114 IVK262114 JFG262114 JPC262114 JYY262114 KIU262114 KSQ262114 LCM262114 LMI262114 LWE262114 MGA262114 MPW262114 MZS262114 NJO262114 NTK262114 ODG262114 ONC262114 OWY262114 PGU262114 PQQ262114 QAM262114 QKI262114 QUE262114 REA262114 RNW262114 RXS262114 SHO262114 SRK262114 TBG262114 TLC262114 TUY262114 UEU262114 UOQ262114 UYM262114 VII262114 VSE262114 WCA262114 WLW262114 WVS262114 K327640 JG327650 TC327650 ACY327650 AMU327650 AWQ327650 BGM327650 BQI327650 CAE327650 CKA327650 CTW327650 DDS327650 DNO327650 DXK327650 EHG327650 ERC327650 FAY327650 FKU327650 FUQ327650 GEM327650 GOI327650 GYE327650 HIA327650 HRW327650 IBS327650 ILO327650 IVK327650 JFG327650 JPC327650 JYY327650 KIU327650 KSQ327650 LCM327650 LMI327650 LWE327650 MGA327650 MPW327650 MZS327650 NJO327650 NTK327650 ODG327650 ONC327650 OWY327650 PGU327650 PQQ327650 QAM327650 QKI327650 QUE327650 REA327650 RNW327650 RXS327650 SHO327650 SRK327650 TBG327650 TLC327650 TUY327650 UEU327650 UOQ327650 UYM327650 VII327650 VSE327650 WCA327650 WLW327650 WVS327650 K393176 JG393186 TC393186 ACY393186 AMU393186 AWQ393186 BGM393186 BQI393186 CAE393186 CKA393186 CTW393186 DDS393186 DNO393186 DXK393186 EHG393186 ERC393186 FAY393186 FKU393186 FUQ393186 GEM393186 GOI393186 GYE393186 HIA393186 HRW393186 IBS393186 ILO393186 IVK393186 JFG393186 JPC393186 JYY393186 KIU393186 KSQ393186 LCM393186 LMI393186 LWE393186 MGA393186 MPW393186 MZS393186 NJO393186 NTK393186 ODG393186 ONC393186 OWY393186 PGU393186 PQQ393186 QAM393186 QKI393186 QUE393186 REA393186 RNW393186 RXS393186 SHO393186 SRK393186 TBG393186 TLC393186 TUY393186 UEU393186 UOQ393186 UYM393186 VII393186 VSE393186 WCA393186 WLW393186 WVS393186 K458712 JG458722 TC458722 ACY458722 AMU458722 AWQ458722 BGM458722 BQI458722 CAE458722 CKA458722 CTW458722 DDS458722 DNO458722 DXK458722 EHG458722 ERC458722 FAY458722 FKU458722 FUQ458722 GEM458722 GOI458722 GYE458722 HIA458722 HRW458722 IBS458722 ILO458722 IVK458722 JFG458722 JPC458722 JYY458722 KIU458722 KSQ458722 LCM458722 LMI458722 LWE458722 MGA458722 MPW458722 MZS458722 NJO458722 NTK458722 ODG458722 ONC458722 OWY458722 PGU458722 PQQ458722 QAM458722 QKI458722 QUE458722 REA458722 RNW458722 RXS458722 SHO458722 SRK458722 TBG458722 TLC458722 TUY458722 UEU458722 UOQ458722 UYM458722 VII458722 VSE458722 WCA458722 WLW458722 WVS458722 K524248 JG524258 TC524258 ACY524258 AMU524258 AWQ524258 BGM524258 BQI524258 CAE524258 CKA524258 CTW524258 DDS524258 DNO524258 DXK524258 EHG524258 ERC524258 FAY524258 FKU524258 FUQ524258 GEM524258 GOI524258 GYE524258 HIA524258 HRW524258 IBS524258 ILO524258 IVK524258 JFG524258 JPC524258 JYY524258 KIU524258 KSQ524258 LCM524258 LMI524258 LWE524258 MGA524258 MPW524258 MZS524258 NJO524258 NTK524258 ODG524258 ONC524258 OWY524258 PGU524258 PQQ524258 QAM524258 QKI524258 QUE524258 REA524258 RNW524258 RXS524258 SHO524258 SRK524258 TBG524258 TLC524258 TUY524258 UEU524258 UOQ524258 UYM524258 VII524258 VSE524258 WCA524258 WLW524258 WVS524258 K589784 JG589794 TC589794 ACY589794 AMU589794 AWQ589794 BGM589794 BQI589794 CAE589794 CKA589794 CTW589794 DDS589794 DNO589794 DXK589794 EHG589794 ERC589794 FAY589794 FKU589794 FUQ589794 GEM589794 GOI589794 GYE589794 HIA589794 HRW589794 IBS589794 ILO589794 IVK589794 JFG589794 JPC589794 JYY589794 KIU589794 KSQ589794 LCM589794 LMI589794 LWE589794 MGA589794 MPW589794 MZS589794 NJO589794 NTK589794 ODG589794 ONC589794 OWY589794 PGU589794 PQQ589794 QAM589794 QKI589794 QUE589794 REA589794 RNW589794 RXS589794 SHO589794 SRK589794 TBG589794 TLC589794 TUY589794 UEU589794 UOQ589794 UYM589794 VII589794 VSE589794 WCA589794 WLW589794 WVS589794 K655320 JG655330 TC655330 ACY655330 AMU655330 AWQ655330 BGM655330 BQI655330 CAE655330 CKA655330 CTW655330 DDS655330 DNO655330 DXK655330 EHG655330 ERC655330 FAY655330 FKU655330 FUQ655330 GEM655330 GOI655330 GYE655330 HIA655330 HRW655330 IBS655330 ILO655330 IVK655330 JFG655330 JPC655330 JYY655330 KIU655330 KSQ655330 LCM655330 LMI655330 LWE655330 MGA655330 MPW655330 MZS655330 NJO655330 NTK655330 ODG655330 ONC655330 OWY655330 PGU655330 PQQ655330 QAM655330 QKI655330 QUE655330 REA655330 RNW655330 RXS655330 SHO655330 SRK655330 TBG655330 TLC655330 TUY655330 UEU655330 UOQ655330 UYM655330 VII655330 VSE655330 WCA655330 WLW655330 WVS655330 K720856 JG720866 TC720866 ACY720866 AMU720866 AWQ720866 BGM720866 BQI720866 CAE720866 CKA720866 CTW720866 DDS720866 DNO720866 DXK720866 EHG720866 ERC720866 FAY720866 FKU720866 FUQ720866 GEM720866 GOI720866 GYE720866 HIA720866 HRW720866 IBS720866 ILO720866 IVK720866 JFG720866 JPC720866 JYY720866 KIU720866 KSQ720866 LCM720866 LMI720866 LWE720866 MGA720866 MPW720866 MZS720866 NJO720866 NTK720866 ODG720866 ONC720866 OWY720866 PGU720866 PQQ720866 QAM720866 QKI720866 QUE720866 REA720866 RNW720866 RXS720866 SHO720866 SRK720866 TBG720866 TLC720866 TUY720866 UEU720866 UOQ720866 UYM720866 VII720866 VSE720866 WCA720866 WLW720866 WVS720866 K786392 JG786402 TC786402 ACY786402 AMU786402 AWQ786402 BGM786402 BQI786402 CAE786402 CKA786402 CTW786402 DDS786402 DNO786402 DXK786402 EHG786402 ERC786402 FAY786402 FKU786402 FUQ786402 GEM786402 GOI786402 GYE786402 HIA786402 HRW786402 IBS786402 ILO786402 IVK786402 JFG786402 JPC786402 JYY786402 KIU786402 KSQ786402 LCM786402 LMI786402 LWE786402 MGA786402 MPW786402 MZS786402 NJO786402 NTK786402 ODG786402 ONC786402 OWY786402 PGU786402 PQQ786402 QAM786402 QKI786402 QUE786402 REA786402 RNW786402 RXS786402 SHO786402 SRK786402 TBG786402 TLC786402 TUY786402 UEU786402 UOQ786402 UYM786402 VII786402 VSE786402 WCA786402 WLW786402 WVS786402 K851928 JG851938 TC851938 ACY851938 AMU851938 AWQ851938 BGM851938 BQI851938 CAE851938 CKA851938 CTW851938 DDS851938 DNO851938 DXK851938 EHG851938 ERC851938 FAY851938 FKU851938 FUQ851938 GEM851938 GOI851938 GYE851938 HIA851938 HRW851938 IBS851938 ILO851938 IVK851938 JFG851938 JPC851938 JYY851938 KIU851938 KSQ851938 LCM851938 LMI851938 LWE851938 MGA851938 MPW851938 MZS851938 NJO851938 NTK851938 ODG851938 ONC851938 OWY851938 PGU851938 PQQ851938 QAM851938 QKI851938 QUE851938 REA851938 RNW851938 RXS851938 SHO851938 SRK851938 TBG851938 TLC851938 TUY851938 UEU851938 UOQ851938 UYM851938 VII851938 VSE851938 WCA851938 WLW851938 WVS851938 K917464 JG917474 TC917474 ACY917474 AMU917474 AWQ917474 BGM917474 BQI917474 CAE917474 CKA917474 CTW917474 DDS917474 DNO917474 DXK917474 EHG917474 ERC917474 FAY917474 FKU917474 FUQ917474 GEM917474 GOI917474 GYE917474 HIA917474 HRW917474 IBS917474 ILO917474 IVK917474 JFG917474 JPC917474 JYY917474 KIU917474 KSQ917474 LCM917474 LMI917474 LWE917474 MGA917474 MPW917474 MZS917474 NJO917474 NTK917474 ODG917474 ONC917474 OWY917474 PGU917474 PQQ917474 QAM917474 QKI917474 QUE917474 REA917474 RNW917474 RXS917474 SHO917474 SRK917474 TBG917474 TLC917474 TUY917474 UEU917474 UOQ917474 UYM917474 VII917474 VSE917474 WCA917474 WLW917474 WVS917474 K983000 JG983010 TC983010 ACY983010 AMU983010 AWQ983010 BGM983010 BQI983010 CAE983010 CKA983010 CTW983010 DDS983010 DNO983010 DXK983010 EHG983010 ERC983010 FAY983010 FKU983010 FUQ983010 GEM983010 GOI983010 GYE983010 HIA983010 HRW983010 IBS983010 ILO983010 IVK983010 JFG983010 JPC983010 JYY983010 KIU983010 KSQ983010 LCM983010 LMI983010 LWE983010 MGA983010 MPW983010 MZS983010 NJO983010 NTK983010 ODG983010 ONC983010 OWY983010 PGU983010 PQQ983010 QAM983010 QKI983010 QUE983010 REA983010 RNW983010 RXS983010 SHO983010 SRK983010 TBG983010 TLC983010 TUY983010 UEU983010 UOQ983010 UYM983010 VII983010 VSE983010 WCA983010 WLW983010">
      <formula1>გრაფიკის_ტიპი</formula1>
    </dataValidation>
    <dataValidation type="list" allowBlank="1" showInputMessage="1" showErrorMessage="1" sqref="WVS983012 E65498 JA65508 SW65508 ACS65508 AMO65508 AWK65508 BGG65508 BQC65508 BZY65508 CJU65508 CTQ65508 DDM65508 DNI65508 DXE65508 EHA65508 EQW65508 FAS65508 FKO65508 FUK65508 GEG65508 GOC65508 GXY65508 HHU65508 HRQ65508 IBM65508 ILI65508 IVE65508 JFA65508 JOW65508 JYS65508 KIO65508 KSK65508 LCG65508 LMC65508 LVY65508 MFU65508 MPQ65508 MZM65508 NJI65508 NTE65508 ODA65508 OMW65508 OWS65508 PGO65508 PQK65508 QAG65508 QKC65508 QTY65508 RDU65508 RNQ65508 RXM65508 SHI65508 SRE65508 TBA65508 TKW65508 TUS65508 UEO65508 UOK65508 UYG65508 VIC65508 VRY65508 WBU65508 WLQ65508 WVM65508 E131034 JA131044 SW131044 ACS131044 AMO131044 AWK131044 BGG131044 BQC131044 BZY131044 CJU131044 CTQ131044 DDM131044 DNI131044 DXE131044 EHA131044 EQW131044 FAS131044 FKO131044 FUK131044 GEG131044 GOC131044 GXY131044 HHU131044 HRQ131044 IBM131044 ILI131044 IVE131044 JFA131044 JOW131044 JYS131044 KIO131044 KSK131044 LCG131044 LMC131044 LVY131044 MFU131044 MPQ131044 MZM131044 NJI131044 NTE131044 ODA131044 OMW131044 OWS131044 PGO131044 PQK131044 QAG131044 QKC131044 QTY131044 RDU131044 RNQ131044 RXM131044 SHI131044 SRE131044 TBA131044 TKW131044 TUS131044 UEO131044 UOK131044 UYG131044 VIC131044 VRY131044 WBU131044 WLQ131044 WVM131044 E196570 JA196580 SW196580 ACS196580 AMO196580 AWK196580 BGG196580 BQC196580 BZY196580 CJU196580 CTQ196580 DDM196580 DNI196580 DXE196580 EHA196580 EQW196580 FAS196580 FKO196580 FUK196580 GEG196580 GOC196580 GXY196580 HHU196580 HRQ196580 IBM196580 ILI196580 IVE196580 JFA196580 JOW196580 JYS196580 KIO196580 KSK196580 LCG196580 LMC196580 LVY196580 MFU196580 MPQ196580 MZM196580 NJI196580 NTE196580 ODA196580 OMW196580 OWS196580 PGO196580 PQK196580 QAG196580 QKC196580 QTY196580 RDU196580 RNQ196580 RXM196580 SHI196580 SRE196580 TBA196580 TKW196580 TUS196580 UEO196580 UOK196580 UYG196580 VIC196580 VRY196580 WBU196580 WLQ196580 WVM196580 E262106 JA262116 SW262116 ACS262116 AMO262116 AWK262116 BGG262116 BQC262116 BZY262116 CJU262116 CTQ262116 DDM262116 DNI262116 DXE262116 EHA262116 EQW262116 FAS262116 FKO262116 FUK262116 GEG262116 GOC262116 GXY262116 HHU262116 HRQ262116 IBM262116 ILI262116 IVE262116 JFA262116 JOW262116 JYS262116 KIO262116 KSK262116 LCG262116 LMC262116 LVY262116 MFU262116 MPQ262116 MZM262116 NJI262116 NTE262116 ODA262116 OMW262116 OWS262116 PGO262116 PQK262116 QAG262116 QKC262116 QTY262116 RDU262116 RNQ262116 RXM262116 SHI262116 SRE262116 TBA262116 TKW262116 TUS262116 UEO262116 UOK262116 UYG262116 VIC262116 VRY262116 WBU262116 WLQ262116 WVM262116 E327642 JA327652 SW327652 ACS327652 AMO327652 AWK327652 BGG327652 BQC327652 BZY327652 CJU327652 CTQ327652 DDM327652 DNI327652 DXE327652 EHA327652 EQW327652 FAS327652 FKO327652 FUK327652 GEG327652 GOC327652 GXY327652 HHU327652 HRQ327652 IBM327652 ILI327652 IVE327652 JFA327652 JOW327652 JYS327652 KIO327652 KSK327652 LCG327652 LMC327652 LVY327652 MFU327652 MPQ327652 MZM327652 NJI327652 NTE327652 ODA327652 OMW327652 OWS327652 PGO327652 PQK327652 QAG327652 QKC327652 QTY327652 RDU327652 RNQ327652 RXM327652 SHI327652 SRE327652 TBA327652 TKW327652 TUS327652 UEO327652 UOK327652 UYG327652 VIC327652 VRY327652 WBU327652 WLQ327652 WVM327652 E393178 JA393188 SW393188 ACS393188 AMO393188 AWK393188 BGG393188 BQC393188 BZY393188 CJU393188 CTQ393188 DDM393188 DNI393188 DXE393188 EHA393188 EQW393188 FAS393188 FKO393188 FUK393188 GEG393188 GOC393188 GXY393188 HHU393188 HRQ393188 IBM393188 ILI393188 IVE393188 JFA393188 JOW393188 JYS393188 KIO393188 KSK393188 LCG393188 LMC393188 LVY393188 MFU393188 MPQ393188 MZM393188 NJI393188 NTE393188 ODA393188 OMW393188 OWS393188 PGO393188 PQK393188 QAG393188 QKC393188 QTY393188 RDU393188 RNQ393188 RXM393188 SHI393188 SRE393188 TBA393188 TKW393188 TUS393188 UEO393188 UOK393188 UYG393188 VIC393188 VRY393188 WBU393188 WLQ393188 WVM393188 E458714 JA458724 SW458724 ACS458724 AMO458724 AWK458724 BGG458724 BQC458724 BZY458724 CJU458724 CTQ458724 DDM458724 DNI458724 DXE458724 EHA458724 EQW458724 FAS458724 FKO458724 FUK458724 GEG458724 GOC458724 GXY458724 HHU458724 HRQ458724 IBM458724 ILI458724 IVE458724 JFA458724 JOW458724 JYS458724 KIO458724 KSK458724 LCG458724 LMC458724 LVY458724 MFU458724 MPQ458724 MZM458724 NJI458724 NTE458724 ODA458724 OMW458724 OWS458724 PGO458724 PQK458724 QAG458724 QKC458724 QTY458724 RDU458724 RNQ458724 RXM458724 SHI458724 SRE458724 TBA458724 TKW458724 TUS458724 UEO458724 UOK458724 UYG458724 VIC458724 VRY458724 WBU458724 WLQ458724 WVM458724 E524250 JA524260 SW524260 ACS524260 AMO524260 AWK524260 BGG524260 BQC524260 BZY524260 CJU524260 CTQ524260 DDM524260 DNI524260 DXE524260 EHA524260 EQW524260 FAS524260 FKO524260 FUK524260 GEG524260 GOC524260 GXY524260 HHU524260 HRQ524260 IBM524260 ILI524260 IVE524260 JFA524260 JOW524260 JYS524260 KIO524260 KSK524260 LCG524260 LMC524260 LVY524260 MFU524260 MPQ524260 MZM524260 NJI524260 NTE524260 ODA524260 OMW524260 OWS524260 PGO524260 PQK524260 QAG524260 QKC524260 QTY524260 RDU524260 RNQ524260 RXM524260 SHI524260 SRE524260 TBA524260 TKW524260 TUS524260 UEO524260 UOK524260 UYG524260 VIC524260 VRY524260 WBU524260 WLQ524260 WVM524260 E589786 JA589796 SW589796 ACS589796 AMO589796 AWK589796 BGG589796 BQC589796 BZY589796 CJU589796 CTQ589796 DDM589796 DNI589796 DXE589796 EHA589796 EQW589796 FAS589796 FKO589796 FUK589796 GEG589796 GOC589796 GXY589796 HHU589796 HRQ589796 IBM589796 ILI589796 IVE589796 JFA589796 JOW589796 JYS589796 KIO589796 KSK589796 LCG589796 LMC589796 LVY589796 MFU589796 MPQ589796 MZM589796 NJI589796 NTE589796 ODA589796 OMW589796 OWS589796 PGO589796 PQK589796 QAG589796 QKC589796 QTY589796 RDU589796 RNQ589796 RXM589796 SHI589796 SRE589796 TBA589796 TKW589796 TUS589796 UEO589796 UOK589796 UYG589796 VIC589796 VRY589796 WBU589796 WLQ589796 WVM589796 E655322 JA655332 SW655332 ACS655332 AMO655332 AWK655332 BGG655332 BQC655332 BZY655332 CJU655332 CTQ655332 DDM655332 DNI655332 DXE655332 EHA655332 EQW655332 FAS655332 FKO655332 FUK655332 GEG655332 GOC655332 GXY655332 HHU655332 HRQ655332 IBM655332 ILI655332 IVE655332 JFA655332 JOW655332 JYS655332 KIO655332 KSK655332 LCG655332 LMC655332 LVY655332 MFU655332 MPQ655332 MZM655332 NJI655332 NTE655332 ODA655332 OMW655332 OWS655332 PGO655332 PQK655332 QAG655332 QKC655332 QTY655332 RDU655332 RNQ655332 RXM655332 SHI655332 SRE655332 TBA655332 TKW655332 TUS655332 UEO655332 UOK655332 UYG655332 VIC655332 VRY655332 WBU655332 WLQ655332 WVM655332 E720858 JA720868 SW720868 ACS720868 AMO720868 AWK720868 BGG720868 BQC720868 BZY720868 CJU720868 CTQ720868 DDM720868 DNI720868 DXE720868 EHA720868 EQW720868 FAS720868 FKO720868 FUK720868 GEG720868 GOC720868 GXY720868 HHU720868 HRQ720868 IBM720868 ILI720868 IVE720868 JFA720868 JOW720868 JYS720868 KIO720868 KSK720868 LCG720868 LMC720868 LVY720868 MFU720868 MPQ720868 MZM720868 NJI720868 NTE720868 ODA720868 OMW720868 OWS720868 PGO720868 PQK720868 QAG720868 QKC720868 QTY720868 RDU720868 RNQ720868 RXM720868 SHI720868 SRE720868 TBA720868 TKW720868 TUS720868 UEO720868 UOK720868 UYG720868 VIC720868 VRY720868 WBU720868 WLQ720868 WVM720868 E786394 JA786404 SW786404 ACS786404 AMO786404 AWK786404 BGG786404 BQC786404 BZY786404 CJU786404 CTQ786404 DDM786404 DNI786404 DXE786404 EHA786404 EQW786404 FAS786404 FKO786404 FUK786404 GEG786404 GOC786404 GXY786404 HHU786404 HRQ786404 IBM786404 ILI786404 IVE786404 JFA786404 JOW786404 JYS786404 KIO786404 KSK786404 LCG786404 LMC786404 LVY786404 MFU786404 MPQ786404 MZM786404 NJI786404 NTE786404 ODA786404 OMW786404 OWS786404 PGO786404 PQK786404 QAG786404 QKC786404 QTY786404 RDU786404 RNQ786404 RXM786404 SHI786404 SRE786404 TBA786404 TKW786404 TUS786404 UEO786404 UOK786404 UYG786404 VIC786404 VRY786404 WBU786404 WLQ786404 WVM786404 E851930 JA851940 SW851940 ACS851940 AMO851940 AWK851940 BGG851940 BQC851940 BZY851940 CJU851940 CTQ851940 DDM851940 DNI851940 DXE851940 EHA851940 EQW851940 FAS851940 FKO851940 FUK851940 GEG851940 GOC851940 GXY851940 HHU851940 HRQ851940 IBM851940 ILI851940 IVE851940 JFA851940 JOW851940 JYS851940 KIO851940 KSK851940 LCG851940 LMC851940 LVY851940 MFU851940 MPQ851940 MZM851940 NJI851940 NTE851940 ODA851940 OMW851940 OWS851940 PGO851940 PQK851940 QAG851940 QKC851940 QTY851940 RDU851940 RNQ851940 RXM851940 SHI851940 SRE851940 TBA851940 TKW851940 TUS851940 UEO851940 UOK851940 UYG851940 VIC851940 VRY851940 WBU851940 WLQ851940 WVM851940 E917466 JA917476 SW917476 ACS917476 AMO917476 AWK917476 BGG917476 BQC917476 BZY917476 CJU917476 CTQ917476 DDM917476 DNI917476 DXE917476 EHA917476 EQW917476 FAS917476 FKO917476 FUK917476 GEG917476 GOC917476 GXY917476 HHU917476 HRQ917476 IBM917476 ILI917476 IVE917476 JFA917476 JOW917476 JYS917476 KIO917476 KSK917476 LCG917476 LMC917476 LVY917476 MFU917476 MPQ917476 MZM917476 NJI917476 NTE917476 ODA917476 OMW917476 OWS917476 PGO917476 PQK917476 QAG917476 QKC917476 QTY917476 RDU917476 RNQ917476 RXM917476 SHI917476 SRE917476 TBA917476 TKW917476 TUS917476 UEO917476 UOK917476 UYG917476 VIC917476 VRY917476 WBU917476 WLQ917476 WVM917476 E983002 JA983012 SW983012 ACS983012 AMO983012 AWK983012 BGG983012 BQC983012 BZY983012 CJU983012 CTQ983012 DDM983012 DNI983012 DXE983012 EHA983012 EQW983012 FAS983012 FKO983012 FUK983012 GEG983012 GOC983012 GXY983012 HHU983012 HRQ983012 IBM983012 ILI983012 IVE983012 JFA983012 JOW983012 JYS983012 KIO983012 KSK983012 LCG983012 LMC983012 LVY983012 MFU983012 MPQ983012 MZM983012 NJI983012 NTE983012 ODA983012 OMW983012 OWS983012 PGO983012 PQK983012 QAG983012 QKC983012 QTY983012 RDU983012 RNQ983012 RXM983012 SHI983012 SRE983012 TBA983012 TKW983012 TUS983012 UEO983012 UOK983012 UYG983012 VIC983012 VRY983012 WBU983012 WLQ983012 WVM983012 H65498 JD65508 SZ65508 ACV65508 AMR65508 AWN65508 BGJ65508 BQF65508 CAB65508 CJX65508 CTT65508 DDP65508 DNL65508 DXH65508 EHD65508 EQZ65508 FAV65508 FKR65508 FUN65508 GEJ65508 GOF65508 GYB65508 HHX65508 HRT65508 IBP65508 ILL65508 IVH65508 JFD65508 JOZ65508 JYV65508 KIR65508 KSN65508 LCJ65508 LMF65508 LWB65508 MFX65508 MPT65508 MZP65508 NJL65508 NTH65508 ODD65508 OMZ65508 OWV65508 PGR65508 PQN65508 QAJ65508 QKF65508 QUB65508 RDX65508 RNT65508 RXP65508 SHL65508 SRH65508 TBD65508 TKZ65508 TUV65508 UER65508 UON65508 UYJ65508 VIF65508 VSB65508 WBX65508 WLT65508 WVP65508 H131034 JD131044 SZ131044 ACV131044 AMR131044 AWN131044 BGJ131044 BQF131044 CAB131044 CJX131044 CTT131044 DDP131044 DNL131044 DXH131044 EHD131044 EQZ131044 FAV131044 FKR131044 FUN131044 GEJ131044 GOF131044 GYB131044 HHX131044 HRT131044 IBP131044 ILL131044 IVH131044 JFD131044 JOZ131044 JYV131044 KIR131044 KSN131044 LCJ131044 LMF131044 LWB131044 MFX131044 MPT131044 MZP131044 NJL131044 NTH131044 ODD131044 OMZ131044 OWV131044 PGR131044 PQN131044 QAJ131044 QKF131044 QUB131044 RDX131044 RNT131044 RXP131044 SHL131044 SRH131044 TBD131044 TKZ131044 TUV131044 UER131044 UON131044 UYJ131044 VIF131044 VSB131044 WBX131044 WLT131044 WVP131044 H196570 JD196580 SZ196580 ACV196580 AMR196580 AWN196580 BGJ196580 BQF196580 CAB196580 CJX196580 CTT196580 DDP196580 DNL196580 DXH196580 EHD196580 EQZ196580 FAV196580 FKR196580 FUN196580 GEJ196580 GOF196580 GYB196580 HHX196580 HRT196580 IBP196580 ILL196580 IVH196580 JFD196580 JOZ196580 JYV196580 KIR196580 KSN196580 LCJ196580 LMF196580 LWB196580 MFX196580 MPT196580 MZP196580 NJL196580 NTH196580 ODD196580 OMZ196580 OWV196580 PGR196580 PQN196580 QAJ196580 QKF196580 QUB196580 RDX196580 RNT196580 RXP196580 SHL196580 SRH196580 TBD196580 TKZ196580 TUV196580 UER196580 UON196580 UYJ196580 VIF196580 VSB196580 WBX196580 WLT196580 WVP196580 H262106 JD262116 SZ262116 ACV262116 AMR262116 AWN262116 BGJ262116 BQF262116 CAB262116 CJX262116 CTT262116 DDP262116 DNL262116 DXH262116 EHD262116 EQZ262116 FAV262116 FKR262116 FUN262116 GEJ262116 GOF262116 GYB262116 HHX262116 HRT262116 IBP262116 ILL262116 IVH262116 JFD262116 JOZ262116 JYV262116 KIR262116 KSN262116 LCJ262116 LMF262116 LWB262116 MFX262116 MPT262116 MZP262116 NJL262116 NTH262116 ODD262116 OMZ262116 OWV262116 PGR262116 PQN262116 QAJ262116 QKF262116 QUB262116 RDX262116 RNT262116 RXP262116 SHL262116 SRH262116 TBD262116 TKZ262116 TUV262116 UER262116 UON262116 UYJ262116 VIF262116 VSB262116 WBX262116 WLT262116 WVP262116 H327642 JD327652 SZ327652 ACV327652 AMR327652 AWN327652 BGJ327652 BQF327652 CAB327652 CJX327652 CTT327652 DDP327652 DNL327652 DXH327652 EHD327652 EQZ327652 FAV327652 FKR327652 FUN327652 GEJ327652 GOF327652 GYB327652 HHX327652 HRT327652 IBP327652 ILL327652 IVH327652 JFD327652 JOZ327652 JYV327652 KIR327652 KSN327652 LCJ327652 LMF327652 LWB327652 MFX327652 MPT327652 MZP327652 NJL327652 NTH327652 ODD327652 OMZ327652 OWV327652 PGR327652 PQN327652 QAJ327652 QKF327652 QUB327652 RDX327652 RNT327652 RXP327652 SHL327652 SRH327652 TBD327652 TKZ327652 TUV327652 UER327652 UON327652 UYJ327652 VIF327652 VSB327652 WBX327652 WLT327652 WVP327652 H393178 JD393188 SZ393188 ACV393188 AMR393188 AWN393188 BGJ393188 BQF393188 CAB393188 CJX393188 CTT393188 DDP393188 DNL393188 DXH393188 EHD393188 EQZ393188 FAV393188 FKR393188 FUN393188 GEJ393188 GOF393188 GYB393188 HHX393188 HRT393188 IBP393188 ILL393188 IVH393188 JFD393188 JOZ393188 JYV393188 KIR393188 KSN393188 LCJ393188 LMF393188 LWB393188 MFX393188 MPT393188 MZP393188 NJL393188 NTH393188 ODD393188 OMZ393188 OWV393188 PGR393188 PQN393188 QAJ393188 QKF393188 QUB393188 RDX393188 RNT393188 RXP393188 SHL393188 SRH393188 TBD393188 TKZ393188 TUV393188 UER393188 UON393188 UYJ393188 VIF393188 VSB393188 WBX393188 WLT393188 WVP393188 H458714 JD458724 SZ458724 ACV458724 AMR458724 AWN458724 BGJ458724 BQF458724 CAB458724 CJX458724 CTT458724 DDP458724 DNL458724 DXH458724 EHD458724 EQZ458724 FAV458724 FKR458724 FUN458724 GEJ458724 GOF458724 GYB458724 HHX458724 HRT458724 IBP458724 ILL458724 IVH458724 JFD458724 JOZ458724 JYV458724 KIR458724 KSN458724 LCJ458724 LMF458724 LWB458724 MFX458724 MPT458724 MZP458724 NJL458724 NTH458724 ODD458724 OMZ458724 OWV458724 PGR458724 PQN458724 QAJ458724 QKF458724 QUB458724 RDX458724 RNT458724 RXP458724 SHL458724 SRH458724 TBD458724 TKZ458724 TUV458724 UER458724 UON458724 UYJ458724 VIF458724 VSB458724 WBX458724 WLT458724 WVP458724 H524250 JD524260 SZ524260 ACV524260 AMR524260 AWN524260 BGJ524260 BQF524260 CAB524260 CJX524260 CTT524260 DDP524260 DNL524260 DXH524260 EHD524260 EQZ524260 FAV524260 FKR524260 FUN524260 GEJ524260 GOF524260 GYB524260 HHX524260 HRT524260 IBP524260 ILL524260 IVH524260 JFD524260 JOZ524260 JYV524260 KIR524260 KSN524260 LCJ524260 LMF524260 LWB524260 MFX524260 MPT524260 MZP524260 NJL524260 NTH524260 ODD524260 OMZ524260 OWV524260 PGR524260 PQN524260 QAJ524260 QKF524260 QUB524260 RDX524260 RNT524260 RXP524260 SHL524260 SRH524260 TBD524260 TKZ524260 TUV524260 UER524260 UON524260 UYJ524260 VIF524260 VSB524260 WBX524260 WLT524260 WVP524260 H589786 JD589796 SZ589796 ACV589796 AMR589796 AWN589796 BGJ589796 BQF589796 CAB589796 CJX589796 CTT589796 DDP589796 DNL589796 DXH589796 EHD589796 EQZ589796 FAV589796 FKR589796 FUN589796 GEJ589796 GOF589796 GYB589796 HHX589796 HRT589796 IBP589796 ILL589796 IVH589796 JFD589796 JOZ589796 JYV589796 KIR589796 KSN589796 LCJ589796 LMF589796 LWB589796 MFX589796 MPT589796 MZP589796 NJL589796 NTH589796 ODD589796 OMZ589796 OWV589796 PGR589796 PQN589796 QAJ589796 QKF589796 QUB589796 RDX589796 RNT589796 RXP589796 SHL589796 SRH589796 TBD589796 TKZ589796 TUV589796 UER589796 UON589796 UYJ589796 VIF589796 VSB589796 WBX589796 WLT589796 WVP589796 H655322 JD655332 SZ655332 ACV655332 AMR655332 AWN655332 BGJ655332 BQF655332 CAB655332 CJX655332 CTT655332 DDP655332 DNL655332 DXH655332 EHD655332 EQZ655332 FAV655332 FKR655332 FUN655332 GEJ655332 GOF655332 GYB655332 HHX655332 HRT655332 IBP655332 ILL655332 IVH655332 JFD655332 JOZ655332 JYV655332 KIR655332 KSN655332 LCJ655332 LMF655332 LWB655332 MFX655332 MPT655332 MZP655332 NJL655332 NTH655332 ODD655332 OMZ655332 OWV655332 PGR655332 PQN655332 QAJ655332 QKF655332 QUB655332 RDX655332 RNT655332 RXP655332 SHL655332 SRH655332 TBD655332 TKZ655332 TUV655332 UER655332 UON655332 UYJ655332 VIF655332 VSB655332 WBX655332 WLT655332 WVP655332 H720858 JD720868 SZ720868 ACV720868 AMR720868 AWN720868 BGJ720868 BQF720868 CAB720868 CJX720868 CTT720868 DDP720868 DNL720868 DXH720868 EHD720868 EQZ720868 FAV720868 FKR720868 FUN720868 GEJ720868 GOF720868 GYB720868 HHX720868 HRT720868 IBP720868 ILL720868 IVH720868 JFD720868 JOZ720868 JYV720868 KIR720868 KSN720868 LCJ720868 LMF720868 LWB720868 MFX720868 MPT720868 MZP720868 NJL720868 NTH720868 ODD720868 OMZ720868 OWV720868 PGR720868 PQN720868 QAJ720868 QKF720868 QUB720868 RDX720868 RNT720868 RXP720868 SHL720868 SRH720868 TBD720868 TKZ720868 TUV720868 UER720868 UON720868 UYJ720868 VIF720868 VSB720868 WBX720868 WLT720868 WVP720868 H786394 JD786404 SZ786404 ACV786404 AMR786404 AWN786404 BGJ786404 BQF786404 CAB786404 CJX786404 CTT786404 DDP786404 DNL786404 DXH786404 EHD786404 EQZ786404 FAV786404 FKR786404 FUN786404 GEJ786404 GOF786404 GYB786404 HHX786404 HRT786404 IBP786404 ILL786404 IVH786404 JFD786404 JOZ786404 JYV786404 KIR786404 KSN786404 LCJ786404 LMF786404 LWB786404 MFX786404 MPT786404 MZP786404 NJL786404 NTH786404 ODD786404 OMZ786404 OWV786404 PGR786404 PQN786404 QAJ786404 QKF786404 QUB786404 RDX786404 RNT786404 RXP786404 SHL786404 SRH786404 TBD786404 TKZ786404 TUV786404 UER786404 UON786404 UYJ786404 VIF786404 VSB786404 WBX786404 WLT786404 WVP786404 H851930 JD851940 SZ851940 ACV851940 AMR851940 AWN851940 BGJ851940 BQF851940 CAB851940 CJX851940 CTT851940 DDP851940 DNL851940 DXH851940 EHD851940 EQZ851940 FAV851940 FKR851940 FUN851940 GEJ851940 GOF851940 GYB851940 HHX851940 HRT851940 IBP851940 ILL851940 IVH851940 JFD851940 JOZ851940 JYV851940 KIR851940 KSN851940 LCJ851940 LMF851940 LWB851940 MFX851940 MPT851940 MZP851940 NJL851940 NTH851940 ODD851940 OMZ851940 OWV851940 PGR851940 PQN851940 QAJ851940 QKF851940 QUB851940 RDX851940 RNT851940 RXP851940 SHL851940 SRH851940 TBD851940 TKZ851940 TUV851940 UER851940 UON851940 UYJ851940 VIF851940 VSB851940 WBX851940 WLT851940 WVP851940 H917466 JD917476 SZ917476 ACV917476 AMR917476 AWN917476 BGJ917476 BQF917476 CAB917476 CJX917476 CTT917476 DDP917476 DNL917476 DXH917476 EHD917476 EQZ917476 FAV917476 FKR917476 FUN917476 GEJ917476 GOF917476 GYB917476 HHX917476 HRT917476 IBP917476 ILL917476 IVH917476 JFD917476 JOZ917476 JYV917476 KIR917476 KSN917476 LCJ917476 LMF917476 LWB917476 MFX917476 MPT917476 MZP917476 NJL917476 NTH917476 ODD917476 OMZ917476 OWV917476 PGR917476 PQN917476 QAJ917476 QKF917476 QUB917476 RDX917476 RNT917476 RXP917476 SHL917476 SRH917476 TBD917476 TKZ917476 TUV917476 UER917476 UON917476 UYJ917476 VIF917476 VSB917476 WBX917476 WLT917476 WVP917476 H983002 JD983012 SZ983012 ACV983012 AMR983012 AWN983012 BGJ983012 BQF983012 CAB983012 CJX983012 CTT983012 DDP983012 DNL983012 DXH983012 EHD983012 EQZ983012 FAV983012 FKR983012 FUN983012 GEJ983012 GOF983012 GYB983012 HHX983012 HRT983012 IBP983012 ILL983012 IVH983012 JFD983012 JOZ983012 JYV983012 KIR983012 KSN983012 LCJ983012 LMF983012 LWB983012 MFX983012 MPT983012 MZP983012 NJL983012 NTH983012 ODD983012 OMZ983012 OWV983012 PGR983012 PQN983012 QAJ983012 QKF983012 QUB983012 RDX983012 RNT983012 RXP983012 SHL983012 SRH983012 TBD983012 TKZ983012 TUV983012 UER983012 UON983012 UYJ983012 VIF983012 VSB983012 WBX983012 WLT983012 WVP983012 K65498 JG65508 TC65508 ACY65508 AMU65508 AWQ65508 BGM65508 BQI65508 CAE65508 CKA65508 CTW65508 DDS65508 DNO65508 DXK65508 EHG65508 ERC65508 FAY65508 FKU65508 FUQ65508 GEM65508 GOI65508 GYE65508 HIA65508 HRW65508 IBS65508 ILO65508 IVK65508 JFG65508 JPC65508 JYY65508 KIU65508 KSQ65508 LCM65508 LMI65508 LWE65508 MGA65508 MPW65508 MZS65508 NJO65508 NTK65508 ODG65508 ONC65508 OWY65508 PGU65508 PQQ65508 QAM65508 QKI65508 QUE65508 REA65508 RNW65508 RXS65508 SHO65508 SRK65508 TBG65508 TLC65508 TUY65508 UEU65508 UOQ65508 UYM65508 VII65508 VSE65508 WCA65508 WLW65508 WVS65508 K131034 JG131044 TC131044 ACY131044 AMU131044 AWQ131044 BGM131044 BQI131044 CAE131044 CKA131044 CTW131044 DDS131044 DNO131044 DXK131044 EHG131044 ERC131044 FAY131044 FKU131044 FUQ131044 GEM131044 GOI131044 GYE131044 HIA131044 HRW131044 IBS131044 ILO131044 IVK131044 JFG131044 JPC131044 JYY131044 KIU131044 KSQ131044 LCM131044 LMI131044 LWE131044 MGA131044 MPW131044 MZS131044 NJO131044 NTK131044 ODG131044 ONC131044 OWY131044 PGU131044 PQQ131044 QAM131044 QKI131044 QUE131044 REA131044 RNW131044 RXS131044 SHO131044 SRK131044 TBG131044 TLC131044 TUY131044 UEU131044 UOQ131044 UYM131044 VII131044 VSE131044 WCA131044 WLW131044 WVS131044 K196570 JG196580 TC196580 ACY196580 AMU196580 AWQ196580 BGM196580 BQI196580 CAE196580 CKA196580 CTW196580 DDS196580 DNO196580 DXK196580 EHG196580 ERC196580 FAY196580 FKU196580 FUQ196580 GEM196580 GOI196580 GYE196580 HIA196580 HRW196580 IBS196580 ILO196580 IVK196580 JFG196580 JPC196580 JYY196580 KIU196580 KSQ196580 LCM196580 LMI196580 LWE196580 MGA196580 MPW196580 MZS196580 NJO196580 NTK196580 ODG196580 ONC196580 OWY196580 PGU196580 PQQ196580 QAM196580 QKI196580 QUE196580 REA196580 RNW196580 RXS196580 SHO196580 SRK196580 TBG196580 TLC196580 TUY196580 UEU196580 UOQ196580 UYM196580 VII196580 VSE196580 WCA196580 WLW196580 WVS196580 K262106 JG262116 TC262116 ACY262116 AMU262116 AWQ262116 BGM262116 BQI262116 CAE262116 CKA262116 CTW262116 DDS262116 DNO262116 DXK262116 EHG262116 ERC262116 FAY262116 FKU262116 FUQ262116 GEM262116 GOI262116 GYE262116 HIA262116 HRW262116 IBS262116 ILO262116 IVK262116 JFG262116 JPC262116 JYY262116 KIU262116 KSQ262116 LCM262116 LMI262116 LWE262116 MGA262116 MPW262116 MZS262116 NJO262116 NTK262116 ODG262116 ONC262116 OWY262116 PGU262116 PQQ262116 QAM262116 QKI262116 QUE262116 REA262116 RNW262116 RXS262116 SHO262116 SRK262116 TBG262116 TLC262116 TUY262116 UEU262116 UOQ262116 UYM262116 VII262116 VSE262116 WCA262116 WLW262116 WVS262116 K327642 JG327652 TC327652 ACY327652 AMU327652 AWQ327652 BGM327652 BQI327652 CAE327652 CKA327652 CTW327652 DDS327652 DNO327652 DXK327652 EHG327652 ERC327652 FAY327652 FKU327652 FUQ327652 GEM327652 GOI327652 GYE327652 HIA327652 HRW327652 IBS327652 ILO327652 IVK327652 JFG327652 JPC327652 JYY327652 KIU327652 KSQ327652 LCM327652 LMI327652 LWE327652 MGA327652 MPW327652 MZS327652 NJO327652 NTK327652 ODG327652 ONC327652 OWY327652 PGU327652 PQQ327652 QAM327652 QKI327652 QUE327652 REA327652 RNW327652 RXS327652 SHO327652 SRK327652 TBG327652 TLC327652 TUY327652 UEU327652 UOQ327652 UYM327652 VII327652 VSE327652 WCA327652 WLW327652 WVS327652 K393178 JG393188 TC393188 ACY393188 AMU393188 AWQ393188 BGM393188 BQI393188 CAE393188 CKA393188 CTW393188 DDS393188 DNO393188 DXK393188 EHG393188 ERC393188 FAY393188 FKU393188 FUQ393188 GEM393188 GOI393188 GYE393188 HIA393188 HRW393188 IBS393188 ILO393188 IVK393188 JFG393188 JPC393188 JYY393188 KIU393188 KSQ393188 LCM393188 LMI393188 LWE393188 MGA393188 MPW393188 MZS393188 NJO393188 NTK393188 ODG393188 ONC393188 OWY393188 PGU393188 PQQ393188 QAM393188 QKI393188 QUE393188 REA393188 RNW393188 RXS393188 SHO393188 SRK393188 TBG393188 TLC393188 TUY393188 UEU393188 UOQ393188 UYM393188 VII393188 VSE393188 WCA393188 WLW393188 WVS393188 K458714 JG458724 TC458724 ACY458724 AMU458724 AWQ458724 BGM458724 BQI458724 CAE458724 CKA458724 CTW458724 DDS458724 DNO458724 DXK458724 EHG458724 ERC458724 FAY458724 FKU458724 FUQ458724 GEM458724 GOI458724 GYE458724 HIA458724 HRW458724 IBS458724 ILO458724 IVK458724 JFG458724 JPC458724 JYY458724 KIU458724 KSQ458724 LCM458724 LMI458724 LWE458724 MGA458724 MPW458724 MZS458724 NJO458724 NTK458724 ODG458724 ONC458724 OWY458724 PGU458724 PQQ458724 QAM458724 QKI458724 QUE458724 REA458724 RNW458724 RXS458724 SHO458724 SRK458724 TBG458724 TLC458724 TUY458724 UEU458724 UOQ458724 UYM458724 VII458724 VSE458724 WCA458724 WLW458724 WVS458724 K524250 JG524260 TC524260 ACY524260 AMU524260 AWQ524260 BGM524260 BQI524260 CAE524260 CKA524260 CTW524260 DDS524260 DNO524260 DXK524260 EHG524260 ERC524260 FAY524260 FKU524260 FUQ524260 GEM524260 GOI524260 GYE524260 HIA524260 HRW524260 IBS524260 ILO524260 IVK524260 JFG524260 JPC524260 JYY524260 KIU524260 KSQ524260 LCM524260 LMI524260 LWE524260 MGA524260 MPW524260 MZS524260 NJO524260 NTK524260 ODG524260 ONC524260 OWY524260 PGU524260 PQQ524260 QAM524260 QKI524260 QUE524260 REA524260 RNW524260 RXS524260 SHO524260 SRK524260 TBG524260 TLC524260 TUY524260 UEU524260 UOQ524260 UYM524260 VII524260 VSE524260 WCA524260 WLW524260 WVS524260 K589786 JG589796 TC589796 ACY589796 AMU589796 AWQ589796 BGM589796 BQI589796 CAE589796 CKA589796 CTW589796 DDS589796 DNO589796 DXK589796 EHG589796 ERC589796 FAY589796 FKU589796 FUQ589796 GEM589796 GOI589796 GYE589796 HIA589796 HRW589796 IBS589796 ILO589796 IVK589796 JFG589796 JPC589796 JYY589796 KIU589796 KSQ589796 LCM589796 LMI589796 LWE589796 MGA589796 MPW589796 MZS589796 NJO589796 NTK589796 ODG589796 ONC589796 OWY589796 PGU589796 PQQ589796 QAM589796 QKI589796 QUE589796 REA589796 RNW589796 RXS589796 SHO589796 SRK589796 TBG589796 TLC589796 TUY589796 UEU589796 UOQ589796 UYM589796 VII589796 VSE589796 WCA589796 WLW589796 WVS589796 K655322 JG655332 TC655332 ACY655332 AMU655332 AWQ655332 BGM655332 BQI655332 CAE655332 CKA655332 CTW655332 DDS655332 DNO655332 DXK655332 EHG655332 ERC655332 FAY655332 FKU655332 FUQ655332 GEM655332 GOI655332 GYE655332 HIA655332 HRW655332 IBS655332 ILO655332 IVK655332 JFG655332 JPC655332 JYY655332 KIU655332 KSQ655332 LCM655332 LMI655332 LWE655332 MGA655332 MPW655332 MZS655332 NJO655332 NTK655332 ODG655332 ONC655332 OWY655332 PGU655332 PQQ655332 QAM655332 QKI655332 QUE655332 REA655332 RNW655332 RXS655332 SHO655332 SRK655332 TBG655332 TLC655332 TUY655332 UEU655332 UOQ655332 UYM655332 VII655332 VSE655332 WCA655332 WLW655332 WVS655332 K720858 JG720868 TC720868 ACY720868 AMU720868 AWQ720868 BGM720868 BQI720868 CAE720868 CKA720868 CTW720868 DDS720868 DNO720868 DXK720868 EHG720868 ERC720868 FAY720868 FKU720868 FUQ720868 GEM720868 GOI720868 GYE720868 HIA720868 HRW720868 IBS720868 ILO720868 IVK720868 JFG720868 JPC720868 JYY720868 KIU720868 KSQ720868 LCM720868 LMI720868 LWE720868 MGA720868 MPW720868 MZS720868 NJO720868 NTK720868 ODG720868 ONC720868 OWY720868 PGU720868 PQQ720868 QAM720868 QKI720868 QUE720868 REA720868 RNW720868 RXS720868 SHO720868 SRK720868 TBG720868 TLC720868 TUY720868 UEU720868 UOQ720868 UYM720868 VII720868 VSE720868 WCA720868 WLW720868 WVS720868 K786394 JG786404 TC786404 ACY786404 AMU786404 AWQ786404 BGM786404 BQI786404 CAE786404 CKA786404 CTW786404 DDS786404 DNO786404 DXK786404 EHG786404 ERC786404 FAY786404 FKU786404 FUQ786404 GEM786404 GOI786404 GYE786404 HIA786404 HRW786404 IBS786404 ILO786404 IVK786404 JFG786404 JPC786404 JYY786404 KIU786404 KSQ786404 LCM786404 LMI786404 LWE786404 MGA786404 MPW786404 MZS786404 NJO786404 NTK786404 ODG786404 ONC786404 OWY786404 PGU786404 PQQ786404 QAM786404 QKI786404 QUE786404 REA786404 RNW786404 RXS786404 SHO786404 SRK786404 TBG786404 TLC786404 TUY786404 UEU786404 UOQ786404 UYM786404 VII786404 VSE786404 WCA786404 WLW786404 WVS786404 K851930 JG851940 TC851940 ACY851940 AMU851940 AWQ851940 BGM851940 BQI851940 CAE851940 CKA851940 CTW851940 DDS851940 DNO851940 DXK851940 EHG851940 ERC851940 FAY851940 FKU851940 FUQ851940 GEM851940 GOI851940 GYE851940 HIA851940 HRW851940 IBS851940 ILO851940 IVK851940 JFG851940 JPC851940 JYY851940 KIU851940 KSQ851940 LCM851940 LMI851940 LWE851940 MGA851940 MPW851940 MZS851940 NJO851940 NTK851940 ODG851940 ONC851940 OWY851940 PGU851940 PQQ851940 QAM851940 QKI851940 QUE851940 REA851940 RNW851940 RXS851940 SHO851940 SRK851940 TBG851940 TLC851940 TUY851940 UEU851940 UOQ851940 UYM851940 VII851940 VSE851940 WCA851940 WLW851940 WVS851940 K917466 JG917476 TC917476 ACY917476 AMU917476 AWQ917476 BGM917476 BQI917476 CAE917476 CKA917476 CTW917476 DDS917476 DNO917476 DXK917476 EHG917476 ERC917476 FAY917476 FKU917476 FUQ917476 GEM917476 GOI917476 GYE917476 HIA917476 HRW917476 IBS917476 ILO917476 IVK917476 JFG917476 JPC917476 JYY917476 KIU917476 KSQ917476 LCM917476 LMI917476 LWE917476 MGA917476 MPW917476 MZS917476 NJO917476 NTK917476 ODG917476 ONC917476 OWY917476 PGU917476 PQQ917476 QAM917476 QKI917476 QUE917476 REA917476 RNW917476 RXS917476 SHO917476 SRK917476 TBG917476 TLC917476 TUY917476 UEU917476 UOQ917476 UYM917476 VII917476 VSE917476 WCA917476 WLW917476 WVS917476 K983002 JG983012 TC983012 ACY983012 AMU983012 AWQ983012 BGM983012 BQI983012 CAE983012 CKA983012 CTW983012 DDS983012 DNO983012 DXK983012 EHG983012 ERC983012 FAY983012 FKU983012 FUQ983012 GEM983012 GOI983012 GYE983012 HIA983012 HRW983012 IBS983012 ILO983012 IVK983012 JFG983012 JPC983012 JYY983012 KIU983012 KSQ983012 LCM983012 LMI983012 LWE983012 MGA983012 MPW983012 MZS983012 NJO983012 NTK983012 ODG983012 ONC983012 OWY983012 PGU983012 PQQ983012 QAM983012 QKI983012 QUE983012 REA983012 RNW983012 RXS983012 SHO983012 SRK983012 TBG983012 TLC983012 TUY983012 UEU983012 UOQ983012 UYM983012 VII983012 VSE983012 WCA983012 WLW983012 IR10:IR23 SN10:SN23 ACJ10:ACJ23 AMF10:AMF23 AWB10:AWB23 BFX10:BFX23 BPT10:BPT23 BZP10:BZP23 CJL10:CJL23 CTH10:CTH23 DDD10:DDD23 DMZ10:DMZ23 DWV10:DWV23 EGR10:EGR23 EQN10:EQN23 FAJ10:FAJ23 FKF10:FKF23 FUB10:FUB23 GDX10:GDX23 GNT10:GNT23 GXP10:GXP23 HHL10:HHL23 HRH10:HRH23 IBD10:IBD23 IKZ10:IKZ23 IUV10:IUV23 JER10:JER23 JON10:JON23 JYJ10:JYJ23 KIF10:KIF23 KSB10:KSB23 LBX10:LBX23 LLT10:LLT23 LVP10:LVP23 MFL10:MFL23 MPH10:MPH23 MZD10:MZD23 NIZ10:NIZ23 NSV10:NSV23 OCR10:OCR23 OMN10:OMN23 OWJ10:OWJ23 PGF10:PGF23 PQB10:PQB23 PZX10:PZX23 QJT10:QJT23 QTP10:QTP23 RDL10:RDL23 RNH10:RNH23 RXD10:RXD23 SGZ10:SGZ23 SQV10:SQV23 TAR10:TAR23 TKN10:TKN23 TUJ10:TUJ23 UEF10:UEF23 UOB10:UOB23 UXX10:UXX23 VHT10:VHT23 VRP10:VRP23 WBL10:WBL23 WLH10:WLH23 WVD10:WVD23 IU10:IU23 SQ10:SQ23 ACM10:ACM23 AMI10:AMI23 AWE10:AWE23 BGA10:BGA23 BPW10:BPW23 BZS10:BZS23 CJO10:CJO23 CTK10:CTK23 DDG10:DDG23 DNC10:DNC23 DWY10:DWY23 EGU10:EGU23 EQQ10:EQQ23 FAM10:FAM23 FKI10:FKI23 FUE10:FUE23 GEA10:GEA23 GNW10:GNW23 GXS10:GXS23 HHO10:HHO23 HRK10:HRK23 IBG10:IBG23 ILC10:ILC23 IUY10:IUY23 JEU10:JEU23 JOQ10:JOQ23 JYM10:JYM23 KII10:KII23 KSE10:KSE23 LCA10:LCA23 LLW10:LLW23 LVS10:LVS23 MFO10:MFO23 MPK10:MPK23 MZG10:MZG23 NJC10:NJC23 NSY10:NSY23 OCU10:OCU23 OMQ10:OMQ23 OWM10:OWM23 PGI10:PGI23 PQE10:PQE23 QAA10:QAA23 QJW10:QJW23 QTS10:QTS23 RDO10:RDO23 RNK10:RNK23 RXG10:RXG23 SHC10:SHC23 SQY10:SQY23 TAU10:TAU23 TKQ10:TKQ23 TUM10:TUM23 UEI10:UEI23 UOE10:UOE23 UYA10:UYA23 VHW10:VHW23 VRS10:VRS23 WBO10:WBO23 WLK10:WLK23 WVG10:WVG23 IX10:IX23 ST10:ST23 ACP10:ACP23 AML10:AML23 AWH10:AWH23 BGD10:BGD23 BPZ10:BPZ23 BZV10:BZV23 CJR10:CJR23 CTN10:CTN23 DDJ10:DDJ23 DNF10:DNF23 DXB10:DXB23 EGX10:EGX23 EQT10:EQT23 FAP10:FAP23 FKL10:FKL23 FUH10:FUH23 GED10:GED23 GNZ10:GNZ23 GXV10:GXV23 HHR10:HHR23 HRN10:HRN23 IBJ10:IBJ23 ILF10:ILF23 IVB10:IVB23 JEX10:JEX23 JOT10:JOT23 JYP10:JYP23 KIL10:KIL23 KSH10:KSH23 LCD10:LCD23 LLZ10:LLZ23 LVV10:LVV23 MFR10:MFR23 MPN10:MPN23 MZJ10:MZJ23 NJF10:NJF23 NTB10:NTB23 OCX10:OCX23 OMT10:OMT23 OWP10:OWP23 PGL10:PGL23 PQH10:PQH23 QAD10:QAD23 QJZ10:QJZ23 QTV10:QTV23 RDR10:RDR23 RNN10:RNN23 RXJ10:RXJ23 SHF10:SHF23 SRB10:SRB23 TAX10:TAX23 TKT10:TKT23 TUP10:TUP23 UEL10:UEL23 UOH10:UOH23 UYD10:UYD23 VHZ10:VHZ23 VRV10:VRV23 WBR10:WBR23 WLN10:WLN23 WVJ10:WVJ23">
      <formula1>სესხის_ტიპი</formula1>
    </dataValidation>
    <dataValidation type="list" allowBlank="1" showInputMessage="1" showErrorMessage="1" sqref="WVP983070:WVR983070 H65552:H65555 JD65562:JD65565 SZ65562:SZ65565 ACV65562:ACV65565 AMR65562:AMR65565 AWN65562:AWN65565 BGJ65562:BGJ65565 BQF65562:BQF65565 CAB65562:CAB65565 CJX65562:CJX65565 CTT65562:CTT65565 DDP65562:DDP65565 DNL65562:DNL65565 DXH65562:DXH65565 EHD65562:EHD65565 EQZ65562:EQZ65565 FAV65562:FAV65565 FKR65562:FKR65565 FUN65562:FUN65565 GEJ65562:GEJ65565 GOF65562:GOF65565 GYB65562:GYB65565 HHX65562:HHX65565 HRT65562:HRT65565 IBP65562:IBP65565 ILL65562:ILL65565 IVH65562:IVH65565 JFD65562:JFD65565 JOZ65562:JOZ65565 JYV65562:JYV65565 KIR65562:KIR65565 KSN65562:KSN65565 LCJ65562:LCJ65565 LMF65562:LMF65565 LWB65562:LWB65565 MFX65562:MFX65565 MPT65562:MPT65565 MZP65562:MZP65565 NJL65562:NJL65565 NTH65562:NTH65565 ODD65562:ODD65565 OMZ65562:OMZ65565 OWV65562:OWV65565 PGR65562:PGR65565 PQN65562:PQN65565 QAJ65562:QAJ65565 QKF65562:QKF65565 QUB65562:QUB65565 RDX65562:RDX65565 RNT65562:RNT65565 RXP65562:RXP65565 SHL65562:SHL65565 SRH65562:SRH65565 TBD65562:TBD65565 TKZ65562:TKZ65565 TUV65562:TUV65565 UER65562:UER65565 UON65562:UON65565 UYJ65562:UYJ65565 VIF65562:VIF65565 VSB65562:VSB65565 WBX65562:WBX65565 WLT65562:WLT65565 WVP65562:WVP65565 H131088:H131091 JD131098:JD131101 SZ131098:SZ131101 ACV131098:ACV131101 AMR131098:AMR131101 AWN131098:AWN131101 BGJ131098:BGJ131101 BQF131098:BQF131101 CAB131098:CAB131101 CJX131098:CJX131101 CTT131098:CTT131101 DDP131098:DDP131101 DNL131098:DNL131101 DXH131098:DXH131101 EHD131098:EHD131101 EQZ131098:EQZ131101 FAV131098:FAV131101 FKR131098:FKR131101 FUN131098:FUN131101 GEJ131098:GEJ131101 GOF131098:GOF131101 GYB131098:GYB131101 HHX131098:HHX131101 HRT131098:HRT131101 IBP131098:IBP131101 ILL131098:ILL131101 IVH131098:IVH131101 JFD131098:JFD131101 JOZ131098:JOZ131101 JYV131098:JYV131101 KIR131098:KIR131101 KSN131098:KSN131101 LCJ131098:LCJ131101 LMF131098:LMF131101 LWB131098:LWB131101 MFX131098:MFX131101 MPT131098:MPT131101 MZP131098:MZP131101 NJL131098:NJL131101 NTH131098:NTH131101 ODD131098:ODD131101 OMZ131098:OMZ131101 OWV131098:OWV131101 PGR131098:PGR131101 PQN131098:PQN131101 QAJ131098:QAJ131101 QKF131098:QKF131101 QUB131098:QUB131101 RDX131098:RDX131101 RNT131098:RNT131101 RXP131098:RXP131101 SHL131098:SHL131101 SRH131098:SRH131101 TBD131098:TBD131101 TKZ131098:TKZ131101 TUV131098:TUV131101 UER131098:UER131101 UON131098:UON131101 UYJ131098:UYJ131101 VIF131098:VIF131101 VSB131098:VSB131101 WBX131098:WBX131101 WLT131098:WLT131101 WVP131098:WVP131101 H196624:H196627 JD196634:JD196637 SZ196634:SZ196637 ACV196634:ACV196637 AMR196634:AMR196637 AWN196634:AWN196637 BGJ196634:BGJ196637 BQF196634:BQF196637 CAB196634:CAB196637 CJX196634:CJX196637 CTT196634:CTT196637 DDP196634:DDP196637 DNL196634:DNL196637 DXH196634:DXH196637 EHD196634:EHD196637 EQZ196634:EQZ196637 FAV196634:FAV196637 FKR196634:FKR196637 FUN196634:FUN196637 GEJ196634:GEJ196637 GOF196634:GOF196637 GYB196634:GYB196637 HHX196634:HHX196637 HRT196634:HRT196637 IBP196634:IBP196637 ILL196634:ILL196637 IVH196634:IVH196637 JFD196634:JFD196637 JOZ196634:JOZ196637 JYV196634:JYV196637 KIR196634:KIR196637 KSN196634:KSN196637 LCJ196634:LCJ196637 LMF196634:LMF196637 LWB196634:LWB196637 MFX196634:MFX196637 MPT196634:MPT196637 MZP196634:MZP196637 NJL196634:NJL196637 NTH196634:NTH196637 ODD196634:ODD196637 OMZ196634:OMZ196637 OWV196634:OWV196637 PGR196634:PGR196637 PQN196634:PQN196637 QAJ196634:QAJ196637 QKF196634:QKF196637 QUB196634:QUB196637 RDX196634:RDX196637 RNT196634:RNT196637 RXP196634:RXP196637 SHL196634:SHL196637 SRH196634:SRH196637 TBD196634:TBD196637 TKZ196634:TKZ196637 TUV196634:TUV196637 UER196634:UER196637 UON196634:UON196637 UYJ196634:UYJ196637 VIF196634:VIF196637 VSB196634:VSB196637 WBX196634:WBX196637 WLT196634:WLT196637 WVP196634:WVP196637 H262160:H262163 JD262170:JD262173 SZ262170:SZ262173 ACV262170:ACV262173 AMR262170:AMR262173 AWN262170:AWN262173 BGJ262170:BGJ262173 BQF262170:BQF262173 CAB262170:CAB262173 CJX262170:CJX262173 CTT262170:CTT262173 DDP262170:DDP262173 DNL262170:DNL262173 DXH262170:DXH262173 EHD262170:EHD262173 EQZ262170:EQZ262173 FAV262170:FAV262173 FKR262170:FKR262173 FUN262170:FUN262173 GEJ262170:GEJ262173 GOF262170:GOF262173 GYB262170:GYB262173 HHX262170:HHX262173 HRT262170:HRT262173 IBP262170:IBP262173 ILL262170:ILL262173 IVH262170:IVH262173 JFD262170:JFD262173 JOZ262170:JOZ262173 JYV262170:JYV262173 KIR262170:KIR262173 KSN262170:KSN262173 LCJ262170:LCJ262173 LMF262170:LMF262173 LWB262170:LWB262173 MFX262170:MFX262173 MPT262170:MPT262173 MZP262170:MZP262173 NJL262170:NJL262173 NTH262170:NTH262173 ODD262170:ODD262173 OMZ262170:OMZ262173 OWV262170:OWV262173 PGR262170:PGR262173 PQN262170:PQN262173 QAJ262170:QAJ262173 QKF262170:QKF262173 QUB262170:QUB262173 RDX262170:RDX262173 RNT262170:RNT262173 RXP262170:RXP262173 SHL262170:SHL262173 SRH262170:SRH262173 TBD262170:TBD262173 TKZ262170:TKZ262173 TUV262170:TUV262173 UER262170:UER262173 UON262170:UON262173 UYJ262170:UYJ262173 VIF262170:VIF262173 VSB262170:VSB262173 WBX262170:WBX262173 WLT262170:WLT262173 WVP262170:WVP262173 H327696:H327699 JD327706:JD327709 SZ327706:SZ327709 ACV327706:ACV327709 AMR327706:AMR327709 AWN327706:AWN327709 BGJ327706:BGJ327709 BQF327706:BQF327709 CAB327706:CAB327709 CJX327706:CJX327709 CTT327706:CTT327709 DDP327706:DDP327709 DNL327706:DNL327709 DXH327706:DXH327709 EHD327706:EHD327709 EQZ327706:EQZ327709 FAV327706:FAV327709 FKR327706:FKR327709 FUN327706:FUN327709 GEJ327706:GEJ327709 GOF327706:GOF327709 GYB327706:GYB327709 HHX327706:HHX327709 HRT327706:HRT327709 IBP327706:IBP327709 ILL327706:ILL327709 IVH327706:IVH327709 JFD327706:JFD327709 JOZ327706:JOZ327709 JYV327706:JYV327709 KIR327706:KIR327709 KSN327706:KSN327709 LCJ327706:LCJ327709 LMF327706:LMF327709 LWB327706:LWB327709 MFX327706:MFX327709 MPT327706:MPT327709 MZP327706:MZP327709 NJL327706:NJL327709 NTH327706:NTH327709 ODD327706:ODD327709 OMZ327706:OMZ327709 OWV327706:OWV327709 PGR327706:PGR327709 PQN327706:PQN327709 QAJ327706:QAJ327709 QKF327706:QKF327709 QUB327706:QUB327709 RDX327706:RDX327709 RNT327706:RNT327709 RXP327706:RXP327709 SHL327706:SHL327709 SRH327706:SRH327709 TBD327706:TBD327709 TKZ327706:TKZ327709 TUV327706:TUV327709 UER327706:UER327709 UON327706:UON327709 UYJ327706:UYJ327709 VIF327706:VIF327709 VSB327706:VSB327709 WBX327706:WBX327709 WLT327706:WLT327709 WVP327706:WVP327709 H393232:H393235 JD393242:JD393245 SZ393242:SZ393245 ACV393242:ACV393245 AMR393242:AMR393245 AWN393242:AWN393245 BGJ393242:BGJ393245 BQF393242:BQF393245 CAB393242:CAB393245 CJX393242:CJX393245 CTT393242:CTT393245 DDP393242:DDP393245 DNL393242:DNL393245 DXH393242:DXH393245 EHD393242:EHD393245 EQZ393242:EQZ393245 FAV393242:FAV393245 FKR393242:FKR393245 FUN393242:FUN393245 GEJ393242:GEJ393245 GOF393242:GOF393245 GYB393242:GYB393245 HHX393242:HHX393245 HRT393242:HRT393245 IBP393242:IBP393245 ILL393242:ILL393245 IVH393242:IVH393245 JFD393242:JFD393245 JOZ393242:JOZ393245 JYV393242:JYV393245 KIR393242:KIR393245 KSN393242:KSN393245 LCJ393242:LCJ393245 LMF393242:LMF393245 LWB393242:LWB393245 MFX393242:MFX393245 MPT393242:MPT393245 MZP393242:MZP393245 NJL393242:NJL393245 NTH393242:NTH393245 ODD393242:ODD393245 OMZ393242:OMZ393245 OWV393242:OWV393245 PGR393242:PGR393245 PQN393242:PQN393245 QAJ393242:QAJ393245 QKF393242:QKF393245 QUB393242:QUB393245 RDX393242:RDX393245 RNT393242:RNT393245 RXP393242:RXP393245 SHL393242:SHL393245 SRH393242:SRH393245 TBD393242:TBD393245 TKZ393242:TKZ393245 TUV393242:TUV393245 UER393242:UER393245 UON393242:UON393245 UYJ393242:UYJ393245 VIF393242:VIF393245 VSB393242:VSB393245 WBX393242:WBX393245 WLT393242:WLT393245 WVP393242:WVP393245 H458768:H458771 JD458778:JD458781 SZ458778:SZ458781 ACV458778:ACV458781 AMR458778:AMR458781 AWN458778:AWN458781 BGJ458778:BGJ458781 BQF458778:BQF458781 CAB458778:CAB458781 CJX458778:CJX458781 CTT458778:CTT458781 DDP458778:DDP458781 DNL458778:DNL458781 DXH458778:DXH458781 EHD458778:EHD458781 EQZ458778:EQZ458781 FAV458778:FAV458781 FKR458778:FKR458781 FUN458778:FUN458781 GEJ458778:GEJ458781 GOF458778:GOF458781 GYB458778:GYB458781 HHX458778:HHX458781 HRT458778:HRT458781 IBP458778:IBP458781 ILL458778:ILL458781 IVH458778:IVH458781 JFD458778:JFD458781 JOZ458778:JOZ458781 JYV458778:JYV458781 KIR458778:KIR458781 KSN458778:KSN458781 LCJ458778:LCJ458781 LMF458778:LMF458781 LWB458778:LWB458781 MFX458778:MFX458781 MPT458778:MPT458781 MZP458778:MZP458781 NJL458778:NJL458781 NTH458778:NTH458781 ODD458778:ODD458781 OMZ458778:OMZ458781 OWV458778:OWV458781 PGR458778:PGR458781 PQN458778:PQN458781 QAJ458778:QAJ458781 QKF458778:QKF458781 QUB458778:QUB458781 RDX458778:RDX458781 RNT458778:RNT458781 RXP458778:RXP458781 SHL458778:SHL458781 SRH458778:SRH458781 TBD458778:TBD458781 TKZ458778:TKZ458781 TUV458778:TUV458781 UER458778:UER458781 UON458778:UON458781 UYJ458778:UYJ458781 VIF458778:VIF458781 VSB458778:VSB458781 WBX458778:WBX458781 WLT458778:WLT458781 WVP458778:WVP458781 H524304:H524307 JD524314:JD524317 SZ524314:SZ524317 ACV524314:ACV524317 AMR524314:AMR524317 AWN524314:AWN524317 BGJ524314:BGJ524317 BQF524314:BQF524317 CAB524314:CAB524317 CJX524314:CJX524317 CTT524314:CTT524317 DDP524314:DDP524317 DNL524314:DNL524317 DXH524314:DXH524317 EHD524314:EHD524317 EQZ524314:EQZ524317 FAV524314:FAV524317 FKR524314:FKR524317 FUN524314:FUN524317 GEJ524314:GEJ524317 GOF524314:GOF524317 GYB524314:GYB524317 HHX524314:HHX524317 HRT524314:HRT524317 IBP524314:IBP524317 ILL524314:ILL524317 IVH524314:IVH524317 JFD524314:JFD524317 JOZ524314:JOZ524317 JYV524314:JYV524317 KIR524314:KIR524317 KSN524314:KSN524317 LCJ524314:LCJ524317 LMF524314:LMF524317 LWB524314:LWB524317 MFX524314:MFX524317 MPT524314:MPT524317 MZP524314:MZP524317 NJL524314:NJL524317 NTH524314:NTH524317 ODD524314:ODD524317 OMZ524314:OMZ524317 OWV524314:OWV524317 PGR524314:PGR524317 PQN524314:PQN524317 QAJ524314:QAJ524317 QKF524314:QKF524317 QUB524314:QUB524317 RDX524314:RDX524317 RNT524314:RNT524317 RXP524314:RXP524317 SHL524314:SHL524317 SRH524314:SRH524317 TBD524314:TBD524317 TKZ524314:TKZ524317 TUV524314:TUV524317 UER524314:UER524317 UON524314:UON524317 UYJ524314:UYJ524317 VIF524314:VIF524317 VSB524314:VSB524317 WBX524314:WBX524317 WLT524314:WLT524317 WVP524314:WVP524317 H589840:H589843 JD589850:JD589853 SZ589850:SZ589853 ACV589850:ACV589853 AMR589850:AMR589853 AWN589850:AWN589853 BGJ589850:BGJ589853 BQF589850:BQF589853 CAB589850:CAB589853 CJX589850:CJX589853 CTT589850:CTT589853 DDP589850:DDP589853 DNL589850:DNL589853 DXH589850:DXH589853 EHD589850:EHD589853 EQZ589850:EQZ589853 FAV589850:FAV589853 FKR589850:FKR589853 FUN589850:FUN589853 GEJ589850:GEJ589853 GOF589850:GOF589853 GYB589850:GYB589853 HHX589850:HHX589853 HRT589850:HRT589853 IBP589850:IBP589853 ILL589850:ILL589853 IVH589850:IVH589853 JFD589850:JFD589853 JOZ589850:JOZ589853 JYV589850:JYV589853 KIR589850:KIR589853 KSN589850:KSN589853 LCJ589850:LCJ589853 LMF589850:LMF589853 LWB589850:LWB589853 MFX589850:MFX589853 MPT589850:MPT589853 MZP589850:MZP589853 NJL589850:NJL589853 NTH589850:NTH589853 ODD589850:ODD589853 OMZ589850:OMZ589853 OWV589850:OWV589853 PGR589850:PGR589853 PQN589850:PQN589853 QAJ589850:QAJ589853 QKF589850:QKF589853 QUB589850:QUB589853 RDX589850:RDX589853 RNT589850:RNT589853 RXP589850:RXP589853 SHL589850:SHL589853 SRH589850:SRH589853 TBD589850:TBD589853 TKZ589850:TKZ589853 TUV589850:TUV589853 UER589850:UER589853 UON589850:UON589853 UYJ589850:UYJ589853 VIF589850:VIF589853 VSB589850:VSB589853 WBX589850:WBX589853 WLT589850:WLT589853 WVP589850:WVP589853 H655376:H655379 JD655386:JD655389 SZ655386:SZ655389 ACV655386:ACV655389 AMR655386:AMR655389 AWN655386:AWN655389 BGJ655386:BGJ655389 BQF655386:BQF655389 CAB655386:CAB655389 CJX655386:CJX655389 CTT655386:CTT655389 DDP655386:DDP655389 DNL655386:DNL655389 DXH655386:DXH655389 EHD655386:EHD655389 EQZ655386:EQZ655389 FAV655386:FAV655389 FKR655386:FKR655389 FUN655386:FUN655389 GEJ655386:GEJ655389 GOF655386:GOF655389 GYB655386:GYB655389 HHX655386:HHX655389 HRT655386:HRT655389 IBP655386:IBP655389 ILL655386:ILL655389 IVH655386:IVH655389 JFD655386:JFD655389 JOZ655386:JOZ655389 JYV655386:JYV655389 KIR655386:KIR655389 KSN655386:KSN655389 LCJ655386:LCJ655389 LMF655386:LMF655389 LWB655386:LWB655389 MFX655386:MFX655389 MPT655386:MPT655389 MZP655386:MZP655389 NJL655386:NJL655389 NTH655386:NTH655389 ODD655386:ODD655389 OMZ655386:OMZ655389 OWV655386:OWV655389 PGR655386:PGR655389 PQN655386:PQN655389 QAJ655386:QAJ655389 QKF655386:QKF655389 QUB655386:QUB655389 RDX655386:RDX655389 RNT655386:RNT655389 RXP655386:RXP655389 SHL655386:SHL655389 SRH655386:SRH655389 TBD655386:TBD655389 TKZ655386:TKZ655389 TUV655386:TUV655389 UER655386:UER655389 UON655386:UON655389 UYJ655386:UYJ655389 VIF655386:VIF655389 VSB655386:VSB655389 WBX655386:WBX655389 WLT655386:WLT655389 WVP655386:WVP655389 H720912:H720915 JD720922:JD720925 SZ720922:SZ720925 ACV720922:ACV720925 AMR720922:AMR720925 AWN720922:AWN720925 BGJ720922:BGJ720925 BQF720922:BQF720925 CAB720922:CAB720925 CJX720922:CJX720925 CTT720922:CTT720925 DDP720922:DDP720925 DNL720922:DNL720925 DXH720922:DXH720925 EHD720922:EHD720925 EQZ720922:EQZ720925 FAV720922:FAV720925 FKR720922:FKR720925 FUN720922:FUN720925 GEJ720922:GEJ720925 GOF720922:GOF720925 GYB720922:GYB720925 HHX720922:HHX720925 HRT720922:HRT720925 IBP720922:IBP720925 ILL720922:ILL720925 IVH720922:IVH720925 JFD720922:JFD720925 JOZ720922:JOZ720925 JYV720922:JYV720925 KIR720922:KIR720925 KSN720922:KSN720925 LCJ720922:LCJ720925 LMF720922:LMF720925 LWB720922:LWB720925 MFX720922:MFX720925 MPT720922:MPT720925 MZP720922:MZP720925 NJL720922:NJL720925 NTH720922:NTH720925 ODD720922:ODD720925 OMZ720922:OMZ720925 OWV720922:OWV720925 PGR720922:PGR720925 PQN720922:PQN720925 QAJ720922:QAJ720925 QKF720922:QKF720925 QUB720922:QUB720925 RDX720922:RDX720925 RNT720922:RNT720925 RXP720922:RXP720925 SHL720922:SHL720925 SRH720922:SRH720925 TBD720922:TBD720925 TKZ720922:TKZ720925 TUV720922:TUV720925 UER720922:UER720925 UON720922:UON720925 UYJ720922:UYJ720925 VIF720922:VIF720925 VSB720922:VSB720925 WBX720922:WBX720925 WLT720922:WLT720925 WVP720922:WVP720925 H786448:H786451 JD786458:JD786461 SZ786458:SZ786461 ACV786458:ACV786461 AMR786458:AMR786461 AWN786458:AWN786461 BGJ786458:BGJ786461 BQF786458:BQF786461 CAB786458:CAB786461 CJX786458:CJX786461 CTT786458:CTT786461 DDP786458:DDP786461 DNL786458:DNL786461 DXH786458:DXH786461 EHD786458:EHD786461 EQZ786458:EQZ786461 FAV786458:FAV786461 FKR786458:FKR786461 FUN786458:FUN786461 GEJ786458:GEJ786461 GOF786458:GOF786461 GYB786458:GYB786461 HHX786458:HHX786461 HRT786458:HRT786461 IBP786458:IBP786461 ILL786458:ILL786461 IVH786458:IVH786461 JFD786458:JFD786461 JOZ786458:JOZ786461 JYV786458:JYV786461 KIR786458:KIR786461 KSN786458:KSN786461 LCJ786458:LCJ786461 LMF786458:LMF786461 LWB786458:LWB786461 MFX786458:MFX786461 MPT786458:MPT786461 MZP786458:MZP786461 NJL786458:NJL786461 NTH786458:NTH786461 ODD786458:ODD786461 OMZ786458:OMZ786461 OWV786458:OWV786461 PGR786458:PGR786461 PQN786458:PQN786461 QAJ786458:QAJ786461 QKF786458:QKF786461 QUB786458:QUB786461 RDX786458:RDX786461 RNT786458:RNT786461 RXP786458:RXP786461 SHL786458:SHL786461 SRH786458:SRH786461 TBD786458:TBD786461 TKZ786458:TKZ786461 TUV786458:TUV786461 UER786458:UER786461 UON786458:UON786461 UYJ786458:UYJ786461 VIF786458:VIF786461 VSB786458:VSB786461 WBX786458:WBX786461 WLT786458:WLT786461 WVP786458:WVP786461 H851984:H851987 JD851994:JD851997 SZ851994:SZ851997 ACV851994:ACV851997 AMR851994:AMR851997 AWN851994:AWN851997 BGJ851994:BGJ851997 BQF851994:BQF851997 CAB851994:CAB851997 CJX851994:CJX851997 CTT851994:CTT851997 DDP851994:DDP851997 DNL851994:DNL851997 DXH851994:DXH851997 EHD851994:EHD851997 EQZ851994:EQZ851997 FAV851994:FAV851997 FKR851994:FKR851997 FUN851994:FUN851997 GEJ851994:GEJ851997 GOF851994:GOF851997 GYB851994:GYB851997 HHX851994:HHX851997 HRT851994:HRT851997 IBP851994:IBP851997 ILL851994:ILL851997 IVH851994:IVH851997 JFD851994:JFD851997 JOZ851994:JOZ851997 JYV851994:JYV851997 KIR851994:KIR851997 KSN851994:KSN851997 LCJ851994:LCJ851997 LMF851994:LMF851997 LWB851994:LWB851997 MFX851994:MFX851997 MPT851994:MPT851997 MZP851994:MZP851997 NJL851994:NJL851997 NTH851994:NTH851997 ODD851994:ODD851997 OMZ851994:OMZ851997 OWV851994:OWV851997 PGR851994:PGR851997 PQN851994:PQN851997 QAJ851994:QAJ851997 QKF851994:QKF851997 QUB851994:QUB851997 RDX851994:RDX851997 RNT851994:RNT851997 RXP851994:RXP851997 SHL851994:SHL851997 SRH851994:SRH851997 TBD851994:TBD851997 TKZ851994:TKZ851997 TUV851994:TUV851997 UER851994:UER851997 UON851994:UON851997 UYJ851994:UYJ851997 VIF851994:VIF851997 VSB851994:VSB851997 WBX851994:WBX851997 WLT851994:WLT851997 WVP851994:WVP851997 H917520:H917523 JD917530:JD917533 SZ917530:SZ917533 ACV917530:ACV917533 AMR917530:AMR917533 AWN917530:AWN917533 BGJ917530:BGJ917533 BQF917530:BQF917533 CAB917530:CAB917533 CJX917530:CJX917533 CTT917530:CTT917533 DDP917530:DDP917533 DNL917530:DNL917533 DXH917530:DXH917533 EHD917530:EHD917533 EQZ917530:EQZ917533 FAV917530:FAV917533 FKR917530:FKR917533 FUN917530:FUN917533 GEJ917530:GEJ917533 GOF917530:GOF917533 GYB917530:GYB917533 HHX917530:HHX917533 HRT917530:HRT917533 IBP917530:IBP917533 ILL917530:ILL917533 IVH917530:IVH917533 JFD917530:JFD917533 JOZ917530:JOZ917533 JYV917530:JYV917533 KIR917530:KIR917533 KSN917530:KSN917533 LCJ917530:LCJ917533 LMF917530:LMF917533 LWB917530:LWB917533 MFX917530:MFX917533 MPT917530:MPT917533 MZP917530:MZP917533 NJL917530:NJL917533 NTH917530:NTH917533 ODD917530:ODD917533 OMZ917530:OMZ917533 OWV917530:OWV917533 PGR917530:PGR917533 PQN917530:PQN917533 QAJ917530:QAJ917533 QKF917530:QKF917533 QUB917530:QUB917533 RDX917530:RDX917533 RNT917530:RNT917533 RXP917530:RXP917533 SHL917530:SHL917533 SRH917530:SRH917533 TBD917530:TBD917533 TKZ917530:TKZ917533 TUV917530:TUV917533 UER917530:UER917533 UON917530:UON917533 UYJ917530:UYJ917533 VIF917530:VIF917533 VSB917530:VSB917533 WBX917530:WBX917533 WLT917530:WLT917533 WVP917530:WVP917533 H983056:H983059 JD983066:JD983069 SZ983066:SZ983069 ACV983066:ACV983069 AMR983066:AMR983069 AWN983066:AWN983069 BGJ983066:BGJ983069 BQF983066:BQF983069 CAB983066:CAB983069 CJX983066:CJX983069 CTT983066:CTT983069 DDP983066:DDP983069 DNL983066:DNL983069 DXH983066:DXH983069 EHD983066:EHD983069 EQZ983066:EQZ983069 FAV983066:FAV983069 FKR983066:FKR983069 FUN983066:FUN983069 GEJ983066:GEJ983069 GOF983066:GOF983069 GYB983066:GYB983069 HHX983066:HHX983069 HRT983066:HRT983069 IBP983066:IBP983069 ILL983066:ILL983069 IVH983066:IVH983069 JFD983066:JFD983069 JOZ983066:JOZ983069 JYV983066:JYV983069 KIR983066:KIR983069 KSN983066:KSN983069 LCJ983066:LCJ983069 LMF983066:LMF983069 LWB983066:LWB983069 MFX983066:MFX983069 MPT983066:MPT983069 MZP983066:MZP983069 NJL983066:NJL983069 NTH983066:NTH983069 ODD983066:ODD983069 OMZ983066:OMZ983069 OWV983066:OWV983069 PGR983066:PGR983069 PQN983066:PQN983069 QAJ983066:QAJ983069 QKF983066:QKF983069 QUB983066:QUB983069 RDX983066:RDX983069 RNT983066:RNT983069 RXP983066:RXP983069 SHL983066:SHL983069 SRH983066:SRH983069 TBD983066:TBD983069 TKZ983066:TKZ983069 TUV983066:TUV983069 UER983066:UER983069 UON983066:UON983069 UYJ983066:UYJ983069 VIF983066:VIF983069 VSB983066:VSB983069 WBX983066:WBX983069 WLT983066:WLT983069 WVP983066:WVP983069 WLT983070:WLV983070 H65556:J65556 JD65566:JF65566 SZ65566:TB65566 ACV65566:ACX65566 AMR65566:AMT65566 AWN65566:AWP65566 BGJ65566:BGL65566 BQF65566:BQH65566 CAB65566:CAD65566 CJX65566:CJZ65566 CTT65566:CTV65566 DDP65566:DDR65566 DNL65566:DNN65566 DXH65566:DXJ65566 EHD65566:EHF65566 EQZ65566:ERB65566 FAV65566:FAX65566 FKR65566:FKT65566 FUN65566:FUP65566 GEJ65566:GEL65566 GOF65566:GOH65566 GYB65566:GYD65566 HHX65566:HHZ65566 HRT65566:HRV65566 IBP65566:IBR65566 ILL65566:ILN65566 IVH65566:IVJ65566 JFD65566:JFF65566 JOZ65566:JPB65566 JYV65566:JYX65566 KIR65566:KIT65566 KSN65566:KSP65566 LCJ65566:LCL65566 LMF65566:LMH65566 LWB65566:LWD65566 MFX65566:MFZ65566 MPT65566:MPV65566 MZP65566:MZR65566 NJL65566:NJN65566 NTH65566:NTJ65566 ODD65566:ODF65566 OMZ65566:ONB65566 OWV65566:OWX65566 PGR65566:PGT65566 PQN65566:PQP65566 QAJ65566:QAL65566 QKF65566:QKH65566 QUB65566:QUD65566 RDX65566:RDZ65566 RNT65566:RNV65566 RXP65566:RXR65566 SHL65566:SHN65566 SRH65566:SRJ65566 TBD65566:TBF65566 TKZ65566:TLB65566 TUV65566:TUX65566 UER65566:UET65566 UON65566:UOP65566 UYJ65566:UYL65566 VIF65566:VIH65566 VSB65566:VSD65566 WBX65566:WBZ65566 WLT65566:WLV65566 WVP65566:WVR65566 H131092:J131092 JD131102:JF131102 SZ131102:TB131102 ACV131102:ACX131102 AMR131102:AMT131102 AWN131102:AWP131102 BGJ131102:BGL131102 BQF131102:BQH131102 CAB131102:CAD131102 CJX131102:CJZ131102 CTT131102:CTV131102 DDP131102:DDR131102 DNL131102:DNN131102 DXH131102:DXJ131102 EHD131102:EHF131102 EQZ131102:ERB131102 FAV131102:FAX131102 FKR131102:FKT131102 FUN131102:FUP131102 GEJ131102:GEL131102 GOF131102:GOH131102 GYB131102:GYD131102 HHX131102:HHZ131102 HRT131102:HRV131102 IBP131102:IBR131102 ILL131102:ILN131102 IVH131102:IVJ131102 JFD131102:JFF131102 JOZ131102:JPB131102 JYV131102:JYX131102 KIR131102:KIT131102 KSN131102:KSP131102 LCJ131102:LCL131102 LMF131102:LMH131102 LWB131102:LWD131102 MFX131102:MFZ131102 MPT131102:MPV131102 MZP131102:MZR131102 NJL131102:NJN131102 NTH131102:NTJ131102 ODD131102:ODF131102 OMZ131102:ONB131102 OWV131102:OWX131102 PGR131102:PGT131102 PQN131102:PQP131102 QAJ131102:QAL131102 QKF131102:QKH131102 QUB131102:QUD131102 RDX131102:RDZ131102 RNT131102:RNV131102 RXP131102:RXR131102 SHL131102:SHN131102 SRH131102:SRJ131102 TBD131102:TBF131102 TKZ131102:TLB131102 TUV131102:TUX131102 UER131102:UET131102 UON131102:UOP131102 UYJ131102:UYL131102 VIF131102:VIH131102 VSB131102:VSD131102 WBX131102:WBZ131102 WLT131102:WLV131102 WVP131102:WVR131102 H196628:J196628 JD196638:JF196638 SZ196638:TB196638 ACV196638:ACX196638 AMR196638:AMT196638 AWN196638:AWP196638 BGJ196638:BGL196638 BQF196638:BQH196638 CAB196638:CAD196638 CJX196638:CJZ196638 CTT196638:CTV196638 DDP196638:DDR196638 DNL196638:DNN196638 DXH196638:DXJ196638 EHD196638:EHF196638 EQZ196638:ERB196638 FAV196638:FAX196638 FKR196638:FKT196638 FUN196638:FUP196638 GEJ196638:GEL196638 GOF196638:GOH196638 GYB196638:GYD196638 HHX196638:HHZ196638 HRT196638:HRV196638 IBP196638:IBR196638 ILL196638:ILN196638 IVH196638:IVJ196638 JFD196638:JFF196638 JOZ196638:JPB196638 JYV196638:JYX196638 KIR196638:KIT196638 KSN196638:KSP196638 LCJ196638:LCL196638 LMF196638:LMH196638 LWB196638:LWD196638 MFX196638:MFZ196638 MPT196638:MPV196638 MZP196638:MZR196638 NJL196638:NJN196638 NTH196638:NTJ196638 ODD196638:ODF196638 OMZ196638:ONB196638 OWV196638:OWX196638 PGR196638:PGT196638 PQN196638:PQP196638 QAJ196638:QAL196638 QKF196638:QKH196638 QUB196638:QUD196638 RDX196638:RDZ196638 RNT196638:RNV196638 RXP196638:RXR196638 SHL196638:SHN196638 SRH196638:SRJ196638 TBD196638:TBF196638 TKZ196638:TLB196638 TUV196638:TUX196638 UER196638:UET196638 UON196638:UOP196638 UYJ196638:UYL196638 VIF196638:VIH196638 VSB196638:VSD196638 WBX196638:WBZ196638 WLT196638:WLV196638 WVP196638:WVR196638 H262164:J262164 JD262174:JF262174 SZ262174:TB262174 ACV262174:ACX262174 AMR262174:AMT262174 AWN262174:AWP262174 BGJ262174:BGL262174 BQF262174:BQH262174 CAB262174:CAD262174 CJX262174:CJZ262174 CTT262174:CTV262174 DDP262174:DDR262174 DNL262174:DNN262174 DXH262174:DXJ262174 EHD262174:EHF262174 EQZ262174:ERB262174 FAV262174:FAX262174 FKR262174:FKT262174 FUN262174:FUP262174 GEJ262174:GEL262174 GOF262174:GOH262174 GYB262174:GYD262174 HHX262174:HHZ262174 HRT262174:HRV262174 IBP262174:IBR262174 ILL262174:ILN262174 IVH262174:IVJ262174 JFD262174:JFF262174 JOZ262174:JPB262174 JYV262174:JYX262174 KIR262174:KIT262174 KSN262174:KSP262174 LCJ262174:LCL262174 LMF262174:LMH262174 LWB262174:LWD262174 MFX262174:MFZ262174 MPT262174:MPV262174 MZP262174:MZR262174 NJL262174:NJN262174 NTH262174:NTJ262174 ODD262174:ODF262174 OMZ262174:ONB262174 OWV262174:OWX262174 PGR262174:PGT262174 PQN262174:PQP262174 QAJ262174:QAL262174 QKF262174:QKH262174 QUB262174:QUD262174 RDX262174:RDZ262174 RNT262174:RNV262174 RXP262174:RXR262174 SHL262174:SHN262174 SRH262174:SRJ262174 TBD262174:TBF262174 TKZ262174:TLB262174 TUV262174:TUX262174 UER262174:UET262174 UON262174:UOP262174 UYJ262174:UYL262174 VIF262174:VIH262174 VSB262174:VSD262174 WBX262174:WBZ262174 WLT262174:WLV262174 WVP262174:WVR262174 H327700:J327700 JD327710:JF327710 SZ327710:TB327710 ACV327710:ACX327710 AMR327710:AMT327710 AWN327710:AWP327710 BGJ327710:BGL327710 BQF327710:BQH327710 CAB327710:CAD327710 CJX327710:CJZ327710 CTT327710:CTV327710 DDP327710:DDR327710 DNL327710:DNN327710 DXH327710:DXJ327710 EHD327710:EHF327710 EQZ327710:ERB327710 FAV327710:FAX327710 FKR327710:FKT327710 FUN327710:FUP327710 GEJ327710:GEL327710 GOF327710:GOH327710 GYB327710:GYD327710 HHX327710:HHZ327710 HRT327710:HRV327710 IBP327710:IBR327710 ILL327710:ILN327710 IVH327710:IVJ327710 JFD327710:JFF327710 JOZ327710:JPB327710 JYV327710:JYX327710 KIR327710:KIT327710 KSN327710:KSP327710 LCJ327710:LCL327710 LMF327710:LMH327710 LWB327710:LWD327710 MFX327710:MFZ327710 MPT327710:MPV327710 MZP327710:MZR327710 NJL327710:NJN327710 NTH327710:NTJ327710 ODD327710:ODF327710 OMZ327710:ONB327710 OWV327710:OWX327710 PGR327710:PGT327710 PQN327710:PQP327710 QAJ327710:QAL327710 QKF327710:QKH327710 QUB327710:QUD327710 RDX327710:RDZ327710 RNT327710:RNV327710 RXP327710:RXR327710 SHL327710:SHN327710 SRH327710:SRJ327710 TBD327710:TBF327710 TKZ327710:TLB327710 TUV327710:TUX327710 UER327710:UET327710 UON327710:UOP327710 UYJ327710:UYL327710 VIF327710:VIH327710 VSB327710:VSD327710 WBX327710:WBZ327710 WLT327710:WLV327710 WVP327710:WVR327710 H393236:J393236 JD393246:JF393246 SZ393246:TB393246 ACV393246:ACX393246 AMR393246:AMT393246 AWN393246:AWP393246 BGJ393246:BGL393246 BQF393246:BQH393246 CAB393246:CAD393246 CJX393246:CJZ393246 CTT393246:CTV393246 DDP393246:DDR393246 DNL393246:DNN393246 DXH393246:DXJ393246 EHD393246:EHF393246 EQZ393246:ERB393246 FAV393246:FAX393246 FKR393246:FKT393246 FUN393246:FUP393246 GEJ393246:GEL393246 GOF393246:GOH393246 GYB393246:GYD393246 HHX393246:HHZ393246 HRT393246:HRV393246 IBP393246:IBR393246 ILL393246:ILN393246 IVH393246:IVJ393246 JFD393246:JFF393246 JOZ393246:JPB393246 JYV393246:JYX393246 KIR393246:KIT393246 KSN393246:KSP393246 LCJ393246:LCL393246 LMF393246:LMH393246 LWB393246:LWD393246 MFX393246:MFZ393246 MPT393246:MPV393246 MZP393246:MZR393246 NJL393246:NJN393246 NTH393246:NTJ393246 ODD393246:ODF393246 OMZ393246:ONB393246 OWV393246:OWX393246 PGR393246:PGT393246 PQN393246:PQP393246 QAJ393246:QAL393246 QKF393246:QKH393246 QUB393246:QUD393246 RDX393246:RDZ393246 RNT393246:RNV393246 RXP393246:RXR393246 SHL393246:SHN393246 SRH393246:SRJ393246 TBD393246:TBF393246 TKZ393246:TLB393246 TUV393246:TUX393246 UER393246:UET393246 UON393246:UOP393246 UYJ393246:UYL393246 VIF393246:VIH393246 VSB393246:VSD393246 WBX393246:WBZ393246 WLT393246:WLV393246 WVP393246:WVR393246 H458772:J458772 JD458782:JF458782 SZ458782:TB458782 ACV458782:ACX458782 AMR458782:AMT458782 AWN458782:AWP458782 BGJ458782:BGL458782 BQF458782:BQH458782 CAB458782:CAD458782 CJX458782:CJZ458782 CTT458782:CTV458782 DDP458782:DDR458782 DNL458782:DNN458782 DXH458782:DXJ458782 EHD458782:EHF458782 EQZ458782:ERB458782 FAV458782:FAX458782 FKR458782:FKT458782 FUN458782:FUP458782 GEJ458782:GEL458782 GOF458782:GOH458782 GYB458782:GYD458782 HHX458782:HHZ458782 HRT458782:HRV458782 IBP458782:IBR458782 ILL458782:ILN458782 IVH458782:IVJ458782 JFD458782:JFF458782 JOZ458782:JPB458782 JYV458782:JYX458782 KIR458782:KIT458782 KSN458782:KSP458782 LCJ458782:LCL458782 LMF458782:LMH458782 LWB458782:LWD458782 MFX458782:MFZ458782 MPT458782:MPV458782 MZP458782:MZR458782 NJL458782:NJN458782 NTH458782:NTJ458782 ODD458782:ODF458782 OMZ458782:ONB458782 OWV458782:OWX458782 PGR458782:PGT458782 PQN458782:PQP458782 QAJ458782:QAL458782 QKF458782:QKH458782 QUB458782:QUD458782 RDX458782:RDZ458782 RNT458782:RNV458782 RXP458782:RXR458782 SHL458782:SHN458782 SRH458782:SRJ458782 TBD458782:TBF458782 TKZ458782:TLB458782 TUV458782:TUX458782 UER458782:UET458782 UON458782:UOP458782 UYJ458782:UYL458782 VIF458782:VIH458782 VSB458782:VSD458782 WBX458782:WBZ458782 WLT458782:WLV458782 WVP458782:WVR458782 H524308:J524308 JD524318:JF524318 SZ524318:TB524318 ACV524318:ACX524318 AMR524318:AMT524318 AWN524318:AWP524318 BGJ524318:BGL524318 BQF524318:BQH524318 CAB524318:CAD524318 CJX524318:CJZ524318 CTT524318:CTV524318 DDP524318:DDR524318 DNL524318:DNN524318 DXH524318:DXJ524318 EHD524318:EHF524318 EQZ524318:ERB524318 FAV524318:FAX524318 FKR524318:FKT524318 FUN524318:FUP524318 GEJ524318:GEL524318 GOF524318:GOH524318 GYB524318:GYD524318 HHX524318:HHZ524318 HRT524318:HRV524318 IBP524318:IBR524318 ILL524318:ILN524318 IVH524318:IVJ524318 JFD524318:JFF524318 JOZ524318:JPB524318 JYV524318:JYX524318 KIR524318:KIT524318 KSN524318:KSP524318 LCJ524318:LCL524318 LMF524318:LMH524318 LWB524318:LWD524318 MFX524318:MFZ524318 MPT524318:MPV524318 MZP524318:MZR524318 NJL524318:NJN524318 NTH524318:NTJ524318 ODD524318:ODF524318 OMZ524318:ONB524318 OWV524318:OWX524318 PGR524318:PGT524318 PQN524318:PQP524318 QAJ524318:QAL524318 QKF524318:QKH524318 QUB524318:QUD524318 RDX524318:RDZ524318 RNT524318:RNV524318 RXP524318:RXR524318 SHL524318:SHN524318 SRH524318:SRJ524318 TBD524318:TBF524318 TKZ524318:TLB524318 TUV524318:TUX524318 UER524318:UET524318 UON524318:UOP524318 UYJ524318:UYL524318 VIF524318:VIH524318 VSB524318:VSD524318 WBX524318:WBZ524318 WLT524318:WLV524318 WVP524318:WVR524318 H589844:J589844 JD589854:JF589854 SZ589854:TB589854 ACV589854:ACX589854 AMR589854:AMT589854 AWN589854:AWP589854 BGJ589854:BGL589854 BQF589854:BQH589854 CAB589854:CAD589854 CJX589854:CJZ589854 CTT589854:CTV589854 DDP589854:DDR589854 DNL589854:DNN589854 DXH589854:DXJ589854 EHD589854:EHF589854 EQZ589854:ERB589854 FAV589854:FAX589854 FKR589854:FKT589854 FUN589854:FUP589854 GEJ589854:GEL589854 GOF589854:GOH589854 GYB589854:GYD589854 HHX589854:HHZ589854 HRT589854:HRV589854 IBP589854:IBR589854 ILL589854:ILN589854 IVH589854:IVJ589854 JFD589854:JFF589854 JOZ589854:JPB589854 JYV589854:JYX589854 KIR589854:KIT589854 KSN589854:KSP589854 LCJ589854:LCL589854 LMF589854:LMH589854 LWB589854:LWD589854 MFX589854:MFZ589854 MPT589854:MPV589854 MZP589854:MZR589854 NJL589854:NJN589854 NTH589854:NTJ589854 ODD589854:ODF589854 OMZ589854:ONB589854 OWV589854:OWX589854 PGR589854:PGT589854 PQN589854:PQP589854 QAJ589854:QAL589854 QKF589854:QKH589854 QUB589854:QUD589854 RDX589854:RDZ589854 RNT589854:RNV589854 RXP589854:RXR589854 SHL589854:SHN589854 SRH589854:SRJ589854 TBD589854:TBF589854 TKZ589854:TLB589854 TUV589854:TUX589854 UER589854:UET589854 UON589854:UOP589854 UYJ589854:UYL589854 VIF589854:VIH589854 VSB589854:VSD589854 WBX589854:WBZ589854 WLT589854:WLV589854 WVP589854:WVR589854 H655380:J655380 JD655390:JF655390 SZ655390:TB655390 ACV655390:ACX655390 AMR655390:AMT655390 AWN655390:AWP655390 BGJ655390:BGL655390 BQF655390:BQH655390 CAB655390:CAD655390 CJX655390:CJZ655390 CTT655390:CTV655390 DDP655390:DDR655390 DNL655390:DNN655390 DXH655390:DXJ655390 EHD655390:EHF655390 EQZ655390:ERB655390 FAV655390:FAX655390 FKR655390:FKT655390 FUN655390:FUP655390 GEJ655390:GEL655390 GOF655390:GOH655390 GYB655390:GYD655390 HHX655390:HHZ655390 HRT655390:HRV655390 IBP655390:IBR655390 ILL655390:ILN655390 IVH655390:IVJ655390 JFD655390:JFF655390 JOZ655390:JPB655390 JYV655390:JYX655390 KIR655390:KIT655390 KSN655390:KSP655390 LCJ655390:LCL655390 LMF655390:LMH655390 LWB655390:LWD655390 MFX655390:MFZ655390 MPT655390:MPV655390 MZP655390:MZR655390 NJL655390:NJN655390 NTH655390:NTJ655390 ODD655390:ODF655390 OMZ655390:ONB655390 OWV655390:OWX655390 PGR655390:PGT655390 PQN655390:PQP655390 QAJ655390:QAL655390 QKF655390:QKH655390 QUB655390:QUD655390 RDX655390:RDZ655390 RNT655390:RNV655390 RXP655390:RXR655390 SHL655390:SHN655390 SRH655390:SRJ655390 TBD655390:TBF655390 TKZ655390:TLB655390 TUV655390:TUX655390 UER655390:UET655390 UON655390:UOP655390 UYJ655390:UYL655390 VIF655390:VIH655390 VSB655390:VSD655390 WBX655390:WBZ655390 WLT655390:WLV655390 WVP655390:WVR655390 H720916:J720916 JD720926:JF720926 SZ720926:TB720926 ACV720926:ACX720926 AMR720926:AMT720926 AWN720926:AWP720926 BGJ720926:BGL720926 BQF720926:BQH720926 CAB720926:CAD720926 CJX720926:CJZ720926 CTT720926:CTV720926 DDP720926:DDR720926 DNL720926:DNN720926 DXH720926:DXJ720926 EHD720926:EHF720926 EQZ720926:ERB720926 FAV720926:FAX720926 FKR720926:FKT720926 FUN720926:FUP720926 GEJ720926:GEL720926 GOF720926:GOH720926 GYB720926:GYD720926 HHX720926:HHZ720926 HRT720926:HRV720926 IBP720926:IBR720926 ILL720926:ILN720926 IVH720926:IVJ720926 JFD720926:JFF720926 JOZ720926:JPB720926 JYV720926:JYX720926 KIR720926:KIT720926 KSN720926:KSP720926 LCJ720926:LCL720926 LMF720926:LMH720926 LWB720926:LWD720926 MFX720926:MFZ720926 MPT720926:MPV720926 MZP720926:MZR720926 NJL720926:NJN720926 NTH720926:NTJ720926 ODD720926:ODF720926 OMZ720926:ONB720926 OWV720926:OWX720926 PGR720926:PGT720926 PQN720926:PQP720926 QAJ720926:QAL720926 QKF720926:QKH720926 QUB720926:QUD720926 RDX720926:RDZ720926 RNT720926:RNV720926 RXP720926:RXR720926 SHL720926:SHN720926 SRH720926:SRJ720926 TBD720926:TBF720926 TKZ720926:TLB720926 TUV720926:TUX720926 UER720926:UET720926 UON720926:UOP720926 UYJ720926:UYL720926 VIF720926:VIH720926 VSB720926:VSD720926 WBX720926:WBZ720926 WLT720926:WLV720926 WVP720926:WVR720926 H786452:J786452 JD786462:JF786462 SZ786462:TB786462 ACV786462:ACX786462 AMR786462:AMT786462 AWN786462:AWP786462 BGJ786462:BGL786462 BQF786462:BQH786462 CAB786462:CAD786462 CJX786462:CJZ786462 CTT786462:CTV786462 DDP786462:DDR786462 DNL786462:DNN786462 DXH786462:DXJ786462 EHD786462:EHF786462 EQZ786462:ERB786462 FAV786462:FAX786462 FKR786462:FKT786462 FUN786462:FUP786462 GEJ786462:GEL786462 GOF786462:GOH786462 GYB786462:GYD786462 HHX786462:HHZ786462 HRT786462:HRV786462 IBP786462:IBR786462 ILL786462:ILN786462 IVH786462:IVJ786462 JFD786462:JFF786462 JOZ786462:JPB786462 JYV786462:JYX786462 KIR786462:KIT786462 KSN786462:KSP786462 LCJ786462:LCL786462 LMF786462:LMH786462 LWB786462:LWD786462 MFX786462:MFZ786462 MPT786462:MPV786462 MZP786462:MZR786462 NJL786462:NJN786462 NTH786462:NTJ786462 ODD786462:ODF786462 OMZ786462:ONB786462 OWV786462:OWX786462 PGR786462:PGT786462 PQN786462:PQP786462 QAJ786462:QAL786462 QKF786462:QKH786462 QUB786462:QUD786462 RDX786462:RDZ786462 RNT786462:RNV786462 RXP786462:RXR786462 SHL786462:SHN786462 SRH786462:SRJ786462 TBD786462:TBF786462 TKZ786462:TLB786462 TUV786462:TUX786462 UER786462:UET786462 UON786462:UOP786462 UYJ786462:UYL786462 VIF786462:VIH786462 VSB786462:VSD786462 WBX786462:WBZ786462 WLT786462:WLV786462 WVP786462:WVR786462 H851988:J851988 JD851998:JF851998 SZ851998:TB851998 ACV851998:ACX851998 AMR851998:AMT851998 AWN851998:AWP851998 BGJ851998:BGL851998 BQF851998:BQH851998 CAB851998:CAD851998 CJX851998:CJZ851998 CTT851998:CTV851998 DDP851998:DDR851998 DNL851998:DNN851998 DXH851998:DXJ851998 EHD851998:EHF851998 EQZ851998:ERB851998 FAV851998:FAX851998 FKR851998:FKT851998 FUN851998:FUP851998 GEJ851998:GEL851998 GOF851998:GOH851998 GYB851998:GYD851998 HHX851998:HHZ851998 HRT851998:HRV851998 IBP851998:IBR851998 ILL851998:ILN851998 IVH851998:IVJ851998 JFD851998:JFF851998 JOZ851998:JPB851998 JYV851998:JYX851998 KIR851998:KIT851998 KSN851998:KSP851998 LCJ851998:LCL851998 LMF851998:LMH851998 LWB851998:LWD851998 MFX851998:MFZ851998 MPT851998:MPV851998 MZP851998:MZR851998 NJL851998:NJN851998 NTH851998:NTJ851998 ODD851998:ODF851998 OMZ851998:ONB851998 OWV851998:OWX851998 PGR851998:PGT851998 PQN851998:PQP851998 QAJ851998:QAL851998 QKF851998:QKH851998 QUB851998:QUD851998 RDX851998:RDZ851998 RNT851998:RNV851998 RXP851998:RXR851998 SHL851998:SHN851998 SRH851998:SRJ851998 TBD851998:TBF851998 TKZ851998:TLB851998 TUV851998:TUX851998 UER851998:UET851998 UON851998:UOP851998 UYJ851998:UYL851998 VIF851998:VIH851998 VSB851998:VSD851998 WBX851998:WBZ851998 WLT851998:WLV851998 WVP851998:WVR851998 H917524:J917524 JD917534:JF917534 SZ917534:TB917534 ACV917534:ACX917534 AMR917534:AMT917534 AWN917534:AWP917534 BGJ917534:BGL917534 BQF917534:BQH917534 CAB917534:CAD917534 CJX917534:CJZ917534 CTT917534:CTV917534 DDP917534:DDR917534 DNL917534:DNN917534 DXH917534:DXJ917534 EHD917534:EHF917534 EQZ917534:ERB917534 FAV917534:FAX917534 FKR917534:FKT917534 FUN917534:FUP917534 GEJ917534:GEL917534 GOF917534:GOH917534 GYB917534:GYD917534 HHX917534:HHZ917534 HRT917534:HRV917534 IBP917534:IBR917534 ILL917534:ILN917534 IVH917534:IVJ917534 JFD917534:JFF917534 JOZ917534:JPB917534 JYV917534:JYX917534 KIR917534:KIT917534 KSN917534:KSP917534 LCJ917534:LCL917534 LMF917534:LMH917534 LWB917534:LWD917534 MFX917534:MFZ917534 MPT917534:MPV917534 MZP917534:MZR917534 NJL917534:NJN917534 NTH917534:NTJ917534 ODD917534:ODF917534 OMZ917534:ONB917534 OWV917534:OWX917534 PGR917534:PGT917534 PQN917534:PQP917534 QAJ917534:QAL917534 QKF917534:QKH917534 QUB917534:QUD917534 RDX917534:RDZ917534 RNT917534:RNV917534 RXP917534:RXR917534 SHL917534:SHN917534 SRH917534:SRJ917534 TBD917534:TBF917534 TKZ917534:TLB917534 TUV917534:TUX917534 UER917534:UET917534 UON917534:UOP917534 UYJ917534:UYL917534 VIF917534:VIH917534 VSB917534:VSD917534 WBX917534:WBZ917534 WLT917534:WLV917534 WVP917534:WVR917534 H983060:J983060 JD983070:JF983070 SZ983070:TB983070 ACV983070:ACX983070 AMR983070:AMT983070 AWN983070:AWP983070 BGJ983070:BGL983070 BQF983070:BQH983070 CAB983070:CAD983070 CJX983070:CJZ983070 CTT983070:CTV983070 DDP983070:DDR983070 DNL983070:DNN983070 DXH983070:DXJ983070 EHD983070:EHF983070 EQZ983070:ERB983070 FAV983070:FAX983070 FKR983070:FKT983070 FUN983070:FUP983070 GEJ983070:GEL983070 GOF983070:GOH983070 GYB983070:GYD983070 HHX983070:HHZ983070 HRT983070:HRV983070 IBP983070:IBR983070 ILL983070:ILN983070 IVH983070:IVJ983070 JFD983070:JFF983070 JOZ983070:JPB983070 JYV983070:JYX983070 KIR983070:KIT983070 KSN983070:KSP983070 LCJ983070:LCL983070 LMF983070:LMH983070 LWB983070:LWD983070 MFX983070:MFZ983070 MPT983070:MPV983070 MZP983070:MZR983070 NJL983070:NJN983070 NTH983070:NTJ983070 ODD983070:ODF983070 OMZ983070:ONB983070 OWV983070:OWX983070 PGR983070:PGT983070 PQN983070:PQP983070 QAJ983070:QAL983070 QKF983070:QKH983070 QUB983070:QUD983070 RDX983070:RDZ983070 RNT983070:RNV983070 RXP983070:RXR983070 SHL983070:SHN983070 SRH983070:SRJ983070 TBD983070:TBF983070 TKZ983070:TLB983070 TUV983070:TUX983070 UER983070:UET983070 UON983070:UOP983070 UYJ983070:UYL983070 VIF983070:VIH983070 VSB983070:VSD983070 WBX983070:WBZ983070">
      <formula1>გადაწყვეტილება</formula1>
    </dataValidation>
    <dataValidation type="list" allowBlank="1" showInputMessage="1" showErrorMessage="1" sqref="WVQ983014 L65500 JH65510 TD65510 ACZ65510 AMV65510 AWR65510 BGN65510 BQJ65510 CAF65510 CKB65510 CTX65510 DDT65510 DNP65510 DXL65510 EHH65510 ERD65510 FAZ65510 FKV65510 FUR65510 GEN65510 GOJ65510 GYF65510 HIB65510 HRX65510 IBT65510 ILP65510 IVL65510 JFH65510 JPD65510 JYZ65510 KIV65510 KSR65510 LCN65510 LMJ65510 LWF65510 MGB65510 MPX65510 MZT65510 NJP65510 NTL65510 ODH65510 OND65510 OWZ65510 PGV65510 PQR65510 QAN65510 QKJ65510 QUF65510 REB65510 RNX65510 RXT65510 SHP65510 SRL65510 TBH65510 TLD65510 TUZ65510 UEV65510 UOR65510 UYN65510 VIJ65510 VSF65510 WCB65510 WLX65510 WVT65510 L131036 JH131046 TD131046 ACZ131046 AMV131046 AWR131046 BGN131046 BQJ131046 CAF131046 CKB131046 CTX131046 DDT131046 DNP131046 DXL131046 EHH131046 ERD131046 FAZ131046 FKV131046 FUR131046 GEN131046 GOJ131046 GYF131046 HIB131046 HRX131046 IBT131046 ILP131046 IVL131046 JFH131046 JPD131046 JYZ131046 KIV131046 KSR131046 LCN131046 LMJ131046 LWF131046 MGB131046 MPX131046 MZT131046 NJP131046 NTL131046 ODH131046 OND131046 OWZ131046 PGV131046 PQR131046 QAN131046 QKJ131046 QUF131046 REB131046 RNX131046 RXT131046 SHP131046 SRL131046 TBH131046 TLD131046 TUZ131046 UEV131046 UOR131046 UYN131046 VIJ131046 VSF131046 WCB131046 WLX131046 WVT131046 L196572 JH196582 TD196582 ACZ196582 AMV196582 AWR196582 BGN196582 BQJ196582 CAF196582 CKB196582 CTX196582 DDT196582 DNP196582 DXL196582 EHH196582 ERD196582 FAZ196582 FKV196582 FUR196582 GEN196582 GOJ196582 GYF196582 HIB196582 HRX196582 IBT196582 ILP196582 IVL196582 JFH196582 JPD196582 JYZ196582 KIV196582 KSR196582 LCN196582 LMJ196582 LWF196582 MGB196582 MPX196582 MZT196582 NJP196582 NTL196582 ODH196582 OND196582 OWZ196582 PGV196582 PQR196582 QAN196582 QKJ196582 QUF196582 REB196582 RNX196582 RXT196582 SHP196582 SRL196582 TBH196582 TLD196582 TUZ196582 UEV196582 UOR196582 UYN196582 VIJ196582 VSF196582 WCB196582 WLX196582 WVT196582 L262108 JH262118 TD262118 ACZ262118 AMV262118 AWR262118 BGN262118 BQJ262118 CAF262118 CKB262118 CTX262118 DDT262118 DNP262118 DXL262118 EHH262118 ERD262118 FAZ262118 FKV262118 FUR262118 GEN262118 GOJ262118 GYF262118 HIB262118 HRX262118 IBT262118 ILP262118 IVL262118 JFH262118 JPD262118 JYZ262118 KIV262118 KSR262118 LCN262118 LMJ262118 LWF262118 MGB262118 MPX262118 MZT262118 NJP262118 NTL262118 ODH262118 OND262118 OWZ262118 PGV262118 PQR262118 QAN262118 QKJ262118 QUF262118 REB262118 RNX262118 RXT262118 SHP262118 SRL262118 TBH262118 TLD262118 TUZ262118 UEV262118 UOR262118 UYN262118 VIJ262118 VSF262118 WCB262118 WLX262118 WVT262118 L327644 JH327654 TD327654 ACZ327654 AMV327654 AWR327654 BGN327654 BQJ327654 CAF327654 CKB327654 CTX327654 DDT327654 DNP327654 DXL327654 EHH327654 ERD327654 FAZ327654 FKV327654 FUR327654 GEN327654 GOJ327654 GYF327654 HIB327654 HRX327654 IBT327654 ILP327654 IVL327654 JFH327654 JPD327654 JYZ327654 KIV327654 KSR327654 LCN327654 LMJ327654 LWF327654 MGB327654 MPX327654 MZT327654 NJP327654 NTL327654 ODH327654 OND327654 OWZ327654 PGV327654 PQR327654 QAN327654 QKJ327654 QUF327654 REB327654 RNX327654 RXT327654 SHP327654 SRL327654 TBH327654 TLD327654 TUZ327654 UEV327654 UOR327654 UYN327654 VIJ327654 VSF327654 WCB327654 WLX327654 WVT327654 L393180 JH393190 TD393190 ACZ393190 AMV393190 AWR393190 BGN393190 BQJ393190 CAF393190 CKB393190 CTX393190 DDT393190 DNP393190 DXL393190 EHH393190 ERD393190 FAZ393190 FKV393190 FUR393190 GEN393190 GOJ393190 GYF393190 HIB393190 HRX393190 IBT393190 ILP393190 IVL393190 JFH393190 JPD393190 JYZ393190 KIV393190 KSR393190 LCN393190 LMJ393190 LWF393190 MGB393190 MPX393190 MZT393190 NJP393190 NTL393190 ODH393190 OND393190 OWZ393190 PGV393190 PQR393190 QAN393190 QKJ393190 QUF393190 REB393190 RNX393190 RXT393190 SHP393190 SRL393190 TBH393190 TLD393190 TUZ393190 UEV393190 UOR393190 UYN393190 VIJ393190 VSF393190 WCB393190 WLX393190 WVT393190 L458716 JH458726 TD458726 ACZ458726 AMV458726 AWR458726 BGN458726 BQJ458726 CAF458726 CKB458726 CTX458726 DDT458726 DNP458726 DXL458726 EHH458726 ERD458726 FAZ458726 FKV458726 FUR458726 GEN458726 GOJ458726 GYF458726 HIB458726 HRX458726 IBT458726 ILP458726 IVL458726 JFH458726 JPD458726 JYZ458726 KIV458726 KSR458726 LCN458726 LMJ458726 LWF458726 MGB458726 MPX458726 MZT458726 NJP458726 NTL458726 ODH458726 OND458726 OWZ458726 PGV458726 PQR458726 QAN458726 QKJ458726 QUF458726 REB458726 RNX458726 RXT458726 SHP458726 SRL458726 TBH458726 TLD458726 TUZ458726 UEV458726 UOR458726 UYN458726 VIJ458726 VSF458726 WCB458726 WLX458726 WVT458726 L524252 JH524262 TD524262 ACZ524262 AMV524262 AWR524262 BGN524262 BQJ524262 CAF524262 CKB524262 CTX524262 DDT524262 DNP524262 DXL524262 EHH524262 ERD524262 FAZ524262 FKV524262 FUR524262 GEN524262 GOJ524262 GYF524262 HIB524262 HRX524262 IBT524262 ILP524262 IVL524262 JFH524262 JPD524262 JYZ524262 KIV524262 KSR524262 LCN524262 LMJ524262 LWF524262 MGB524262 MPX524262 MZT524262 NJP524262 NTL524262 ODH524262 OND524262 OWZ524262 PGV524262 PQR524262 QAN524262 QKJ524262 QUF524262 REB524262 RNX524262 RXT524262 SHP524262 SRL524262 TBH524262 TLD524262 TUZ524262 UEV524262 UOR524262 UYN524262 VIJ524262 VSF524262 WCB524262 WLX524262 WVT524262 L589788 JH589798 TD589798 ACZ589798 AMV589798 AWR589798 BGN589798 BQJ589798 CAF589798 CKB589798 CTX589798 DDT589798 DNP589798 DXL589798 EHH589798 ERD589798 FAZ589798 FKV589798 FUR589798 GEN589798 GOJ589798 GYF589798 HIB589798 HRX589798 IBT589798 ILP589798 IVL589798 JFH589798 JPD589798 JYZ589798 KIV589798 KSR589798 LCN589798 LMJ589798 LWF589798 MGB589798 MPX589798 MZT589798 NJP589798 NTL589798 ODH589798 OND589798 OWZ589798 PGV589798 PQR589798 QAN589798 QKJ589798 QUF589798 REB589798 RNX589798 RXT589798 SHP589798 SRL589798 TBH589798 TLD589798 TUZ589798 UEV589798 UOR589798 UYN589798 VIJ589798 VSF589798 WCB589798 WLX589798 WVT589798 L655324 JH655334 TD655334 ACZ655334 AMV655334 AWR655334 BGN655334 BQJ655334 CAF655334 CKB655334 CTX655334 DDT655334 DNP655334 DXL655334 EHH655334 ERD655334 FAZ655334 FKV655334 FUR655334 GEN655334 GOJ655334 GYF655334 HIB655334 HRX655334 IBT655334 ILP655334 IVL655334 JFH655334 JPD655334 JYZ655334 KIV655334 KSR655334 LCN655334 LMJ655334 LWF655334 MGB655334 MPX655334 MZT655334 NJP655334 NTL655334 ODH655334 OND655334 OWZ655334 PGV655334 PQR655334 QAN655334 QKJ655334 QUF655334 REB655334 RNX655334 RXT655334 SHP655334 SRL655334 TBH655334 TLD655334 TUZ655334 UEV655334 UOR655334 UYN655334 VIJ655334 VSF655334 WCB655334 WLX655334 WVT655334 L720860 JH720870 TD720870 ACZ720870 AMV720870 AWR720870 BGN720870 BQJ720870 CAF720870 CKB720870 CTX720870 DDT720870 DNP720870 DXL720870 EHH720870 ERD720870 FAZ720870 FKV720870 FUR720870 GEN720870 GOJ720870 GYF720870 HIB720870 HRX720870 IBT720870 ILP720870 IVL720870 JFH720870 JPD720870 JYZ720870 KIV720870 KSR720870 LCN720870 LMJ720870 LWF720870 MGB720870 MPX720870 MZT720870 NJP720870 NTL720870 ODH720870 OND720870 OWZ720870 PGV720870 PQR720870 QAN720870 QKJ720870 QUF720870 REB720870 RNX720870 RXT720870 SHP720870 SRL720870 TBH720870 TLD720870 TUZ720870 UEV720870 UOR720870 UYN720870 VIJ720870 VSF720870 WCB720870 WLX720870 WVT720870 L786396 JH786406 TD786406 ACZ786406 AMV786406 AWR786406 BGN786406 BQJ786406 CAF786406 CKB786406 CTX786406 DDT786406 DNP786406 DXL786406 EHH786406 ERD786406 FAZ786406 FKV786406 FUR786406 GEN786406 GOJ786406 GYF786406 HIB786406 HRX786406 IBT786406 ILP786406 IVL786406 JFH786406 JPD786406 JYZ786406 KIV786406 KSR786406 LCN786406 LMJ786406 LWF786406 MGB786406 MPX786406 MZT786406 NJP786406 NTL786406 ODH786406 OND786406 OWZ786406 PGV786406 PQR786406 QAN786406 QKJ786406 QUF786406 REB786406 RNX786406 RXT786406 SHP786406 SRL786406 TBH786406 TLD786406 TUZ786406 UEV786406 UOR786406 UYN786406 VIJ786406 VSF786406 WCB786406 WLX786406 WVT786406 L851932 JH851942 TD851942 ACZ851942 AMV851942 AWR851942 BGN851942 BQJ851942 CAF851942 CKB851942 CTX851942 DDT851942 DNP851942 DXL851942 EHH851942 ERD851942 FAZ851942 FKV851942 FUR851942 GEN851942 GOJ851942 GYF851942 HIB851942 HRX851942 IBT851942 ILP851942 IVL851942 JFH851942 JPD851942 JYZ851942 KIV851942 KSR851942 LCN851942 LMJ851942 LWF851942 MGB851942 MPX851942 MZT851942 NJP851942 NTL851942 ODH851942 OND851942 OWZ851942 PGV851942 PQR851942 QAN851942 QKJ851942 QUF851942 REB851942 RNX851942 RXT851942 SHP851942 SRL851942 TBH851942 TLD851942 TUZ851942 UEV851942 UOR851942 UYN851942 VIJ851942 VSF851942 WCB851942 WLX851942 WVT851942 L917468 JH917478 TD917478 ACZ917478 AMV917478 AWR917478 BGN917478 BQJ917478 CAF917478 CKB917478 CTX917478 DDT917478 DNP917478 DXL917478 EHH917478 ERD917478 FAZ917478 FKV917478 FUR917478 GEN917478 GOJ917478 GYF917478 HIB917478 HRX917478 IBT917478 ILP917478 IVL917478 JFH917478 JPD917478 JYZ917478 KIV917478 KSR917478 LCN917478 LMJ917478 LWF917478 MGB917478 MPX917478 MZT917478 NJP917478 NTL917478 ODH917478 OND917478 OWZ917478 PGV917478 PQR917478 QAN917478 QKJ917478 QUF917478 REB917478 RNX917478 RXT917478 SHP917478 SRL917478 TBH917478 TLD917478 TUZ917478 UEV917478 UOR917478 UYN917478 VIJ917478 VSF917478 WCB917478 WLX917478 WVT917478 L983004 JH983014 TD983014 ACZ983014 AMV983014 AWR983014 BGN983014 BQJ983014 CAF983014 CKB983014 CTX983014 DDT983014 DNP983014 DXL983014 EHH983014 ERD983014 FAZ983014 FKV983014 FUR983014 GEN983014 GOJ983014 GYF983014 HIB983014 HRX983014 IBT983014 ILP983014 IVL983014 JFH983014 JPD983014 JYZ983014 KIV983014 KSR983014 LCN983014 LMJ983014 LWF983014 MGB983014 MPX983014 MZT983014 NJP983014 NTL983014 ODH983014 OND983014 OWZ983014 PGV983014 PQR983014 QAN983014 QKJ983014 QUF983014 REB983014 RNX983014 RXT983014 SHP983014 SRL983014 TBH983014 TLD983014 TUZ983014 UEV983014 UOR983014 UYN983014 VIJ983014 VSF983014 WCB983014 WLX983014 WVT983014 I65500 JE65510 TA65510 ACW65510 AMS65510 AWO65510 BGK65510 BQG65510 CAC65510 CJY65510 CTU65510 DDQ65510 DNM65510 DXI65510 EHE65510 ERA65510 FAW65510 FKS65510 FUO65510 GEK65510 GOG65510 GYC65510 HHY65510 HRU65510 IBQ65510 ILM65510 IVI65510 JFE65510 JPA65510 JYW65510 KIS65510 KSO65510 LCK65510 LMG65510 LWC65510 MFY65510 MPU65510 MZQ65510 NJM65510 NTI65510 ODE65510 ONA65510 OWW65510 PGS65510 PQO65510 QAK65510 QKG65510 QUC65510 RDY65510 RNU65510 RXQ65510 SHM65510 SRI65510 TBE65510 TLA65510 TUW65510 UES65510 UOO65510 UYK65510 VIG65510 VSC65510 WBY65510 WLU65510 WVQ65510 I131036 JE131046 TA131046 ACW131046 AMS131046 AWO131046 BGK131046 BQG131046 CAC131046 CJY131046 CTU131046 DDQ131046 DNM131046 DXI131046 EHE131046 ERA131046 FAW131046 FKS131046 FUO131046 GEK131046 GOG131046 GYC131046 HHY131046 HRU131046 IBQ131046 ILM131046 IVI131046 JFE131046 JPA131046 JYW131046 KIS131046 KSO131046 LCK131046 LMG131046 LWC131046 MFY131046 MPU131046 MZQ131046 NJM131046 NTI131046 ODE131046 ONA131046 OWW131046 PGS131046 PQO131046 QAK131046 QKG131046 QUC131046 RDY131046 RNU131046 RXQ131046 SHM131046 SRI131046 TBE131046 TLA131046 TUW131046 UES131046 UOO131046 UYK131046 VIG131046 VSC131046 WBY131046 WLU131046 WVQ131046 I196572 JE196582 TA196582 ACW196582 AMS196582 AWO196582 BGK196582 BQG196582 CAC196582 CJY196582 CTU196582 DDQ196582 DNM196582 DXI196582 EHE196582 ERA196582 FAW196582 FKS196582 FUO196582 GEK196582 GOG196582 GYC196582 HHY196582 HRU196582 IBQ196582 ILM196582 IVI196582 JFE196582 JPA196582 JYW196582 KIS196582 KSO196582 LCK196582 LMG196582 LWC196582 MFY196582 MPU196582 MZQ196582 NJM196582 NTI196582 ODE196582 ONA196582 OWW196582 PGS196582 PQO196582 QAK196582 QKG196582 QUC196582 RDY196582 RNU196582 RXQ196582 SHM196582 SRI196582 TBE196582 TLA196582 TUW196582 UES196582 UOO196582 UYK196582 VIG196582 VSC196582 WBY196582 WLU196582 WVQ196582 I262108 JE262118 TA262118 ACW262118 AMS262118 AWO262118 BGK262118 BQG262118 CAC262118 CJY262118 CTU262118 DDQ262118 DNM262118 DXI262118 EHE262118 ERA262118 FAW262118 FKS262118 FUO262118 GEK262118 GOG262118 GYC262118 HHY262118 HRU262118 IBQ262118 ILM262118 IVI262118 JFE262118 JPA262118 JYW262118 KIS262118 KSO262118 LCK262118 LMG262118 LWC262118 MFY262118 MPU262118 MZQ262118 NJM262118 NTI262118 ODE262118 ONA262118 OWW262118 PGS262118 PQO262118 QAK262118 QKG262118 QUC262118 RDY262118 RNU262118 RXQ262118 SHM262118 SRI262118 TBE262118 TLA262118 TUW262118 UES262118 UOO262118 UYK262118 VIG262118 VSC262118 WBY262118 WLU262118 WVQ262118 I327644 JE327654 TA327654 ACW327654 AMS327654 AWO327654 BGK327654 BQG327654 CAC327654 CJY327654 CTU327654 DDQ327654 DNM327654 DXI327654 EHE327654 ERA327654 FAW327654 FKS327654 FUO327654 GEK327654 GOG327654 GYC327654 HHY327654 HRU327654 IBQ327654 ILM327654 IVI327654 JFE327654 JPA327654 JYW327654 KIS327654 KSO327654 LCK327654 LMG327654 LWC327654 MFY327654 MPU327654 MZQ327654 NJM327654 NTI327654 ODE327654 ONA327654 OWW327654 PGS327654 PQO327654 QAK327654 QKG327654 QUC327654 RDY327654 RNU327654 RXQ327654 SHM327654 SRI327654 TBE327654 TLA327654 TUW327654 UES327654 UOO327654 UYK327654 VIG327654 VSC327654 WBY327654 WLU327654 WVQ327654 I393180 JE393190 TA393190 ACW393190 AMS393190 AWO393190 BGK393190 BQG393190 CAC393190 CJY393190 CTU393190 DDQ393190 DNM393190 DXI393190 EHE393190 ERA393190 FAW393190 FKS393190 FUO393190 GEK393190 GOG393190 GYC393190 HHY393190 HRU393190 IBQ393190 ILM393190 IVI393190 JFE393190 JPA393190 JYW393190 KIS393190 KSO393190 LCK393190 LMG393190 LWC393190 MFY393190 MPU393190 MZQ393190 NJM393190 NTI393190 ODE393190 ONA393190 OWW393190 PGS393190 PQO393190 QAK393190 QKG393190 QUC393190 RDY393190 RNU393190 RXQ393190 SHM393190 SRI393190 TBE393190 TLA393190 TUW393190 UES393190 UOO393190 UYK393190 VIG393190 VSC393190 WBY393190 WLU393190 WVQ393190 I458716 JE458726 TA458726 ACW458726 AMS458726 AWO458726 BGK458726 BQG458726 CAC458726 CJY458726 CTU458726 DDQ458726 DNM458726 DXI458726 EHE458726 ERA458726 FAW458726 FKS458726 FUO458726 GEK458726 GOG458726 GYC458726 HHY458726 HRU458726 IBQ458726 ILM458726 IVI458726 JFE458726 JPA458726 JYW458726 KIS458726 KSO458726 LCK458726 LMG458726 LWC458726 MFY458726 MPU458726 MZQ458726 NJM458726 NTI458726 ODE458726 ONA458726 OWW458726 PGS458726 PQO458726 QAK458726 QKG458726 QUC458726 RDY458726 RNU458726 RXQ458726 SHM458726 SRI458726 TBE458726 TLA458726 TUW458726 UES458726 UOO458726 UYK458726 VIG458726 VSC458726 WBY458726 WLU458726 WVQ458726 I524252 JE524262 TA524262 ACW524262 AMS524262 AWO524262 BGK524262 BQG524262 CAC524262 CJY524262 CTU524262 DDQ524262 DNM524262 DXI524262 EHE524262 ERA524262 FAW524262 FKS524262 FUO524262 GEK524262 GOG524262 GYC524262 HHY524262 HRU524262 IBQ524262 ILM524262 IVI524262 JFE524262 JPA524262 JYW524262 KIS524262 KSO524262 LCK524262 LMG524262 LWC524262 MFY524262 MPU524262 MZQ524262 NJM524262 NTI524262 ODE524262 ONA524262 OWW524262 PGS524262 PQO524262 QAK524262 QKG524262 QUC524262 RDY524262 RNU524262 RXQ524262 SHM524262 SRI524262 TBE524262 TLA524262 TUW524262 UES524262 UOO524262 UYK524262 VIG524262 VSC524262 WBY524262 WLU524262 WVQ524262 I589788 JE589798 TA589798 ACW589798 AMS589798 AWO589798 BGK589798 BQG589798 CAC589798 CJY589798 CTU589798 DDQ589798 DNM589798 DXI589798 EHE589798 ERA589798 FAW589798 FKS589798 FUO589798 GEK589798 GOG589798 GYC589798 HHY589798 HRU589798 IBQ589798 ILM589798 IVI589798 JFE589798 JPA589798 JYW589798 KIS589798 KSO589798 LCK589798 LMG589798 LWC589798 MFY589798 MPU589798 MZQ589798 NJM589798 NTI589798 ODE589798 ONA589798 OWW589798 PGS589798 PQO589798 QAK589798 QKG589798 QUC589798 RDY589798 RNU589798 RXQ589798 SHM589798 SRI589798 TBE589798 TLA589798 TUW589798 UES589798 UOO589798 UYK589798 VIG589798 VSC589798 WBY589798 WLU589798 WVQ589798 I655324 JE655334 TA655334 ACW655334 AMS655334 AWO655334 BGK655334 BQG655334 CAC655334 CJY655334 CTU655334 DDQ655334 DNM655334 DXI655334 EHE655334 ERA655334 FAW655334 FKS655334 FUO655334 GEK655334 GOG655334 GYC655334 HHY655334 HRU655334 IBQ655334 ILM655334 IVI655334 JFE655334 JPA655334 JYW655334 KIS655334 KSO655334 LCK655334 LMG655334 LWC655334 MFY655334 MPU655334 MZQ655334 NJM655334 NTI655334 ODE655334 ONA655334 OWW655334 PGS655334 PQO655334 QAK655334 QKG655334 QUC655334 RDY655334 RNU655334 RXQ655334 SHM655334 SRI655334 TBE655334 TLA655334 TUW655334 UES655334 UOO655334 UYK655334 VIG655334 VSC655334 WBY655334 WLU655334 WVQ655334 I720860 JE720870 TA720870 ACW720870 AMS720870 AWO720870 BGK720870 BQG720870 CAC720870 CJY720870 CTU720870 DDQ720870 DNM720870 DXI720870 EHE720870 ERA720870 FAW720870 FKS720870 FUO720870 GEK720870 GOG720870 GYC720870 HHY720870 HRU720870 IBQ720870 ILM720870 IVI720870 JFE720870 JPA720870 JYW720870 KIS720870 KSO720870 LCK720870 LMG720870 LWC720870 MFY720870 MPU720870 MZQ720870 NJM720870 NTI720870 ODE720870 ONA720870 OWW720870 PGS720870 PQO720870 QAK720870 QKG720870 QUC720870 RDY720870 RNU720870 RXQ720870 SHM720870 SRI720870 TBE720870 TLA720870 TUW720870 UES720870 UOO720870 UYK720870 VIG720870 VSC720870 WBY720870 WLU720870 WVQ720870 I786396 JE786406 TA786406 ACW786406 AMS786406 AWO786406 BGK786406 BQG786406 CAC786406 CJY786406 CTU786406 DDQ786406 DNM786406 DXI786406 EHE786406 ERA786406 FAW786406 FKS786406 FUO786406 GEK786406 GOG786406 GYC786406 HHY786406 HRU786406 IBQ786406 ILM786406 IVI786406 JFE786406 JPA786406 JYW786406 KIS786406 KSO786406 LCK786406 LMG786406 LWC786406 MFY786406 MPU786406 MZQ786406 NJM786406 NTI786406 ODE786406 ONA786406 OWW786406 PGS786406 PQO786406 QAK786406 QKG786406 QUC786406 RDY786406 RNU786406 RXQ786406 SHM786406 SRI786406 TBE786406 TLA786406 TUW786406 UES786406 UOO786406 UYK786406 VIG786406 VSC786406 WBY786406 WLU786406 WVQ786406 I851932 JE851942 TA851942 ACW851942 AMS851942 AWO851942 BGK851942 BQG851942 CAC851942 CJY851942 CTU851942 DDQ851942 DNM851942 DXI851942 EHE851942 ERA851942 FAW851942 FKS851942 FUO851942 GEK851942 GOG851942 GYC851942 HHY851942 HRU851942 IBQ851942 ILM851942 IVI851942 JFE851942 JPA851942 JYW851942 KIS851942 KSO851942 LCK851942 LMG851942 LWC851942 MFY851942 MPU851942 MZQ851942 NJM851942 NTI851942 ODE851942 ONA851942 OWW851942 PGS851942 PQO851942 QAK851942 QKG851942 QUC851942 RDY851942 RNU851942 RXQ851942 SHM851942 SRI851942 TBE851942 TLA851942 TUW851942 UES851942 UOO851942 UYK851942 VIG851942 VSC851942 WBY851942 WLU851942 WVQ851942 I917468 JE917478 TA917478 ACW917478 AMS917478 AWO917478 BGK917478 BQG917478 CAC917478 CJY917478 CTU917478 DDQ917478 DNM917478 DXI917478 EHE917478 ERA917478 FAW917478 FKS917478 FUO917478 GEK917478 GOG917478 GYC917478 HHY917478 HRU917478 IBQ917478 ILM917478 IVI917478 JFE917478 JPA917478 JYW917478 KIS917478 KSO917478 LCK917478 LMG917478 LWC917478 MFY917478 MPU917478 MZQ917478 NJM917478 NTI917478 ODE917478 ONA917478 OWW917478 PGS917478 PQO917478 QAK917478 QKG917478 QUC917478 RDY917478 RNU917478 RXQ917478 SHM917478 SRI917478 TBE917478 TLA917478 TUW917478 UES917478 UOO917478 UYK917478 VIG917478 VSC917478 WBY917478 WLU917478 WVQ917478 I983004 JE983014 TA983014 ACW983014 AMS983014 AWO983014 BGK983014 BQG983014 CAC983014 CJY983014 CTU983014 DDQ983014 DNM983014 DXI983014 EHE983014 ERA983014 FAW983014 FKS983014 FUO983014 GEK983014 GOG983014 GYC983014 HHY983014 HRU983014 IBQ983014 ILM983014 IVI983014 JFE983014 JPA983014 JYW983014 KIS983014 KSO983014 LCK983014 LMG983014 LWC983014 MFY983014 MPU983014 MZQ983014 NJM983014 NTI983014 ODE983014 ONA983014 OWW983014 PGS983014 PQO983014 QAK983014 QKG983014 QUC983014 RDY983014 RNU983014 RXQ983014 SHM983014 SRI983014 TBE983014 TLA983014 TUW983014 UES983014 UOO983014 UYK983014 VIG983014 VSC983014 WBY983014 WLU983014">
      <formula1>"2%,10%,30%,50%,100%"</formula1>
    </dataValidation>
    <dataValidation type="list" allowBlank="1" showInputMessage="1" showErrorMessage="1" sqref="M65501 JI65511 TE65511 ADA65511 AMW65511 AWS65511 BGO65511 BQK65511 CAG65511 CKC65511 CTY65511 DDU65511 DNQ65511 DXM65511 EHI65511 ERE65511 FBA65511 FKW65511 FUS65511 GEO65511 GOK65511 GYG65511 HIC65511 HRY65511 IBU65511 ILQ65511 IVM65511 JFI65511 JPE65511 JZA65511 KIW65511 KSS65511 LCO65511 LMK65511 LWG65511 MGC65511 MPY65511 MZU65511 NJQ65511 NTM65511 ODI65511 ONE65511 OXA65511 PGW65511 PQS65511 QAO65511 QKK65511 QUG65511 REC65511 RNY65511 RXU65511 SHQ65511 SRM65511 TBI65511 TLE65511 TVA65511 UEW65511 UOS65511 UYO65511 VIK65511 VSG65511 WCC65511 WLY65511 WVU65511 M131037 JI131047 TE131047 ADA131047 AMW131047 AWS131047 BGO131047 BQK131047 CAG131047 CKC131047 CTY131047 DDU131047 DNQ131047 DXM131047 EHI131047 ERE131047 FBA131047 FKW131047 FUS131047 GEO131047 GOK131047 GYG131047 HIC131047 HRY131047 IBU131047 ILQ131047 IVM131047 JFI131047 JPE131047 JZA131047 KIW131047 KSS131047 LCO131047 LMK131047 LWG131047 MGC131047 MPY131047 MZU131047 NJQ131047 NTM131047 ODI131047 ONE131047 OXA131047 PGW131047 PQS131047 QAO131047 QKK131047 QUG131047 REC131047 RNY131047 RXU131047 SHQ131047 SRM131047 TBI131047 TLE131047 TVA131047 UEW131047 UOS131047 UYO131047 VIK131047 VSG131047 WCC131047 WLY131047 WVU131047 M196573 JI196583 TE196583 ADA196583 AMW196583 AWS196583 BGO196583 BQK196583 CAG196583 CKC196583 CTY196583 DDU196583 DNQ196583 DXM196583 EHI196583 ERE196583 FBA196583 FKW196583 FUS196583 GEO196583 GOK196583 GYG196583 HIC196583 HRY196583 IBU196583 ILQ196583 IVM196583 JFI196583 JPE196583 JZA196583 KIW196583 KSS196583 LCO196583 LMK196583 LWG196583 MGC196583 MPY196583 MZU196583 NJQ196583 NTM196583 ODI196583 ONE196583 OXA196583 PGW196583 PQS196583 QAO196583 QKK196583 QUG196583 REC196583 RNY196583 RXU196583 SHQ196583 SRM196583 TBI196583 TLE196583 TVA196583 UEW196583 UOS196583 UYO196583 VIK196583 VSG196583 WCC196583 WLY196583 WVU196583 M262109 JI262119 TE262119 ADA262119 AMW262119 AWS262119 BGO262119 BQK262119 CAG262119 CKC262119 CTY262119 DDU262119 DNQ262119 DXM262119 EHI262119 ERE262119 FBA262119 FKW262119 FUS262119 GEO262119 GOK262119 GYG262119 HIC262119 HRY262119 IBU262119 ILQ262119 IVM262119 JFI262119 JPE262119 JZA262119 KIW262119 KSS262119 LCO262119 LMK262119 LWG262119 MGC262119 MPY262119 MZU262119 NJQ262119 NTM262119 ODI262119 ONE262119 OXA262119 PGW262119 PQS262119 QAO262119 QKK262119 QUG262119 REC262119 RNY262119 RXU262119 SHQ262119 SRM262119 TBI262119 TLE262119 TVA262119 UEW262119 UOS262119 UYO262119 VIK262119 VSG262119 WCC262119 WLY262119 WVU262119 M327645 JI327655 TE327655 ADA327655 AMW327655 AWS327655 BGO327655 BQK327655 CAG327655 CKC327655 CTY327655 DDU327655 DNQ327655 DXM327655 EHI327655 ERE327655 FBA327655 FKW327655 FUS327655 GEO327655 GOK327655 GYG327655 HIC327655 HRY327655 IBU327655 ILQ327655 IVM327655 JFI327655 JPE327655 JZA327655 KIW327655 KSS327655 LCO327655 LMK327655 LWG327655 MGC327655 MPY327655 MZU327655 NJQ327655 NTM327655 ODI327655 ONE327655 OXA327655 PGW327655 PQS327655 QAO327655 QKK327655 QUG327655 REC327655 RNY327655 RXU327655 SHQ327655 SRM327655 TBI327655 TLE327655 TVA327655 UEW327655 UOS327655 UYO327655 VIK327655 VSG327655 WCC327655 WLY327655 WVU327655 M393181 JI393191 TE393191 ADA393191 AMW393191 AWS393191 BGO393191 BQK393191 CAG393191 CKC393191 CTY393191 DDU393191 DNQ393191 DXM393191 EHI393191 ERE393191 FBA393191 FKW393191 FUS393191 GEO393191 GOK393191 GYG393191 HIC393191 HRY393191 IBU393191 ILQ393191 IVM393191 JFI393191 JPE393191 JZA393191 KIW393191 KSS393191 LCO393191 LMK393191 LWG393191 MGC393191 MPY393191 MZU393191 NJQ393191 NTM393191 ODI393191 ONE393191 OXA393191 PGW393191 PQS393191 QAO393191 QKK393191 QUG393191 REC393191 RNY393191 RXU393191 SHQ393191 SRM393191 TBI393191 TLE393191 TVA393191 UEW393191 UOS393191 UYO393191 VIK393191 VSG393191 WCC393191 WLY393191 WVU393191 M458717 JI458727 TE458727 ADA458727 AMW458727 AWS458727 BGO458727 BQK458727 CAG458727 CKC458727 CTY458727 DDU458727 DNQ458727 DXM458727 EHI458727 ERE458727 FBA458727 FKW458727 FUS458727 GEO458727 GOK458727 GYG458727 HIC458727 HRY458727 IBU458727 ILQ458727 IVM458727 JFI458727 JPE458727 JZA458727 KIW458727 KSS458727 LCO458727 LMK458727 LWG458727 MGC458727 MPY458727 MZU458727 NJQ458727 NTM458727 ODI458727 ONE458727 OXA458727 PGW458727 PQS458727 QAO458727 QKK458727 QUG458727 REC458727 RNY458727 RXU458727 SHQ458727 SRM458727 TBI458727 TLE458727 TVA458727 UEW458727 UOS458727 UYO458727 VIK458727 VSG458727 WCC458727 WLY458727 WVU458727 M524253 JI524263 TE524263 ADA524263 AMW524263 AWS524263 BGO524263 BQK524263 CAG524263 CKC524263 CTY524263 DDU524263 DNQ524263 DXM524263 EHI524263 ERE524263 FBA524263 FKW524263 FUS524263 GEO524263 GOK524263 GYG524263 HIC524263 HRY524263 IBU524263 ILQ524263 IVM524263 JFI524263 JPE524263 JZA524263 KIW524263 KSS524263 LCO524263 LMK524263 LWG524263 MGC524263 MPY524263 MZU524263 NJQ524263 NTM524263 ODI524263 ONE524263 OXA524263 PGW524263 PQS524263 QAO524263 QKK524263 QUG524263 REC524263 RNY524263 RXU524263 SHQ524263 SRM524263 TBI524263 TLE524263 TVA524263 UEW524263 UOS524263 UYO524263 VIK524263 VSG524263 WCC524263 WLY524263 WVU524263 M589789 JI589799 TE589799 ADA589799 AMW589799 AWS589799 BGO589799 BQK589799 CAG589799 CKC589799 CTY589799 DDU589799 DNQ589799 DXM589799 EHI589799 ERE589799 FBA589799 FKW589799 FUS589799 GEO589799 GOK589799 GYG589799 HIC589799 HRY589799 IBU589799 ILQ589799 IVM589799 JFI589799 JPE589799 JZA589799 KIW589799 KSS589799 LCO589799 LMK589799 LWG589799 MGC589799 MPY589799 MZU589799 NJQ589799 NTM589799 ODI589799 ONE589799 OXA589799 PGW589799 PQS589799 QAO589799 QKK589799 QUG589799 REC589799 RNY589799 RXU589799 SHQ589799 SRM589799 TBI589799 TLE589799 TVA589799 UEW589799 UOS589799 UYO589799 VIK589799 VSG589799 WCC589799 WLY589799 WVU589799 M655325 JI655335 TE655335 ADA655335 AMW655335 AWS655335 BGO655335 BQK655335 CAG655335 CKC655335 CTY655335 DDU655335 DNQ655335 DXM655335 EHI655335 ERE655335 FBA655335 FKW655335 FUS655335 GEO655335 GOK655335 GYG655335 HIC655335 HRY655335 IBU655335 ILQ655335 IVM655335 JFI655335 JPE655335 JZA655335 KIW655335 KSS655335 LCO655335 LMK655335 LWG655335 MGC655335 MPY655335 MZU655335 NJQ655335 NTM655335 ODI655335 ONE655335 OXA655335 PGW655335 PQS655335 QAO655335 QKK655335 QUG655335 REC655335 RNY655335 RXU655335 SHQ655335 SRM655335 TBI655335 TLE655335 TVA655335 UEW655335 UOS655335 UYO655335 VIK655335 VSG655335 WCC655335 WLY655335 WVU655335 M720861 JI720871 TE720871 ADA720871 AMW720871 AWS720871 BGO720871 BQK720871 CAG720871 CKC720871 CTY720871 DDU720871 DNQ720871 DXM720871 EHI720871 ERE720871 FBA720871 FKW720871 FUS720871 GEO720871 GOK720871 GYG720871 HIC720871 HRY720871 IBU720871 ILQ720871 IVM720871 JFI720871 JPE720871 JZA720871 KIW720871 KSS720871 LCO720871 LMK720871 LWG720871 MGC720871 MPY720871 MZU720871 NJQ720871 NTM720871 ODI720871 ONE720871 OXA720871 PGW720871 PQS720871 QAO720871 QKK720871 QUG720871 REC720871 RNY720871 RXU720871 SHQ720871 SRM720871 TBI720871 TLE720871 TVA720871 UEW720871 UOS720871 UYO720871 VIK720871 VSG720871 WCC720871 WLY720871 WVU720871 M786397 JI786407 TE786407 ADA786407 AMW786407 AWS786407 BGO786407 BQK786407 CAG786407 CKC786407 CTY786407 DDU786407 DNQ786407 DXM786407 EHI786407 ERE786407 FBA786407 FKW786407 FUS786407 GEO786407 GOK786407 GYG786407 HIC786407 HRY786407 IBU786407 ILQ786407 IVM786407 JFI786407 JPE786407 JZA786407 KIW786407 KSS786407 LCO786407 LMK786407 LWG786407 MGC786407 MPY786407 MZU786407 NJQ786407 NTM786407 ODI786407 ONE786407 OXA786407 PGW786407 PQS786407 QAO786407 QKK786407 QUG786407 REC786407 RNY786407 RXU786407 SHQ786407 SRM786407 TBI786407 TLE786407 TVA786407 UEW786407 UOS786407 UYO786407 VIK786407 VSG786407 WCC786407 WLY786407 WVU786407 M851933 JI851943 TE851943 ADA851943 AMW851943 AWS851943 BGO851943 BQK851943 CAG851943 CKC851943 CTY851943 DDU851943 DNQ851943 DXM851943 EHI851943 ERE851943 FBA851943 FKW851943 FUS851943 GEO851943 GOK851943 GYG851943 HIC851943 HRY851943 IBU851943 ILQ851943 IVM851943 JFI851943 JPE851943 JZA851943 KIW851943 KSS851943 LCO851943 LMK851943 LWG851943 MGC851943 MPY851943 MZU851943 NJQ851943 NTM851943 ODI851943 ONE851943 OXA851943 PGW851943 PQS851943 QAO851943 QKK851943 QUG851943 REC851943 RNY851943 RXU851943 SHQ851943 SRM851943 TBI851943 TLE851943 TVA851943 UEW851943 UOS851943 UYO851943 VIK851943 VSG851943 WCC851943 WLY851943 WVU851943 M917469 JI917479 TE917479 ADA917479 AMW917479 AWS917479 BGO917479 BQK917479 CAG917479 CKC917479 CTY917479 DDU917479 DNQ917479 DXM917479 EHI917479 ERE917479 FBA917479 FKW917479 FUS917479 GEO917479 GOK917479 GYG917479 HIC917479 HRY917479 IBU917479 ILQ917479 IVM917479 JFI917479 JPE917479 JZA917479 KIW917479 KSS917479 LCO917479 LMK917479 LWG917479 MGC917479 MPY917479 MZU917479 NJQ917479 NTM917479 ODI917479 ONE917479 OXA917479 PGW917479 PQS917479 QAO917479 QKK917479 QUG917479 REC917479 RNY917479 RXU917479 SHQ917479 SRM917479 TBI917479 TLE917479 TVA917479 UEW917479 UOS917479 UYO917479 VIK917479 VSG917479 WCC917479 WLY917479 WVU917479 M983005 JI983015 TE983015 ADA983015 AMW983015 AWS983015 BGO983015 BQK983015 CAG983015 CKC983015 CTY983015 DDU983015 DNQ983015 DXM983015 EHI983015 ERE983015 FBA983015 FKW983015 FUS983015 GEO983015 GOK983015 GYG983015 HIC983015 HRY983015 IBU983015 ILQ983015 IVM983015 JFI983015 JPE983015 JZA983015 KIW983015 KSS983015 LCO983015 LMK983015 LWG983015 MGC983015 MPY983015 MZU983015 NJQ983015 NTM983015 ODI983015 ONE983015 OXA983015 PGW983015 PQS983015 QAO983015 QKK983015 QUG983015 REC983015 RNY983015 RXU983015 SHQ983015 SRM983015 TBI983015 TLE983015 TVA983015 UEW983015 UOS983015 UYO983015 VIK983015 VSG983015 WCC983015 WLY983015 WVU983015">
      <formula1>"1.50 ლარი,3.50 ლარი"</formula1>
    </dataValidation>
    <dataValidation type="list" allowBlank="1" showInputMessage="1" showErrorMessage="1" sqref="A65517:A65521 IW65527:IW65531 SS65527:SS65531 ACO65527:ACO65531 AMK65527:AMK65531 AWG65527:AWG65531 BGC65527:BGC65531 BPY65527:BPY65531 BZU65527:BZU65531 CJQ65527:CJQ65531 CTM65527:CTM65531 DDI65527:DDI65531 DNE65527:DNE65531 DXA65527:DXA65531 EGW65527:EGW65531 EQS65527:EQS65531 FAO65527:FAO65531 FKK65527:FKK65531 FUG65527:FUG65531 GEC65527:GEC65531 GNY65527:GNY65531 GXU65527:GXU65531 HHQ65527:HHQ65531 HRM65527:HRM65531 IBI65527:IBI65531 ILE65527:ILE65531 IVA65527:IVA65531 JEW65527:JEW65531 JOS65527:JOS65531 JYO65527:JYO65531 KIK65527:KIK65531 KSG65527:KSG65531 LCC65527:LCC65531 LLY65527:LLY65531 LVU65527:LVU65531 MFQ65527:MFQ65531 MPM65527:MPM65531 MZI65527:MZI65531 NJE65527:NJE65531 NTA65527:NTA65531 OCW65527:OCW65531 OMS65527:OMS65531 OWO65527:OWO65531 PGK65527:PGK65531 PQG65527:PQG65531 QAC65527:QAC65531 QJY65527:QJY65531 QTU65527:QTU65531 RDQ65527:RDQ65531 RNM65527:RNM65531 RXI65527:RXI65531 SHE65527:SHE65531 SRA65527:SRA65531 TAW65527:TAW65531 TKS65527:TKS65531 TUO65527:TUO65531 UEK65527:UEK65531 UOG65527:UOG65531 UYC65527:UYC65531 VHY65527:VHY65531 VRU65527:VRU65531 WBQ65527:WBQ65531 WLM65527:WLM65531 WVI65527:WVI65531 A131053:A131057 IW131063:IW131067 SS131063:SS131067 ACO131063:ACO131067 AMK131063:AMK131067 AWG131063:AWG131067 BGC131063:BGC131067 BPY131063:BPY131067 BZU131063:BZU131067 CJQ131063:CJQ131067 CTM131063:CTM131067 DDI131063:DDI131067 DNE131063:DNE131067 DXA131063:DXA131067 EGW131063:EGW131067 EQS131063:EQS131067 FAO131063:FAO131067 FKK131063:FKK131067 FUG131063:FUG131067 GEC131063:GEC131067 GNY131063:GNY131067 GXU131063:GXU131067 HHQ131063:HHQ131067 HRM131063:HRM131067 IBI131063:IBI131067 ILE131063:ILE131067 IVA131063:IVA131067 JEW131063:JEW131067 JOS131063:JOS131067 JYO131063:JYO131067 KIK131063:KIK131067 KSG131063:KSG131067 LCC131063:LCC131067 LLY131063:LLY131067 LVU131063:LVU131067 MFQ131063:MFQ131067 MPM131063:MPM131067 MZI131063:MZI131067 NJE131063:NJE131067 NTA131063:NTA131067 OCW131063:OCW131067 OMS131063:OMS131067 OWO131063:OWO131067 PGK131063:PGK131067 PQG131063:PQG131067 QAC131063:QAC131067 QJY131063:QJY131067 QTU131063:QTU131067 RDQ131063:RDQ131067 RNM131063:RNM131067 RXI131063:RXI131067 SHE131063:SHE131067 SRA131063:SRA131067 TAW131063:TAW131067 TKS131063:TKS131067 TUO131063:TUO131067 UEK131063:UEK131067 UOG131063:UOG131067 UYC131063:UYC131067 VHY131063:VHY131067 VRU131063:VRU131067 WBQ131063:WBQ131067 WLM131063:WLM131067 WVI131063:WVI131067 A196589:A196593 IW196599:IW196603 SS196599:SS196603 ACO196599:ACO196603 AMK196599:AMK196603 AWG196599:AWG196603 BGC196599:BGC196603 BPY196599:BPY196603 BZU196599:BZU196603 CJQ196599:CJQ196603 CTM196599:CTM196603 DDI196599:DDI196603 DNE196599:DNE196603 DXA196599:DXA196603 EGW196599:EGW196603 EQS196599:EQS196603 FAO196599:FAO196603 FKK196599:FKK196603 FUG196599:FUG196603 GEC196599:GEC196603 GNY196599:GNY196603 GXU196599:GXU196603 HHQ196599:HHQ196603 HRM196599:HRM196603 IBI196599:IBI196603 ILE196599:ILE196603 IVA196599:IVA196603 JEW196599:JEW196603 JOS196599:JOS196603 JYO196599:JYO196603 KIK196599:KIK196603 KSG196599:KSG196603 LCC196599:LCC196603 LLY196599:LLY196603 LVU196599:LVU196603 MFQ196599:MFQ196603 MPM196599:MPM196603 MZI196599:MZI196603 NJE196599:NJE196603 NTA196599:NTA196603 OCW196599:OCW196603 OMS196599:OMS196603 OWO196599:OWO196603 PGK196599:PGK196603 PQG196599:PQG196603 QAC196599:QAC196603 QJY196599:QJY196603 QTU196599:QTU196603 RDQ196599:RDQ196603 RNM196599:RNM196603 RXI196599:RXI196603 SHE196599:SHE196603 SRA196599:SRA196603 TAW196599:TAW196603 TKS196599:TKS196603 TUO196599:TUO196603 UEK196599:UEK196603 UOG196599:UOG196603 UYC196599:UYC196603 VHY196599:VHY196603 VRU196599:VRU196603 WBQ196599:WBQ196603 WLM196599:WLM196603 WVI196599:WVI196603 A262125:A262129 IW262135:IW262139 SS262135:SS262139 ACO262135:ACO262139 AMK262135:AMK262139 AWG262135:AWG262139 BGC262135:BGC262139 BPY262135:BPY262139 BZU262135:BZU262139 CJQ262135:CJQ262139 CTM262135:CTM262139 DDI262135:DDI262139 DNE262135:DNE262139 DXA262135:DXA262139 EGW262135:EGW262139 EQS262135:EQS262139 FAO262135:FAO262139 FKK262135:FKK262139 FUG262135:FUG262139 GEC262135:GEC262139 GNY262135:GNY262139 GXU262135:GXU262139 HHQ262135:HHQ262139 HRM262135:HRM262139 IBI262135:IBI262139 ILE262135:ILE262139 IVA262135:IVA262139 JEW262135:JEW262139 JOS262135:JOS262139 JYO262135:JYO262139 KIK262135:KIK262139 KSG262135:KSG262139 LCC262135:LCC262139 LLY262135:LLY262139 LVU262135:LVU262139 MFQ262135:MFQ262139 MPM262135:MPM262139 MZI262135:MZI262139 NJE262135:NJE262139 NTA262135:NTA262139 OCW262135:OCW262139 OMS262135:OMS262139 OWO262135:OWO262139 PGK262135:PGK262139 PQG262135:PQG262139 QAC262135:QAC262139 QJY262135:QJY262139 QTU262135:QTU262139 RDQ262135:RDQ262139 RNM262135:RNM262139 RXI262135:RXI262139 SHE262135:SHE262139 SRA262135:SRA262139 TAW262135:TAW262139 TKS262135:TKS262139 TUO262135:TUO262139 UEK262135:UEK262139 UOG262135:UOG262139 UYC262135:UYC262139 VHY262135:VHY262139 VRU262135:VRU262139 WBQ262135:WBQ262139 WLM262135:WLM262139 WVI262135:WVI262139 A327661:A327665 IW327671:IW327675 SS327671:SS327675 ACO327671:ACO327675 AMK327671:AMK327675 AWG327671:AWG327675 BGC327671:BGC327675 BPY327671:BPY327675 BZU327671:BZU327675 CJQ327671:CJQ327675 CTM327671:CTM327675 DDI327671:DDI327675 DNE327671:DNE327675 DXA327671:DXA327675 EGW327671:EGW327675 EQS327671:EQS327675 FAO327671:FAO327675 FKK327671:FKK327675 FUG327671:FUG327675 GEC327671:GEC327675 GNY327671:GNY327675 GXU327671:GXU327675 HHQ327671:HHQ327675 HRM327671:HRM327675 IBI327671:IBI327675 ILE327671:ILE327675 IVA327671:IVA327675 JEW327671:JEW327675 JOS327671:JOS327675 JYO327671:JYO327675 KIK327671:KIK327675 KSG327671:KSG327675 LCC327671:LCC327675 LLY327671:LLY327675 LVU327671:LVU327675 MFQ327671:MFQ327675 MPM327671:MPM327675 MZI327671:MZI327675 NJE327671:NJE327675 NTA327671:NTA327675 OCW327671:OCW327675 OMS327671:OMS327675 OWO327671:OWO327675 PGK327671:PGK327675 PQG327671:PQG327675 QAC327671:QAC327675 QJY327671:QJY327675 QTU327671:QTU327675 RDQ327671:RDQ327675 RNM327671:RNM327675 RXI327671:RXI327675 SHE327671:SHE327675 SRA327671:SRA327675 TAW327671:TAW327675 TKS327671:TKS327675 TUO327671:TUO327675 UEK327671:UEK327675 UOG327671:UOG327675 UYC327671:UYC327675 VHY327671:VHY327675 VRU327671:VRU327675 WBQ327671:WBQ327675 WLM327671:WLM327675 WVI327671:WVI327675 A393197:A393201 IW393207:IW393211 SS393207:SS393211 ACO393207:ACO393211 AMK393207:AMK393211 AWG393207:AWG393211 BGC393207:BGC393211 BPY393207:BPY393211 BZU393207:BZU393211 CJQ393207:CJQ393211 CTM393207:CTM393211 DDI393207:DDI393211 DNE393207:DNE393211 DXA393207:DXA393211 EGW393207:EGW393211 EQS393207:EQS393211 FAO393207:FAO393211 FKK393207:FKK393211 FUG393207:FUG393211 GEC393207:GEC393211 GNY393207:GNY393211 GXU393207:GXU393211 HHQ393207:HHQ393211 HRM393207:HRM393211 IBI393207:IBI393211 ILE393207:ILE393211 IVA393207:IVA393211 JEW393207:JEW393211 JOS393207:JOS393211 JYO393207:JYO393211 KIK393207:KIK393211 KSG393207:KSG393211 LCC393207:LCC393211 LLY393207:LLY393211 LVU393207:LVU393211 MFQ393207:MFQ393211 MPM393207:MPM393211 MZI393207:MZI393211 NJE393207:NJE393211 NTA393207:NTA393211 OCW393207:OCW393211 OMS393207:OMS393211 OWO393207:OWO393211 PGK393207:PGK393211 PQG393207:PQG393211 QAC393207:QAC393211 QJY393207:QJY393211 QTU393207:QTU393211 RDQ393207:RDQ393211 RNM393207:RNM393211 RXI393207:RXI393211 SHE393207:SHE393211 SRA393207:SRA393211 TAW393207:TAW393211 TKS393207:TKS393211 TUO393207:TUO393211 UEK393207:UEK393211 UOG393207:UOG393211 UYC393207:UYC393211 VHY393207:VHY393211 VRU393207:VRU393211 WBQ393207:WBQ393211 WLM393207:WLM393211 WVI393207:WVI393211 A458733:A458737 IW458743:IW458747 SS458743:SS458747 ACO458743:ACO458747 AMK458743:AMK458747 AWG458743:AWG458747 BGC458743:BGC458747 BPY458743:BPY458747 BZU458743:BZU458747 CJQ458743:CJQ458747 CTM458743:CTM458747 DDI458743:DDI458747 DNE458743:DNE458747 DXA458743:DXA458747 EGW458743:EGW458747 EQS458743:EQS458747 FAO458743:FAO458747 FKK458743:FKK458747 FUG458743:FUG458747 GEC458743:GEC458747 GNY458743:GNY458747 GXU458743:GXU458747 HHQ458743:HHQ458747 HRM458743:HRM458747 IBI458743:IBI458747 ILE458743:ILE458747 IVA458743:IVA458747 JEW458743:JEW458747 JOS458743:JOS458747 JYO458743:JYO458747 KIK458743:KIK458747 KSG458743:KSG458747 LCC458743:LCC458747 LLY458743:LLY458747 LVU458743:LVU458747 MFQ458743:MFQ458747 MPM458743:MPM458747 MZI458743:MZI458747 NJE458743:NJE458747 NTA458743:NTA458747 OCW458743:OCW458747 OMS458743:OMS458747 OWO458743:OWO458747 PGK458743:PGK458747 PQG458743:PQG458747 QAC458743:QAC458747 QJY458743:QJY458747 QTU458743:QTU458747 RDQ458743:RDQ458747 RNM458743:RNM458747 RXI458743:RXI458747 SHE458743:SHE458747 SRA458743:SRA458747 TAW458743:TAW458747 TKS458743:TKS458747 TUO458743:TUO458747 UEK458743:UEK458747 UOG458743:UOG458747 UYC458743:UYC458747 VHY458743:VHY458747 VRU458743:VRU458747 WBQ458743:WBQ458747 WLM458743:WLM458747 WVI458743:WVI458747 A524269:A524273 IW524279:IW524283 SS524279:SS524283 ACO524279:ACO524283 AMK524279:AMK524283 AWG524279:AWG524283 BGC524279:BGC524283 BPY524279:BPY524283 BZU524279:BZU524283 CJQ524279:CJQ524283 CTM524279:CTM524283 DDI524279:DDI524283 DNE524279:DNE524283 DXA524279:DXA524283 EGW524279:EGW524283 EQS524279:EQS524283 FAO524279:FAO524283 FKK524279:FKK524283 FUG524279:FUG524283 GEC524279:GEC524283 GNY524279:GNY524283 GXU524279:GXU524283 HHQ524279:HHQ524283 HRM524279:HRM524283 IBI524279:IBI524283 ILE524279:ILE524283 IVA524279:IVA524283 JEW524279:JEW524283 JOS524279:JOS524283 JYO524279:JYO524283 KIK524279:KIK524283 KSG524279:KSG524283 LCC524279:LCC524283 LLY524279:LLY524283 LVU524279:LVU524283 MFQ524279:MFQ524283 MPM524279:MPM524283 MZI524279:MZI524283 NJE524279:NJE524283 NTA524279:NTA524283 OCW524279:OCW524283 OMS524279:OMS524283 OWO524279:OWO524283 PGK524279:PGK524283 PQG524279:PQG524283 QAC524279:QAC524283 QJY524279:QJY524283 QTU524279:QTU524283 RDQ524279:RDQ524283 RNM524279:RNM524283 RXI524279:RXI524283 SHE524279:SHE524283 SRA524279:SRA524283 TAW524279:TAW524283 TKS524279:TKS524283 TUO524279:TUO524283 UEK524279:UEK524283 UOG524279:UOG524283 UYC524279:UYC524283 VHY524279:VHY524283 VRU524279:VRU524283 WBQ524279:WBQ524283 WLM524279:WLM524283 WVI524279:WVI524283 A589805:A589809 IW589815:IW589819 SS589815:SS589819 ACO589815:ACO589819 AMK589815:AMK589819 AWG589815:AWG589819 BGC589815:BGC589819 BPY589815:BPY589819 BZU589815:BZU589819 CJQ589815:CJQ589819 CTM589815:CTM589819 DDI589815:DDI589819 DNE589815:DNE589819 DXA589815:DXA589819 EGW589815:EGW589819 EQS589815:EQS589819 FAO589815:FAO589819 FKK589815:FKK589819 FUG589815:FUG589819 GEC589815:GEC589819 GNY589815:GNY589819 GXU589815:GXU589819 HHQ589815:HHQ589819 HRM589815:HRM589819 IBI589815:IBI589819 ILE589815:ILE589819 IVA589815:IVA589819 JEW589815:JEW589819 JOS589815:JOS589819 JYO589815:JYO589819 KIK589815:KIK589819 KSG589815:KSG589819 LCC589815:LCC589819 LLY589815:LLY589819 LVU589815:LVU589819 MFQ589815:MFQ589819 MPM589815:MPM589819 MZI589815:MZI589819 NJE589815:NJE589819 NTA589815:NTA589819 OCW589815:OCW589819 OMS589815:OMS589819 OWO589815:OWO589819 PGK589815:PGK589819 PQG589815:PQG589819 QAC589815:QAC589819 QJY589815:QJY589819 QTU589815:QTU589819 RDQ589815:RDQ589819 RNM589815:RNM589819 RXI589815:RXI589819 SHE589815:SHE589819 SRA589815:SRA589819 TAW589815:TAW589819 TKS589815:TKS589819 TUO589815:TUO589819 UEK589815:UEK589819 UOG589815:UOG589819 UYC589815:UYC589819 VHY589815:VHY589819 VRU589815:VRU589819 WBQ589815:WBQ589819 WLM589815:WLM589819 WVI589815:WVI589819 A655341:A655345 IW655351:IW655355 SS655351:SS655355 ACO655351:ACO655355 AMK655351:AMK655355 AWG655351:AWG655355 BGC655351:BGC655355 BPY655351:BPY655355 BZU655351:BZU655355 CJQ655351:CJQ655355 CTM655351:CTM655355 DDI655351:DDI655355 DNE655351:DNE655355 DXA655351:DXA655355 EGW655351:EGW655355 EQS655351:EQS655355 FAO655351:FAO655355 FKK655351:FKK655355 FUG655351:FUG655355 GEC655351:GEC655355 GNY655351:GNY655355 GXU655351:GXU655355 HHQ655351:HHQ655355 HRM655351:HRM655355 IBI655351:IBI655355 ILE655351:ILE655355 IVA655351:IVA655355 JEW655351:JEW655355 JOS655351:JOS655355 JYO655351:JYO655355 KIK655351:KIK655355 KSG655351:KSG655355 LCC655351:LCC655355 LLY655351:LLY655355 LVU655351:LVU655355 MFQ655351:MFQ655355 MPM655351:MPM655355 MZI655351:MZI655355 NJE655351:NJE655355 NTA655351:NTA655355 OCW655351:OCW655355 OMS655351:OMS655355 OWO655351:OWO655355 PGK655351:PGK655355 PQG655351:PQG655355 QAC655351:QAC655355 QJY655351:QJY655355 QTU655351:QTU655355 RDQ655351:RDQ655355 RNM655351:RNM655355 RXI655351:RXI655355 SHE655351:SHE655355 SRA655351:SRA655355 TAW655351:TAW655355 TKS655351:TKS655355 TUO655351:TUO655355 UEK655351:UEK655355 UOG655351:UOG655355 UYC655351:UYC655355 VHY655351:VHY655355 VRU655351:VRU655355 WBQ655351:WBQ655355 WLM655351:WLM655355 WVI655351:WVI655355 A720877:A720881 IW720887:IW720891 SS720887:SS720891 ACO720887:ACO720891 AMK720887:AMK720891 AWG720887:AWG720891 BGC720887:BGC720891 BPY720887:BPY720891 BZU720887:BZU720891 CJQ720887:CJQ720891 CTM720887:CTM720891 DDI720887:DDI720891 DNE720887:DNE720891 DXA720887:DXA720891 EGW720887:EGW720891 EQS720887:EQS720891 FAO720887:FAO720891 FKK720887:FKK720891 FUG720887:FUG720891 GEC720887:GEC720891 GNY720887:GNY720891 GXU720887:GXU720891 HHQ720887:HHQ720891 HRM720887:HRM720891 IBI720887:IBI720891 ILE720887:ILE720891 IVA720887:IVA720891 JEW720887:JEW720891 JOS720887:JOS720891 JYO720887:JYO720891 KIK720887:KIK720891 KSG720887:KSG720891 LCC720887:LCC720891 LLY720887:LLY720891 LVU720887:LVU720891 MFQ720887:MFQ720891 MPM720887:MPM720891 MZI720887:MZI720891 NJE720887:NJE720891 NTA720887:NTA720891 OCW720887:OCW720891 OMS720887:OMS720891 OWO720887:OWO720891 PGK720887:PGK720891 PQG720887:PQG720891 QAC720887:QAC720891 QJY720887:QJY720891 QTU720887:QTU720891 RDQ720887:RDQ720891 RNM720887:RNM720891 RXI720887:RXI720891 SHE720887:SHE720891 SRA720887:SRA720891 TAW720887:TAW720891 TKS720887:TKS720891 TUO720887:TUO720891 UEK720887:UEK720891 UOG720887:UOG720891 UYC720887:UYC720891 VHY720887:VHY720891 VRU720887:VRU720891 WBQ720887:WBQ720891 WLM720887:WLM720891 WVI720887:WVI720891 A786413:A786417 IW786423:IW786427 SS786423:SS786427 ACO786423:ACO786427 AMK786423:AMK786427 AWG786423:AWG786427 BGC786423:BGC786427 BPY786423:BPY786427 BZU786423:BZU786427 CJQ786423:CJQ786427 CTM786423:CTM786427 DDI786423:DDI786427 DNE786423:DNE786427 DXA786423:DXA786427 EGW786423:EGW786427 EQS786423:EQS786427 FAO786423:FAO786427 FKK786423:FKK786427 FUG786423:FUG786427 GEC786423:GEC786427 GNY786423:GNY786427 GXU786423:GXU786427 HHQ786423:HHQ786427 HRM786423:HRM786427 IBI786423:IBI786427 ILE786423:ILE786427 IVA786423:IVA786427 JEW786423:JEW786427 JOS786423:JOS786427 JYO786423:JYO786427 KIK786423:KIK786427 KSG786423:KSG786427 LCC786423:LCC786427 LLY786423:LLY786427 LVU786423:LVU786427 MFQ786423:MFQ786427 MPM786423:MPM786427 MZI786423:MZI786427 NJE786423:NJE786427 NTA786423:NTA786427 OCW786423:OCW786427 OMS786423:OMS786427 OWO786423:OWO786427 PGK786423:PGK786427 PQG786423:PQG786427 QAC786423:QAC786427 QJY786423:QJY786427 QTU786423:QTU786427 RDQ786423:RDQ786427 RNM786423:RNM786427 RXI786423:RXI786427 SHE786423:SHE786427 SRA786423:SRA786427 TAW786423:TAW786427 TKS786423:TKS786427 TUO786423:TUO786427 UEK786423:UEK786427 UOG786423:UOG786427 UYC786423:UYC786427 VHY786423:VHY786427 VRU786423:VRU786427 WBQ786423:WBQ786427 WLM786423:WLM786427 WVI786423:WVI786427 A851949:A851953 IW851959:IW851963 SS851959:SS851963 ACO851959:ACO851963 AMK851959:AMK851963 AWG851959:AWG851963 BGC851959:BGC851963 BPY851959:BPY851963 BZU851959:BZU851963 CJQ851959:CJQ851963 CTM851959:CTM851963 DDI851959:DDI851963 DNE851959:DNE851963 DXA851959:DXA851963 EGW851959:EGW851963 EQS851959:EQS851963 FAO851959:FAO851963 FKK851959:FKK851963 FUG851959:FUG851963 GEC851959:GEC851963 GNY851959:GNY851963 GXU851959:GXU851963 HHQ851959:HHQ851963 HRM851959:HRM851963 IBI851959:IBI851963 ILE851959:ILE851963 IVA851959:IVA851963 JEW851959:JEW851963 JOS851959:JOS851963 JYO851959:JYO851963 KIK851959:KIK851963 KSG851959:KSG851963 LCC851959:LCC851963 LLY851959:LLY851963 LVU851959:LVU851963 MFQ851959:MFQ851963 MPM851959:MPM851963 MZI851959:MZI851963 NJE851959:NJE851963 NTA851959:NTA851963 OCW851959:OCW851963 OMS851959:OMS851963 OWO851959:OWO851963 PGK851959:PGK851963 PQG851959:PQG851963 QAC851959:QAC851963 QJY851959:QJY851963 QTU851959:QTU851963 RDQ851959:RDQ851963 RNM851959:RNM851963 RXI851959:RXI851963 SHE851959:SHE851963 SRA851959:SRA851963 TAW851959:TAW851963 TKS851959:TKS851963 TUO851959:TUO851963 UEK851959:UEK851963 UOG851959:UOG851963 UYC851959:UYC851963 VHY851959:VHY851963 VRU851959:VRU851963 WBQ851959:WBQ851963 WLM851959:WLM851963 WVI851959:WVI851963 A917485:A917489 IW917495:IW917499 SS917495:SS917499 ACO917495:ACO917499 AMK917495:AMK917499 AWG917495:AWG917499 BGC917495:BGC917499 BPY917495:BPY917499 BZU917495:BZU917499 CJQ917495:CJQ917499 CTM917495:CTM917499 DDI917495:DDI917499 DNE917495:DNE917499 DXA917495:DXA917499 EGW917495:EGW917499 EQS917495:EQS917499 FAO917495:FAO917499 FKK917495:FKK917499 FUG917495:FUG917499 GEC917495:GEC917499 GNY917495:GNY917499 GXU917495:GXU917499 HHQ917495:HHQ917499 HRM917495:HRM917499 IBI917495:IBI917499 ILE917495:ILE917499 IVA917495:IVA917499 JEW917495:JEW917499 JOS917495:JOS917499 JYO917495:JYO917499 KIK917495:KIK917499 KSG917495:KSG917499 LCC917495:LCC917499 LLY917495:LLY917499 LVU917495:LVU917499 MFQ917495:MFQ917499 MPM917495:MPM917499 MZI917495:MZI917499 NJE917495:NJE917499 NTA917495:NTA917499 OCW917495:OCW917499 OMS917495:OMS917499 OWO917495:OWO917499 PGK917495:PGK917499 PQG917495:PQG917499 QAC917495:QAC917499 QJY917495:QJY917499 QTU917495:QTU917499 RDQ917495:RDQ917499 RNM917495:RNM917499 RXI917495:RXI917499 SHE917495:SHE917499 SRA917495:SRA917499 TAW917495:TAW917499 TKS917495:TKS917499 TUO917495:TUO917499 UEK917495:UEK917499 UOG917495:UOG917499 UYC917495:UYC917499 VHY917495:VHY917499 VRU917495:VRU917499 WBQ917495:WBQ917499 WLM917495:WLM917499 WVI917495:WVI917499 A983021:A983025 IW983031:IW983035 SS983031:SS983035 ACO983031:ACO983035 AMK983031:AMK983035 AWG983031:AWG983035 BGC983031:BGC983035 BPY983031:BPY983035 BZU983031:BZU983035 CJQ983031:CJQ983035 CTM983031:CTM983035 DDI983031:DDI983035 DNE983031:DNE983035 DXA983031:DXA983035 EGW983031:EGW983035 EQS983031:EQS983035 FAO983031:FAO983035 FKK983031:FKK983035 FUG983031:FUG983035 GEC983031:GEC983035 GNY983031:GNY983035 GXU983031:GXU983035 HHQ983031:HHQ983035 HRM983031:HRM983035 IBI983031:IBI983035 ILE983031:ILE983035 IVA983031:IVA983035 JEW983031:JEW983035 JOS983031:JOS983035 JYO983031:JYO983035 KIK983031:KIK983035 KSG983031:KSG983035 LCC983031:LCC983035 LLY983031:LLY983035 LVU983031:LVU983035 MFQ983031:MFQ983035 MPM983031:MPM983035 MZI983031:MZI983035 NJE983031:NJE983035 NTA983031:NTA983035 OCW983031:OCW983035 OMS983031:OMS983035 OWO983031:OWO983035 PGK983031:PGK983035 PQG983031:PQG983035 QAC983031:QAC983035 QJY983031:QJY983035 QTU983031:QTU983035 RDQ983031:RDQ983035 RNM983031:RNM983035 RXI983031:RXI983035 SHE983031:SHE983035 SRA983031:SRA983035 TAW983031:TAW983035 TKS983031:TKS983035 TUO983031:TUO983035 UEK983031:UEK983035 UOG983031:UOG983035 UYC983031:UYC983035 VHY983031:VHY983035 VRU983031:VRU983035 WBQ983031:WBQ983035 WLM983031:WLM983035 WVI983031:WVI983035">
      <formula1>"ახალი გენერალურის ქვეშ, არსებული გენერალურის ქვეშ, გენერალურის გარეშე"</formula1>
    </dataValidation>
    <dataValidation type="list" allowBlank="1" showInputMessage="1" showErrorMessage="1" sqref="H65501 JD65511 SZ65511 ACV65511 AMR65511 AWN65511 BGJ65511 BQF65511 CAB65511 CJX65511 CTT65511 DDP65511 DNL65511 DXH65511 EHD65511 EQZ65511 FAV65511 FKR65511 FUN65511 GEJ65511 GOF65511 GYB65511 HHX65511 HRT65511 IBP65511 ILL65511 IVH65511 JFD65511 JOZ65511 JYV65511 KIR65511 KSN65511 LCJ65511 LMF65511 LWB65511 MFX65511 MPT65511 MZP65511 NJL65511 NTH65511 ODD65511 OMZ65511 OWV65511 PGR65511 PQN65511 QAJ65511 QKF65511 QUB65511 RDX65511 RNT65511 RXP65511 SHL65511 SRH65511 TBD65511 TKZ65511 TUV65511 UER65511 UON65511 UYJ65511 VIF65511 VSB65511 WBX65511 WLT65511 WVP65511 H131037 JD131047 SZ131047 ACV131047 AMR131047 AWN131047 BGJ131047 BQF131047 CAB131047 CJX131047 CTT131047 DDP131047 DNL131047 DXH131047 EHD131047 EQZ131047 FAV131047 FKR131047 FUN131047 GEJ131047 GOF131047 GYB131047 HHX131047 HRT131047 IBP131047 ILL131047 IVH131047 JFD131047 JOZ131047 JYV131047 KIR131047 KSN131047 LCJ131047 LMF131047 LWB131047 MFX131047 MPT131047 MZP131047 NJL131047 NTH131047 ODD131047 OMZ131047 OWV131047 PGR131047 PQN131047 QAJ131047 QKF131047 QUB131047 RDX131047 RNT131047 RXP131047 SHL131047 SRH131047 TBD131047 TKZ131047 TUV131047 UER131047 UON131047 UYJ131047 VIF131047 VSB131047 WBX131047 WLT131047 WVP131047 H196573 JD196583 SZ196583 ACV196583 AMR196583 AWN196583 BGJ196583 BQF196583 CAB196583 CJX196583 CTT196583 DDP196583 DNL196583 DXH196583 EHD196583 EQZ196583 FAV196583 FKR196583 FUN196583 GEJ196583 GOF196583 GYB196583 HHX196583 HRT196583 IBP196583 ILL196583 IVH196583 JFD196583 JOZ196583 JYV196583 KIR196583 KSN196583 LCJ196583 LMF196583 LWB196583 MFX196583 MPT196583 MZP196583 NJL196583 NTH196583 ODD196583 OMZ196583 OWV196583 PGR196583 PQN196583 QAJ196583 QKF196583 QUB196583 RDX196583 RNT196583 RXP196583 SHL196583 SRH196583 TBD196583 TKZ196583 TUV196583 UER196583 UON196583 UYJ196583 VIF196583 VSB196583 WBX196583 WLT196583 WVP196583 H262109 JD262119 SZ262119 ACV262119 AMR262119 AWN262119 BGJ262119 BQF262119 CAB262119 CJX262119 CTT262119 DDP262119 DNL262119 DXH262119 EHD262119 EQZ262119 FAV262119 FKR262119 FUN262119 GEJ262119 GOF262119 GYB262119 HHX262119 HRT262119 IBP262119 ILL262119 IVH262119 JFD262119 JOZ262119 JYV262119 KIR262119 KSN262119 LCJ262119 LMF262119 LWB262119 MFX262119 MPT262119 MZP262119 NJL262119 NTH262119 ODD262119 OMZ262119 OWV262119 PGR262119 PQN262119 QAJ262119 QKF262119 QUB262119 RDX262119 RNT262119 RXP262119 SHL262119 SRH262119 TBD262119 TKZ262119 TUV262119 UER262119 UON262119 UYJ262119 VIF262119 VSB262119 WBX262119 WLT262119 WVP262119 H327645 JD327655 SZ327655 ACV327655 AMR327655 AWN327655 BGJ327655 BQF327655 CAB327655 CJX327655 CTT327655 DDP327655 DNL327655 DXH327655 EHD327655 EQZ327655 FAV327655 FKR327655 FUN327655 GEJ327655 GOF327655 GYB327655 HHX327655 HRT327655 IBP327655 ILL327655 IVH327655 JFD327655 JOZ327655 JYV327655 KIR327655 KSN327655 LCJ327655 LMF327655 LWB327655 MFX327655 MPT327655 MZP327655 NJL327655 NTH327655 ODD327655 OMZ327655 OWV327655 PGR327655 PQN327655 QAJ327655 QKF327655 QUB327655 RDX327655 RNT327655 RXP327655 SHL327655 SRH327655 TBD327655 TKZ327655 TUV327655 UER327655 UON327655 UYJ327655 VIF327655 VSB327655 WBX327655 WLT327655 WVP327655 H393181 JD393191 SZ393191 ACV393191 AMR393191 AWN393191 BGJ393191 BQF393191 CAB393191 CJX393191 CTT393191 DDP393191 DNL393191 DXH393191 EHD393191 EQZ393191 FAV393191 FKR393191 FUN393191 GEJ393191 GOF393191 GYB393191 HHX393191 HRT393191 IBP393191 ILL393191 IVH393191 JFD393191 JOZ393191 JYV393191 KIR393191 KSN393191 LCJ393191 LMF393191 LWB393191 MFX393191 MPT393191 MZP393191 NJL393191 NTH393191 ODD393191 OMZ393191 OWV393191 PGR393191 PQN393191 QAJ393191 QKF393191 QUB393191 RDX393191 RNT393191 RXP393191 SHL393191 SRH393191 TBD393191 TKZ393191 TUV393191 UER393191 UON393191 UYJ393191 VIF393191 VSB393191 WBX393191 WLT393191 WVP393191 H458717 JD458727 SZ458727 ACV458727 AMR458727 AWN458727 BGJ458727 BQF458727 CAB458727 CJX458727 CTT458727 DDP458727 DNL458727 DXH458727 EHD458727 EQZ458727 FAV458727 FKR458727 FUN458727 GEJ458727 GOF458727 GYB458727 HHX458727 HRT458727 IBP458727 ILL458727 IVH458727 JFD458727 JOZ458727 JYV458727 KIR458727 KSN458727 LCJ458727 LMF458727 LWB458727 MFX458727 MPT458727 MZP458727 NJL458727 NTH458727 ODD458727 OMZ458727 OWV458727 PGR458727 PQN458727 QAJ458727 QKF458727 QUB458727 RDX458727 RNT458727 RXP458727 SHL458727 SRH458727 TBD458727 TKZ458727 TUV458727 UER458727 UON458727 UYJ458727 VIF458727 VSB458727 WBX458727 WLT458727 WVP458727 H524253 JD524263 SZ524263 ACV524263 AMR524263 AWN524263 BGJ524263 BQF524263 CAB524263 CJX524263 CTT524263 DDP524263 DNL524263 DXH524263 EHD524263 EQZ524263 FAV524263 FKR524263 FUN524263 GEJ524263 GOF524263 GYB524263 HHX524263 HRT524263 IBP524263 ILL524263 IVH524263 JFD524263 JOZ524263 JYV524263 KIR524263 KSN524263 LCJ524263 LMF524263 LWB524263 MFX524263 MPT524263 MZP524263 NJL524263 NTH524263 ODD524263 OMZ524263 OWV524263 PGR524263 PQN524263 QAJ524263 QKF524263 QUB524263 RDX524263 RNT524263 RXP524263 SHL524263 SRH524263 TBD524263 TKZ524263 TUV524263 UER524263 UON524263 UYJ524263 VIF524263 VSB524263 WBX524263 WLT524263 WVP524263 H589789 JD589799 SZ589799 ACV589799 AMR589799 AWN589799 BGJ589799 BQF589799 CAB589799 CJX589799 CTT589799 DDP589799 DNL589799 DXH589799 EHD589799 EQZ589799 FAV589799 FKR589799 FUN589799 GEJ589799 GOF589799 GYB589799 HHX589799 HRT589799 IBP589799 ILL589799 IVH589799 JFD589799 JOZ589799 JYV589799 KIR589799 KSN589799 LCJ589799 LMF589799 LWB589799 MFX589799 MPT589799 MZP589799 NJL589799 NTH589799 ODD589799 OMZ589799 OWV589799 PGR589799 PQN589799 QAJ589799 QKF589799 QUB589799 RDX589799 RNT589799 RXP589799 SHL589799 SRH589799 TBD589799 TKZ589799 TUV589799 UER589799 UON589799 UYJ589799 VIF589799 VSB589799 WBX589799 WLT589799 WVP589799 H655325 JD655335 SZ655335 ACV655335 AMR655335 AWN655335 BGJ655335 BQF655335 CAB655335 CJX655335 CTT655335 DDP655335 DNL655335 DXH655335 EHD655335 EQZ655335 FAV655335 FKR655335 FUN655335 GEJ655335 GOF655335 GYB655335 HHX655335 HRT655335 IBP655335 ILL655335 IVH655335 JFD655335 JOZ655335 JYV655335 KIR655335 KSN655335 LCJ655335 LMF655335 LWB655335 MFX655335 MPT655335 MZP655335 NJL655335 NTH655335 ODD655335 OMZ655335 OWV655335 PGR655335 PQN655335 QAJ655335 QKF655335 QUB655335 RDX655335 RNT655335 RXP655335 SHL655335 SRH655335 TBD655335 TKZ655335 TUV655335 UER655335 UON655335 UYJ655335 VIF655335 VSB655335 WBX655335 WLT655335 WVP655335 H720861 JD720871 SZ720871 ACV720871 AMR720871 AWN720871 BGJ720871 BQF720871 CAB720871 CJX720871 CTT720871 DDP720871 DNL720871 DXH720871 EHD720871 EQZ720871 FAV720871 FKR720871 FUN720871 GEJ720871 GOF720871 GYB720871 HHX720871 HRT720871 IBP720871 ILL720871 IVH720871 JFD720871 JOZ720871 JYV720871 KIR720871 KSN720871 LCJ720871 LMF720871 LWB720871 MFX720871 MPT720871 MZP720871 NJL720871 NTH720871 ODD720871 OMZ720871 OWV720871 PGR720871 PQN720871 QAJ720871 QKF720871 QUB720871 RDX720871 RNT720871 RXP720871 SHL720871 SRH720871 TBD720871 TKZ720871 TUV720871 UER720871 UON720871 UYJ720871 VIF720871 VSB720871 WBX720871 WLT720871 WVP720871 H786397 JD786407 SZ786407 ACV786407 AMR786407 AWN786407 BGJ786407 BQF786407 CAB786407 CJX786407 CTT786407 DDP786407 DNL786407 DXH786407 EHD786407 EQZ786407 FAV786407 FKR786407 FUN786407 GEJ786407 GOF786407 GYB786407 HHX786407 HRT786407 IBP786407 ILL786407 IVH786407 JFD786407 JOZ786407 JYV786407 KIR786407 KSN786407 LCJ786407 LMF786407 LWB786407 MFX786407 MPT786407 MZP786407 NJL786407 NTH786407 ODD786407 OMZ786407 OWV786407 PGR786407 PQN786407 QAJ786407 QKF786407 QUB786407 RDX786407 RNT786407 RXP786407 SHL786407 SRH786407 TBD786407 TKZ786407 TUV786407 UER786407 UON786407 UYJ786407 VIF786407 VSB786407 WBX786407 WLT786407 WVP786407 H851933 JD851943 SZ851943 ACV851943 AMR851943 AWN851943 BGJ851943 BQF851943 CAB851943 CJX851943 CTT851943 DDP851943 DNL851943 DXH851943 EHD851943 EQZ851943 FAV851943 FKR851943 FUN851943 GEJ851943 GOF851943 GYB851943 HHX851943 HRT851943 IBP851943 ILL851943 IVH851943 JFD851943 JOZ851943 JYV851943 KIR851943 KSN851943 LCJ851943 LMF851943 LWB851943 MFX851943 MPT851943 MZP851943 NJL851943 NTH851943 ODD851943 OMZ851943 OWV851943 PGR851943 PQN851943 QAJ851943 QKF851943 QUB851943 RDX851943 RNT851943 RXP851943 SHL851943 SRH851943 TBD851943 TKZ851943 TUV851943 UER851943 UON851943 UYJ851943 VIF851943 VSB851943 WBX851943 WLT851943 WVP851943 H917469 JD917479 SZ917479 ACV917479 AMR917479 AWN917479 BGJ917479 BQF917479 CAB917479 CJX917479 CTT917479 DDP917479 DNL917479 DXH917479 EHD917479 EQZ917479 FAV917479 FKR917479 FUN917479 GEJ917479 GOF917479 GYB917479 HHX917479 HRT917479 IBP917479 ILL917479 IVH917479 JFD917479 JOZ917479 JYV917479 KIR917479 KSN917479 LCJ917479 LMF917479 LWB917479 MFX917479 MPT917479 MZP917479 NJL917479 NTH917479 ODD917479 OMZ917479 OWV917479 PGR917479 PQN917479 QAJ917479 QKF917479 QUB917479 RDX917479 RNT917479 RXP917479 SHL917479 SRH917479 TBD917479 TKZ917479 TUV917479 UER917479 UON917479 UYJ917479 VIF917479 VSB917479 WBX917479 WLT917479 WVP917479 H983005 JD983015 SZ983015 ACV983015 AMR983015 AWN983015 BGJ983015 BQF983015 CAB983015 CJX983015 CTT983015 DDP983015 DNL983015 DXH983015 EHD983015 EQZ983015 FAV983015 FKR983015 FUN983015 GEJ983015 GOF983015 GYB983015 HHX983015 HRT983015 IBP983015 ILL983015 IVH983015 JFD983015 JOZ983015 JYV983015 KIR983015 KSN983015 LCJ983015 LMF983015 LWB983015 MFX983015 MPT983015 MZP983015 NJL983015 NTH983015 ODD983015 OMZ983015 OWV983015 PGR983015 PQN983015 QAJ983015 QKF983015 QUB983015 RDX983015 RNT983015 RXP983015 SHL983015 SRH983015 TBD983015 TKZ983015 TUV983015 UER983015 UON983015 UYJ983015 VIF983015 VSB983015 WBX983015 WLT983015 WVP983015">
      <formula1>"USD, GEL"</formula1>
    </dataValidation>
    <dataValidation type="list" allowBlank="1" showInputMessage="1" showErrorMessage="1" sqref="F65502 JB65512 SX65512 ACT65512 AMP65512 AWL65512 BGH65512 BQD65512 BZZ65512 CJV65512 CTR65512 DDN65512 DNJ65512 DXF65512 EHB65512 EQX65512 FAT65512 FKP65512 FUL65512 GEH65512 GOD65512 GXZ65512 HHV65512 HRR65512 IBN65512 ILJ65512 IVF65512 JFB65512 JOX65512 JYT65512 KIP65512 KSL65512 LCH65512 LMD65512 LVZ65512 MFV65512 MPR65512 MZN65512 NJJ65512 NTF65512 ODB65512 OMX65512 OWT65512 PGP65512 PQL65512 QAH65512 QKD65512 QTZ65512 RDV65512 RNR65512 RXN65512 SHJ65512 SRF65512 TBB65512 TKX65512 TUT65512 UEP65512 UOL65512 UYH65512 VID65512 VRZ65512 WBV65512 WLR65512 WVN65512 F131038 JB131048 SX131048 ACT131048 AMP131048 AWL131048 BGH131048 BQD131048 BZZ131048 CJV131048 CTR131048 DDN131048 DNJ131048 DXF131048 EHB131048 EQX131048 FAT131048 FKP131048 FUL131048 GEH131048 GOD131048 GXZ131048 HHV131048 HRR131048 IBN131048 ILJ131048 IVF131048 JFB131048 JOX131048 JYT131048 KIP131048 KSL131048 LCH131048 LMD131048 LVZ131048 MFV131048 MPR131048 MZN131048 NJJ131048 NTF131048 ODB131048 OMX131048 OWT131048 PGP131048 PQL131048 QAH131048 QKD131048 QTZ131048 RDV131048 RNR131048 RXN131048 SHJ131048 SRF131048 TBB131048 TKX131048 TUT131048 UEP131048 UOL131048 UYH131048 VID131048 VRZ131048 WBV131048 WLR131048 WVN131048 F196574 JB196584 SX196584 ACT196584 AMP196584 AWL196584 BGH196584 BQD196584 BZZ196584 CJV196584 CTR196584 DDN196584 DNJ196584 DXF196584 EHB196584 EQX196584 FAT196584 FKP196584 FUL196584 GEH196584 GOD196584 GXZ196584 HHV196584 HRR196584 IBN196584 ILJ196584 IVF196584 JFB196584 JOX196584 JYT196584 KIP196584 KSL196584 LCH196584 LMD196584 LVZ196584 MFV196584 MPR196584 MZN196584 NJJ196584 NTF196584 ODB196584 OMX196584 OWT196584 PGP196584 PQL196584 QAH196584 QKD196584 QTZ196584 RDV196584 RNR196584 RXN196584 SHJ196584 SRF196584 TBB196584 TKX196584 TUT196584 UEP196584 UOL196584 UYH196584 VID196584 VRZ196584 WBV196584 WLR196584 WVN196584 F262110 JB262120 SX262120 ACT262120 AMP262120 AWL262120 BGH262120 BQD262120 BZZ262120 CJV262120 CTR262120 DDN262120 DNJ262120 DXF262120 EHB262120 EQX262120 FAT262120 FKP262120 FUL262120 GEH262120 GOD262120 GXZ262120 HHV262120 HRR262120 IBN262120 ILJ262120 IVF262120 JFB262120 JOX262120 JYT262120 KIP262120 KSL262120 LCH262120 LMD262120 LVZ262120 MFV262120 MPR262120 MZN262120 NJJ262120 NTF262120 ODB262120 OMX262120 OWT262120 PGP262120 PQL262120 QAH262120 QKD262120 QTZ262120 RDV262120 RNR262120 RXN262120 SHJ262120 SRF262120 TBB262120 TKX262120 TUT262120 UEP262120 UOL262120 UYH262120 VID262120 VRZ262120 WBV262120 WLR262120 WVN262120 F327646 JB327656 SX327656 ACT327656 AMP327656 AWL327656 BGH327656 BQD327656 BZZ327656 CJV327656 CTR327656 DDN327656 DNJ327656 DXF327656 EHB327656 EQX327656 FAT327656 FKP327656 FUL327656 GEH327656 GOD327656 GXZ327656 HHV327656 HRR327656 IBN327656 ILJ327656 IVF327656 JFB327656 JOX327656 JYT327656 KIP327656 KSL327656 LCH327656 LMD327656 LVZ327656 MFV327656 MPR327656 MZN327656 NJJ327656 NTF327656 ODB327656 OMX327656 OWT327656 PGP327656 PQL327656 QAH327656 QKD327656 QTZ327656 RDV327656 RNR327656 RXN327656 SHJ327656 SRF327656 TBB327656 TKX327656 TUT327656 UEP327656 UOL327656 UYH327656 VID327656 VRZ327656 WBV327656 WLR327656 WVN327656 F393182 JB393192 SX393192 ACT393192 AMP393192 AWL393192 BGH393192 BQD393192 BZZ393192 CJV393192 CTR393192 DDN393192 DNJ393192 DXF393192 EHB393192 EQX393192 FAT393192 FKP393192 FUL393192 GEH393192 GOD393192 GXZ393192 HHV393192 HRR393192 IBN393192 ILJ393192 IVF393192 JFB393192 JOX393192 JYT393192 KIP393192 KSL393192 LCH393192 LMD393192 LVZ393192 MFV393192 MPR393192 MZN393192 NJJ393192 NTF393192 ODB393192 OMX393192 OWT393192 PGP393192 PQL393192 QAH393192 QKD393192 QTZ393192 RDV393192 RNR393192 RXN393192 SHJ393192 SRF393192 TBB393192 TKX393192 TUT393192 UEP393192 UOL393192 UYH393192 VID393192 VRZ393192 WBV393192 WLR393192 WVN393192 F458718 JB458728 SX458728 ACT458728 AMP458728 AWL458728 BGH458728 BQD458728 BZZ458728 CJV458728 CTR458728 DDN458728 DNJ458728 DXF458728 EHB458728 EQX458728 FAT458728 FKP458728 FUL458728 GEH458728 GOD458728 GXZ458728 HHV458728 HRR458728 IBN458728 ILJ458728 IVF458728 JFB458728 JOX458728 JYT458728 KIP458728 KSL458728 LCH458728 LMD458728 LVZ458728 MFV458728 MPR458728 MZN458728 NJJ458728 NTF458728 ODB458728 OMX458728 OWT458728 PGP458728 PQL458728 QAH458728 QKD458728 QTZ458728 RDV458728 RNR458728 RXN458728 SHJ458728 SRF458728 TBB458728 TKX458728 TUT458728 UEP458728 UOL458728 UYH458728 VID458728 VRZ458728 WBV458728 WLR458728 WVN458728 F524254 JB524264 SX524264 ACT524264 AMP524264 AWL524264 BGH524264 BQD524264 BZZ524264 CJV524264 CTR524264 DDN524264 DNJ524264 DXF524264 EHB524264 EQX524264 FAT524264 FKP524264 FUL524264 GEH524264 GOD524264 GXZ524264 HHV524264 HRR524264 IBN524264 ILJ524264 IVF524264 JFB524264 JOX524264 JYT524264 KIP524264 KSL524264 LCH524264 LMD524264 LVZ524264 MFV524264 MPR524264 MZN524264 NJJ524264 NTF524264 ODB524264 OMX524264 OWT524264 PGP524264 PQL524264 QAH524264 QKD524264 QTZ524264 RDV524264 RNR524264 RXN524264 SHJ524264 SRF524264 TBB524264 TKX524264 TUT524264 UEP524264 UOL524264 UYH524264 VID524264 VRZ524264 WBV524264 WLR524264 WVN524264 F589790 JB589800 SX589800 ACT589800 AMP589800 AWL589800 BGH589800 BQD589800 BZZ589800 CJV589800 CTR589800 DDN589800 DNJ589800 DXF589800 EHB589800 EQX589800 FAT589800 FKP589800 FUL589800 GEH589800 GOD589800 GXZ589800 HHV589800 HRR589800 IBN589800 ILJ589800 IVF589800 JFB589800 JOX589800 JYT589800 KIP589800 KSL589800 LCH589800 LMD589800 LVZ589800 MFV589800 MPR589800 MZN589800 NJJ589800 NTF589800 ODB589800 OMX589800 OWT589800 PGP589800 PQL589800 QAH589800 QKD589800 QTZ589800 RDV589800 RNR589800 RXN589800 SHJ589800 SRF589800 TBB589800 TKX589800 TUT589800 UEP589800 UOL589800 UYH589800 VID589800 VRZ589800 WBV589800 WLR589800 WVN589800 F655326 JB655336 SX655336 ACT655336 AMP655336 AWL655336 BGH655336 BQD655336 BZZ655336 CJV655336 CTR655336 DDN655336 DNJ655336 DXF655336 EHB655336 EQX655336 FAT655336 FKP655336 FUL655336 GEH655336 GOD655336 GXZ655336 HHV655336 HRR655336 IBN655336 ILJ655336 IVF655336 JFB655336 JOX655336 JYT655336 KIP655336 KSL655336 LCH655336 LMD655336 LVZ655336 MFV655336 MPR655336 MZN655336 NJJ655336 NTF655336 ODB655336 OMX655336 OWT655336 PGP655336 PQL655336 QAH655336 QKD655336 QTZ655336 RDV655336 RNR655336 RXN655336 SHJ655336 SRF655336 TBB655336 TKX655336 TUT655336 UEP655336 UOL655336 UYH655336 VID655336 VRZ655336 WBV655336 WLR655336 WVN655336 F720862 JB720872 SX720872 ACT720872 AMP720872 AWL720872 BGH720872 BQD720872 BZZ720872 CJV720872 CTR720872 DDN720872 DNJ720872 DXF720872 EHB720872 EQX720872 FAT720872 FKP720872 FUL720872 GEH720872 GOD720872 GXZ720872 HHV720872 HRR720872 IBN720872 ILJ720872 IVF720872 JFB720872 JOX720872 JYT720872 KIP720872 KSL720872 LCH720872 LMD720872 LVZ720872 MFV720872 MPR720872 MZN720872 NJJ720872 NTF720872 ODB720872 OMX720872 OWT720872 PGP720872 PQL720872 QAH720872 QKD720872 QTZ720872 RDV720872 RNR720872 RXN720872 SHJ720872 SRF720872 TBB720872 TKX720872 TUT720872 UEP720872 UOL720872 UYH720872 VID720872 VRZ720872 WBV720872 WLR720872 WVN720872 F786398 JB786408 SX786408 ACT786408 AMP786408 AWL786408 BGH786408 BQD786408 BZZ786408 CJV786408 CTR786408 DDN786408 DNJ786408 DXF786408 EHB786408 EQX786408 FAT786408 FKP786408 FUL786408 GEH786408 GOD786408 GXZ786408 HHV786408 HRR786408 IBN786408 ILJ786408 IVF786408 JFB786408 JOX786408 JYT786408 KIP786408 KSL786408 LCH786408 LMD786408 LVZ786408 MFV786408 MPR786408 MZN786408 NJJ786408 NTF786408 ODB786408 OMX786408 OWT786408 PGP786408 PQL786408 QAH786408 QKD786408 QTZ786408 RDV786408 RNR786408 RXN786408 SHJ786408 SRF786408 TBB786408 TKX786408 TUT786408 UEP786408 UOL786408 UYH786408 VID786408 VRZ786408 WBV786408 WLR786408 WVN786408 F851934 JB851944 SX851944 ACT851944 AMP851944 AWL851944 BGH851944 BQD851944 BZZ851944 CJV851944 CTR851944 DDN851944 DNJ851944 DXF851944 EHB851944 EQX851944 FAT851944 FKP851944 FUL851944 GEH851944 GOD851944 GXZ851944 HHV851944 HRR851944 IBN851944 ILJ851944 IVF851944 JFB851944 JOX851944 JYT851944 KIP851944 KSL851944 LCH851944 LMD851944 LVZ851944 MFV851944 MPR851944 MZN851944 NJJ851944 NTF851944 ODB851944 OMX851944 OWT851944 PGP851944 PQL851944 QAH851944 QKD851944 QTZ851944 RDV851944 RNR851944 RXN851944 SHJ851944 SRF851944 TBB851944 TKX851944 TUT851944 UEP851944 UOL851944 UYH851944 VID851944 VRZ851944 WBV851944 WLR851944 WVN851944 F917470 JB917480 SX917480 ACT917480 AMP917480 AWL917480 BGH917480 BQD917480 BZZ917480 CJV917480 CTR917480 DDN917480 DNJ917480 DXF917480 EHB917480 EQX917480 FAT917480 FKP917480 FUL917480 GEH917480 GOD917480 GXZ917480 HHV917480 HRR917480 IBN917480 ILJ917480 IVF917480 JFB917480 JOX917480 JYT917480 KIP917480 KSL917480 LCH917480 LMD917480 LVZ917480 MFV917480 MPR917480 MZN917480 NJJ917480 NTF917480 ODB917480 OMX917480 OWT917480 PGP917480 PQL917480 QAH917480 QKD917480 QTZ917480 RDV917480 RNR917480 RXN917480 SHJ917480 SRF917480 TBB917480 TKX917480 TUT917480 UEP917480 UOL917480 UYH917480 VID917480 VRZ917480 WBV917480 WLR917480 WVN917480 F983006 JB983016 SX983016 ACT983016 AMP983016 AWL983016 BGH983016 BQD983016 BZZ983016 CJV983016 CTR983016 DDN983016 DNJ983016 DXF983016 EHB983016 EQX983016 FAT983016 FKP983016 FUL983016 GEH983016 GOD983016 GXZ983016 HHV983016 HRR983016 IBN983016 ILJ983016 IVF983016 JFB983016 JOX983016 JYT983016 KIP983016 KSL983016 LCH983016 LMD983016 LVZ983016 MFV983016 MPR983016 MZN983016 NJJ983016 NTF983016 ODB983016 OMX983016 OWT983016 PGP983016 PQL983016 QAH983016 QKD983016 QTZ983016 RDV983016 RNR983016 RXN983016 SHJ983016 SRF983016 TBB983016 TKX983016 TUT983016 UEP983016 UOL983016 UYH983016 VID983016 VRZ983016 WBV983016 WLR983016 WVN983016">
      <formula1>"არსებული, ახალი"</formula1>
    </dataValidation>
    <dataValidation type="whole" allowBlank="1" showInputMessage="1" showErrorMessage="1" errorTitle="შეცდომა" error="დაკოორექტირეთ სესხის თანხა_x000a_" sqref="E6">
      <formula1>1000</formula1>
      <formula2>10000</formula2>
    </dataValidation>
    <dataValidation type="whole" allowBlank="1" showInputMessage="1" showErrorMessage="1" errorTitle="შეცდომა" error="დააკორექტირეთ სესხის ვადა" sqref="G6">
      <formula1>6</formula1>
      <formula2>36</formula2>
    </dataValidation>
    <dataValidation type="list" allowBlank="1" showInputMessage="1" showErrorMessage="1" sqref="B39:D43">
      <formula1>$O$4:$O$11</formula1>
    </dataValidation>
  </dataValidations>
  <pageMargins left="0.7" right="0.7" top="0.75" bottom="0.75" header="0.3" footer="0.3"/>
  <pageSetup scale="47"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lists!$AA$1:$AA$3</xm:f>
          </x14:formula1>
          <xm:sqref>J49:K51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F55"/>
  <sheetViews>
    <sheetView topLeftCell="AN1" workbookViewId="0">
      <selection activeCell="E2" sqref="E2"/>
    </sheetView>
  </sheetViews>
  <sheetFormatPr defaultColWidth="9.140625" defaultRowHeight="15"/>
  <cols>
    <col min="1" max="1" width="35.28515625" style="1" bestFit="1" customWidth="1"/>
    <col min="2" max="2" width="2" style="1" customWidth="1"/>
    <col min="3" max="3" width="29.85546875" style="1" bestFit="1" customWidth="1"/>
    <col min="4" max="5" width="12.7109375" style="145" customWidth="1"/>
    <col min="6" max="7" width="12.140625" style="1" customWidth="1"/>
    <col min="8" max="8" width="9.140625" style="1"/>
    <col min="9" max="9" width="5.140625" style="1" customWidth="1"/>
    <col min="10" max="10" width="9.140625" style="1"/>
    <col min="11" max="11" width="2.28515625" style="1" customWidth="1"/>
    <col min="12" max="14" width="11.140625" style="1" customWidth="1"/>
    <col min="15" max="15" width="20.5703125" style="1" customWidth="1"/>
    <col min="16" max="16" width="2.42578125" style="1" customWidth="1"/>
    <col min="17" max="17" width="18.140625" style="1" customWidth="1"/>
    <col min="18" max="18" width="2" style="1" customWidth="1"/>
    <col min="19" max="19" width="27.140625" style="1" bestFit="1" customWidth="1"/>
    <col min="20" max="20" width="2" style="1" customWidth="1"/>
    <col min="21" max="21" width="9.140625" style="1"/>
    <col min="22" max="22" width="2" style="1" customWidth="1"/>
    <col min="23" max="23" width="26.7109375" style="1" bestFit="1" customWidth="1"/>
    <col min="24" max="24" width="2" style="1" customWidth="1"/>
    <col min="25" max="25" width="70.28515625" style="1" bestFit="1" customWidth="1"/>
    <col min="26" max="26" width="2" style="1" customWidth="1"/>
    <col min="27" max="27" width="26.7109375" style="1" bestFit="1" customWidth="1"/>
    <col min="28" max="28" width="2" style="1" customWidth="1"/>
    <col min="29" max="29" width="26.7109375" style="1" bestFit="1" customWidth="1"/>
    <col min="30" max="30" width="2" style="1" customWidth="1"/>
    <col min="31" max="31" width="38.42578125" style="1" bestFit="1" customWidth="1"/>
    <col min="32" max="32" width="2" style="1" customWidth="1"/>
    <col min="33" max="33" width="33.85546875" style="1" bestFit="1" customWidth="1"/>
    <col min="34" max="34" width="2" style="1" customWidth="1"/>
    <col min="35" max="35" width="26.7109375" style="1" bestFit="1" customWidth="1"/>
    <col min="36" max="36" width="2" style="1" customWidth="1"/>
    <col min="37" max="37" width="26.7109375" style="1" bestFit="1" customWidth="1"/>
    <col min="38" max="38" width="18.28515625" style="1" customWidth="1"/>
    <col min="39" max="39" width="33.140625" style="1" customWidth="1"/>
    <col min="40" max="40" width="2" style="1" customWidth="1"/>
    <col min="41" max="41" width="26.7109375" style="1" bestFit="1" customWidth="1"/>
    <col min="42" max="42" width="2" style="1" customWidth="1"/>
    <col min="43" max="16384" width="9.140625" style="1"/>
  </cols>
  <sheetData>
    <row r="1" spans="1:58" ht="24" customHeight="1" thickBot="1">
      <c r="A1" s="17" t="s">
        <v>110</v>
      </c>
      <c r="C1" s="1" t="s">
        <v>90</v>
      </c>
      <c r="D1" s="145">
        <v>6</v>
      </c>
      <c r="E1" s="145">
        <v>6</v>
      </c>
      <c r="F1" s="1">
        <v>1</v>
      </c>
      <c r="G1" s="1">
        <v>1</v>
      </c>
      <c r="H1" s="1" t="s">
        <v>93</v>
      </c>
      <c r="J1" s="18">
        <v>0</v>
      </c>
      <c r="K1" s="18"/>
      <c r="L1" s="166">
        <v>0.1</v>
      </c>
      <c r="M1" s="166">
        <v>0.105</v>
      </c>
      <c r="N1" s="166">
        <v>0.2</v>
      </c>
      <c r="O1" s="1" t="s">
        <v>365</v>
      </c>
      <c r="S1" s="1" t="s">
        <v>190</v>
      </c>
      <c r="U1" s="1" t="s">
        <v>142</v>
      </c>
      <c r="W1" s="19" t="s">
        <v>168</v>
      </c>
      <c r="Y1" s="19" t="s">
        <v>161</v>
      </c>
      <c r="AA1" s="20" t="s">
        <v>177</v>
      </c>
      <c r="AB1" s="17"/>
      <c r="AC1" s="20" t="s">
        <v>180</v>
      </c>
      <c r="AE1" s="1" t="s">
        <v>566</v>
      </c>
      <c r="AG1" s="19" t="s">
        <v>312</v>
      </c>
      <c r="AI1" s="19" t="s">
        <v>153</v>
      </c>
      <c r="AK1" s="145">
        <v>-400</v>
      </c>
      <c r="AL1" s="145" t="s">
        <v>300</v>
      </c>
      <c r="AM1" s="162">
        <v>0</v>
      </c>
      <c r="AO1" s="19"/>
      <c r="AQ1" s="765" t="s">
        <v>471</v>
      </c>
      <c r="AR1" s="765"/>
      <c r="AS1" s="765"/>
      <c r="AT1" s="765"/>
      <c r="AU1" s="765"/>
      <c r="AV1" s="765"/>
      <c r="AW1" s="765"/>
      <c r="AX1" s="178"/>
      <c r="AY1" s="764" t="s">
        <v>472</v>
      </c>
      <c r="AZ1" s="764"/>
      <c r="BA1" s="764" t="s">
        <v>473</v>
      </c>
      <c r="BB1" s="764"/>
      <c r="BC1" s="764" t="s">
        <v>160</v>
      </c>
      <c r="BD1" s="764"/>
      <c r="BE1" s="178"/>
      <c r="BF1" s="178"/>
    </row>
    <row r="2" spans="1:58">
      <c r="A2" s="17" t="s">
        <v>111</v>
      </c>
      <c r="C2" s="1" t="s">
        <v>86</v>
      </c>
      <c r="D2" s="145">
        <v>7</v>
      </c>
      <c r="E2" s="145">
        <v>7</v>
      </c>
      <c r="F2" s="1">
        <v>2</v>
      </c>
      <c r="G2" s="1">
        <v>2</v>
      </c>
      <c r="H2" s="1" t="s">
        <v>94</v>
      </c>
      <c r="J2" s="18">
        <v>0.01</v>
      </c>
      <c r="K2" s="18"/>
      <c r="L2" s="166">
        <v>0.12</v>
      </c>
      <c r="M2" s="166">
        <v>0.125</v>
      </c>
      <c r="N2" s="166">
        <v>0.4</v>
      </c>
      <c r="O2" s="1" t="s">
        <v>366</v>
      </c>
      <c r="S2" s="1" t="s">
        <v>224</v>
      </c>
      <c r="U2" s="1" t="s">
        <v>143</v>
      </c>
      <c r="W2" s="19" t="s">
        <v>169</v>
      </c>
      <c r="Y2" s="19" t="s">
        <v>162</v>
      </c>
      <c r="AA2" s="20" t="s">
        <v>178</v>
      </c>
      <c r="AB2" s="17"/>
      <c r="AC2" s="20" t="s">
        <v>181</v>
      </c>
      <c r="AE2" s="1" t="s">
        <v>567</v>
      </c>
      <c r="AG2" s="19" t="s">
        <v>416</v>
      </c>
      <c r="AI2" s="20" t="s">
        <v>154</v>
      </c>
      <c r="AK2" s="145">
        <v>-1</v>
      </c>
      <c r="AL2" s="145">
        <v>-1</v>
      </c>
      <c r="AM2" s="162">
        <v>0</v>
      </c>
      <c r="AQ2" s="179"/>
      <c r="AR2" s="180">
        <v>2</v>
      </c>
      <c r="AS2" s="180">
        <v>3</v>
      </c>
      <c r="AT2" s="180">
        <v>4</v>
      </c>
      <c r="AU2" s="180">
        <v>5</v>
      </c>
      <c r="AV2" s="179"/>
      <c r="AW2" s="181"/>
      <c r="AX2" s="179" t="s">
        <v>474</v>
      </c>
      <c r="AY2" s="182">
        <f>საქმიანობა!B24</f>
        <v>1500</v>
      </c>
      <c r="AZ2" s="183">
        <f>IF(AND(AY3&gt;5,AY3&lt;11),VLOOKUP(AY2,AQ4:AU7,2),IF(AND(AY3&gt;10,AY3&lt;15),VLOOKUP(AY2,AQ4:AU7,3),IF(AND(AY3&gt;14,AY3&lt;24),VLOOKUP(AY2,AQ4:AU7,4),IF(AND(AY3&gt;23,AY3&lt;36),VLOOKUP(AY2,AQ4:AU7,5),IF(AND(AY3&gt;35,AY3&lt;48),VLOOKUP(AY2,AQ4:AU7,6),IF(AND(AY3&gt;47,AY3&lt;60),VLOOKUP(AY2,AQ4:AU7,7),IF(AY3=60,VLOOKUP(AY2,AQ4:AU7,8))))))))</f>
        <v>0</v>
      </c>
      <c r="BA2" s="182">
        <f>'[3]ანალიზის ფორმა'!AG9</f>
        <v>0</v>
      </c>
      <c r="BB2" s="183" t="b">
        <f>IF(AND(BA3&gt;5,BA3&lt;11),VLOOKUP(BA2,AQ4:AU7,2),IF(AND(BA3&gt;10,BA3&lt;15),VLOOKUP(BA2,AQ4:AU7,3),IF(AND(BA3&gt;14,BA3&lt;24),VLOOKUP(BA2,AQ4:AU7,4),IF(AND(BA3&gt;23,BA3&lt;36),VLOOKUP(BA2,AQ4:AU7,5),IF(AND(BA3&gt;35,BA3&lt;48),VLOOKUP(BA2,AQ4:AU7,6),IF(AND(BA3&gt;47,BA3&lt;60),VLOOKUP(BA2,AQ4:AU7,7),IF(BA3=60,VLOOKUP(BA2,AQ4:AU7,8))))))))</f>
        <v>0</v>
      </c>
      <c r="BC2" s="182">
        <f>'[3]ანალიზის ფორმა'!AH9</f>
        <v>0</v>
      </c>
      <c r="BD2" s="183" t="b">
        <f>IF(AND(BC3&gt;5,BC3&lt;11),VLOOKUP(BC2,AQ4:AU7,2),IF(AND(BC3&gt;10,BC3&lt;15),VLOOKUP(BC2,AQ4:AU7,3),IF(AND(BC3&gt;14,BC3&lt;24),VLOOKUP(BC2,AQ4:AU7,4),IF(AND(BC3&gt;23,BC3&lt;36),VLOOKUP(BC2,AQ4:AU7,5),IF(AND(BC3&gt;35,BC3&lt;48),VLOOKUP(BC2,AQ4:AU7,6),IF(AND(BC3&gt;47,BC3&lt;60),VLOOKUP(BC2,AQ4:AU7,7),IF(BC3=60,VLOOKUP(BC2,AQ4:AU7,8))))))))</f>
        <v>0</v>
      </c>
      <c r="BE2" s="184" t="s">
        <v>475</v>
      </c>
      <c r="BF2" s="185"/>
    </row>
    <row r="3" spans="1:58">
      <c r="A3" s="17" t="s">
        <v>123</v>
      </c>
      <c r="C3" s="1" t="s">
        <v>87</v>
      </c>
      <c r="D3" s="145">
        <v>8</v>
      </c>
      <c r="E3" s="145">
        <v>8</v>
      </c>
      <c r="F3" s="1">
        <v>3</v>
      </c>
      <c r="G3" s="1">
        <v>3</v>
      </c>
      <c r="J3" s="18">
        <v>0.02</v>
      </c>
      <c r="K3" s="18"/>
      <c r="L3" s="166">
        <v>0.16</v>
      </c>
      <c r="M3" s="166">
        <v>0.16500000000000001</v>
      </c>
      <c r="N3" s="166">
        <v>0.66669999999999996</v>
      </c>
      <c r="O3" s="1" t="s">
        <v>367</v>
      </c>
      <c r="S3" s="1" t="s">
        <v>176</v>
      </c>
      <c r="W3" s="19" t="s">
        <v>170</v>
      </c>
      <c r="Y3" s="19" t="s">
        <v>163</v>
      </c>
      <c r="AA3" s="20" t="s">
        <v>179</v>
      </c>
      <c r="AB3" s="17"/>
      <c r="AC3" s="20" t="s">
        <v>182</v>
      </c>
      <c r="AE3" s="1" t="s">
        <v>568</v>
      </c>
      <c r="AG3" s="19" t="s">
        <v>417</v>
      </c>
      <c r="AI3" s="19" t="s">
        <v>518</v>
      </c>
      <c r="AK3" s="144">
        <v>0</v>
      </c>
      <c r="AL3" s="144" t="s">
        <v>288</v>
      </c>
      <c r="AM3" s="162">
        <v>0.04</v>
      </c>
      <c r="AO3" s="163"/>
      <c r="AQ3" s="179"/>
      <c r="AR3" s="186" t="s">
        <v>476</v>
      </c>
      <c r="AS3" s="186" t="s">
        <v>477</v>
      </c>
      <c r="AT3" s="186" t="s">
        <v>478</v>
      </c>
      <c r="AU3" s="186" t="s">
        <v>482</v>
      </c>
      <c r="AV3" s="179"/>
      <c r="AW3" s="181"/>
      <c r="AX3" s="179" t="s">
        <v>479</v>
      </c>
      <c r="AY3" s="182">
        <f>საქმიანობა!B25</f>
        <v>18</v>
      </c>
      <c r="AZ3" s="183">
        <f>VLOOKUP(AY2,AQ6:AS13,2)</f>
        <v>0.04</v>
      </c>
      <c r="BA3" s="182">
        <f>'[3]ანალიზის ფორმა'!AG11</f>
        <v>0</v>
      </c>
      <c r="BB3" s="183" t="e">
        <f>VLOOKUP(BA2,AQ6:AS13,2)</f>
        <v>#N/A</v>
      </c>
      <c r="BC3" s="182">
        <f>'[3]ანალიზის ფორმა'!AH11</f>
        <v>0</v>
      </c>
      <c r="BD3" s="183" t="e">
        <f>VLOOKUP(BC2,AQ6:AS13,2)</f>
        <v>#N/A</v>
      </c>
      <c r="BE3" s="187" t="s">
        <v>480</v>
      </c>
      <c r="BF3" s="185"/>
    </row>
    <row r="4" spans="1:58">
      <c r="A4" s="17" t="s">
        <v>122</v>
      </c>
      <c r="C4" s="1" t="s">
        <v>88</v>
      </c>
      <c r="D4" s="145">
        <v>9</v>
      </c>
      <c r="E4" s="145">
        <v>9</v>
      </c>
      <c r="F4" s="1">
        <v>4</v>
      </c>
      <c r="G4" s="1">
        <v>4</v>
      </c>
      <c r="J4" s="18">
        <v>0.03</v>
      </c>
      <c r="K4" s="18"/>
      <c r="L4" s="18"/>
      <c r="M4" s="18"/>
      <c r="N4" s="18"/>
      <c r="O4" s="1" t="s">
        <v>368</v>
      </c>
      <c r="S4" s="1" t="s">
        <v>267</v>
      </c>
      <c r="W4" s="19" t="s">
        <v>171</v>
      </c>
      <c r="Y4" s="19" t="s">
        <v>164</v>
      </c>
      <c r="AA4" s="19"/>
      <c r="AC4" s="19"/>
      <c r="AE4" s="1" t="s">
        <v>569</v>
      </c>
      <c r="AG4" s="19" t="s">
        <v>418</v>
      </c>
      <c r="AI4" s="20" t="s">
        <v>519</v>
      </c>
      <c r="AK4" s="144">
        <v>1</v>
      </c>
      <c r="AL4" s="144" t="s">
        <v>289</v>
      </c>
      <c r="AM4" s="162">
        <v>0.05</v>
      </c>
      <c r="AQ4" s="179">
        <v>1000</v>
      </c>
      <c r="AR4" s="188">
        <v>0.27</v>
      </c>
      <c r="AS4" s="188">
        <v>0.27</v>
      </c>
      <c r="AT4" s="188">
        <v>0.29499999999999998</v>
      </c>
      <c r="AU4" s="188">
        <v>0.32</v>
      </c>
      <c r="AV4" s="188"/>
      <c r="AW4" s="181"/>
      <c r="AX4" s="179"/>
      <c r="AY4" s="177"/>
      <c r="AZ4" s="183">
        <f>VLOOKUP(AY2,AQ6:AS13,3)</f>
        <v>6.0000000000000001E-3</v>
      </c>
      <c r="BA4" s="177"/>
      <c r="BB4" s="183" t="e">
        <f>VLOOKUP(BA2,AQ6:AS13,3)</f>
        <v>#N/A</v>
      </c>
      <c r="BC4" s="177"/>
      <c r="BD4" s="183" t="e">
        <f>VLOOKUP(BC2,AQ6:AS13,3)</f>
        <v>#N/A</v>
      </c>
      <c r="BE4" s="187" t="s">
        <v>214</v>
      </c>
      <c r="BF4" s="185"/>
    </row>
    <row r="5" spans="1:58" ht="60.75" thickBot="1">
      <c r="A5" s="17" t="s">
        <v>116</v>
      </c>
      <c r="C5" s="1" t="s">
        <v>89</v>
      </c>
      <c r="D5" s="145">
        <v>10</v>
      </c>
      <c r="E5" s="145">
        <v>10</v>
      </c>
      <c r="F5" s="1">
        <v>5</v>
      </c>
      <c r="G5" s="1">
        <v>5</v>
      </c>
      <c r="J5" s="18">
        <v>0.04</v>
      </c>
      <c r="K5" s="18"/>
      <c r="L5" s="18"/>
      <c r="M5" s="18"/>
      <c r="N5" s="18"/>
      <c r="O5" s="1" t="s">
        <v>369</v>
      </c>
      <c r="S5" s="1" t="s">
        <v>270</v>
      </c>
      <c r="W5" s="19" t="s">
        <v>172</v>
      </c>
      <c r="Y5" s="19" t="s">
        <v>165</v>
      </c>
      <c r="AA5" s="19"/>
      <c r="AC5" s="19"/>
      <c r="AE5" s="1" t="s">
        <v>570</v>
      </c>
      <c r="AG5" s="19" t="s">
        <v>419</v>
      </c>
      <c r="AI5" s="19"/>
      <c r="AK5" s="144">
        <v>190</v>
      </c>
      <c r="AL5" s="144" t="s">
        <v>290</v>
      </c>
      <c r="AM5" s="162">
        <v>0.03</v>
      </c>
      <c r="AO5" s="163"/>
      <c r="AQ5" s="179"/>
      <c r="AR5" s="179" t="s">
        <v>480</v>
      </c>
      <c r="AS5" s="179" t="s">
        <v>214</v>
      </c>
      <c r="AT5" s="188"/>
      <c r="AU5" s="188"/>
      <c r="AV5" s="188"/>
      <c r="AW5" s="181"/>
      <c r="AX5" s="179"/>
      <c r="AY5" s="177">
        <f>'[3]ანალიზის ფორმა'!AD28</f>
        <v>0</v>
      </c>
      <c r="AZ5" s="189">
        <f>IF(AY2&lt;10001,0%,VLOOKUP(AY5,#REF!,2))</f>
        <v>0</v>
      </c>
      <c r="BA5" s="177">
        <f>'[3]ანალიზის ფორმა'!AD28</f>
        <v>0</v>
      </c>
      <c r="BB5" s="189">
        <f>IF(BA2&lt;10001,0%,VLOOKUP(BA5,#REF!,2))</f>
        <v>0</v>
      </c>
      <c r="BC5" s="177">
        <f>'[3]ანალიზის ფორმა'!AD28</f>
        <v>0</v>
      </c>
      <c r="BD5" s="189">
        <f>IF(BC2&lt;10001,0%,VLOOKUP(BC5,#REF!,2))</f>
        <v>0</v>
      </c>
      <c r="BE5" s="190" t="s">
        <v>481</v>
      </c>
      <c r="BF5" s="185"/>
    </row>
    <row r="6" spans="1:58">
      <c r="A6" s="17" t="s">
        <v>112</v>
      </c>
      <c r="C6" s="1" t="s">
        <v>149</v>
      </c>
      <c r="D6" s="145">
        <v>11</v>
      </c>
      <c r="E6" s="145">
        <v>11</v>
      </c>
      <c r="F6" s="1">
        <v>6</v>
      </c>
      <c r="G6" s="1">
        <v>6</v>
      </c>
      <c r="J6" s="18">
        <v>0.05</v>
      </c>
      <c r="K6" s="18"/>
      <c r="L6" s="18"/>
      <c r="M6" s="18"/>
      <c r="N6" s="18"/>
      <c r="W6" s="19" t="s">
        <v>173</v>
      </c>
      <c r="Y6" s="19" t="s">
        <v>166</v>
      </c>
      <c r="AA6" s="19"/>
      <c r="AC6" s="19"/>
      <c r="AE6" s="1" t="s">
        <v>571</v>
      </c>
      <c r="AG6" s="19" t="s">
        <v>420</v>
      </c>
      <c r="AI6" s="19"/>
      <c r="AK6" s="144">
        <v>210</v>
      </c>
      <c r="AL6" s="144" t="s">
        <v>291</v>
      </c>
      <c r="AM6" s="162">
        <v>2.5000000000000001E-2</v>
      </c>
      <c r="AQ6" s="179">
        <v>1000</v>
      </c>
      <c r="AR6" s="188">
        <v>0.04</v>
      </c>
      <c r="AS6" s="188">
        <v>6.0000000000000001E-3</v>
      </c>
      <c r="AT6" s="188"/>
      <c r="AU6" s="188"/>
      <c r="AV6" s="188"/>
      <c r="AW6" s="181"/>
      <c r="AX6" s="179"/>
      <c r="AY6" s="179"/>
      <c r="AZ6" s="179"/>
      <c r="BA6" s="179"/>
      <c r="BB6" s="179"/>
      <c r="BC6" s="179"/>
      <c r="BD6" s="179"/>
      <c r="BE6" s="179"/>
      <c r="BF6" s="179"/>
    </row>
    <row r="7" spans="1:58">
      <c r="A7" s="17" t="s">
        <v>100</v>
      </c>
      <c r="C7" s="1" t="s">
        <v>353</v>
      </c>
      <c r="D7" s="145">
        <v>12</v>
      </c>
      <c r="E7" s="145">
        <v>12</v>
      </c>
      <c r="F7" s="1">
        <v>7</v>
      </c>
      <c r="G7" s="1">
        <v>7</v>
      </c>
      <c r="J7" s="18">
        <v>0.06</v>
      </c>
      <c r="K7" s="18"/>
      <c r="L7" s="18"/>
      <c r="M7" s="18"/>
      <c r="N7" s="18"/>
      <c r="W7" s="19" t="s">
        <v>174</v>
      </c>
      <c r="Y7" s="19" t="s">
        <v>167</v>
      </c>
      <c r="AA7" s="19"/>
      <c r="AC7" s="19"/>
      <c r="AE7" s="1" t="s">
        <v>572</v>
      </c>
      <c r="AG7" s="19" t="s">
        <v>421</v>
      </c>
      <c r="AI7" s="19"/>
      <c r="AK7" s="144">
        <v>235</v>
      </c>
      <c r="AL7" s="144" t="s">
        <v>292</v>
      </c>
      <c r="AM7" s="162">
        <v>1.4999999999999999E-2</v>
      </c>
      <c r="AO7" s="163"/>
      <c r="AQ7" s="179"/>
      <c r="AR7" s="179"/>
      <c r="AS7" s="179"/>
      <c r="AT7" s="179"/>
      <c r="AU7" s="179"/>
      <c r="AV7" s="179"/>
      <c r="AW7" s="181"/>
      <c r="AX7" s="179"/>
      <c r="AY7" s="179"/>
      <c r="AZ7" s="179"/>
      <c r="BA7" s="179"/>
      <c r="BB7" s="179"/>
      <c r="BC7" s="179"/>
      <c r="BD7" s="179"/>
      <c r="BE7" s="179"/>
      <c r="BF7" s="179"/>
    </row>
    <row r="8" spans="1:58">
      <c r="A8" s="17" t="s">
        <v>106</v>
      </c>
      <c r="C8" s="1" t="s">
        <v>148</v>
      </c>
      <c r="D8" s="145">
        <v>13</v>
      </c>
      <c r="E8" s="145">
        <v>13</v>
      </c>
      <c r="F8" s="1">
        <v>8</v>
      </c>
      <c r="G8" s="1">
        <v>8</v>
      </c>
      <c r="J8" s="18">
        <v>7.0000000000000007E-2</v>
      </c>
      <c r="K8" s="18"/>
      <c r="L8" s="18"/>
      <c r="M8" s="18"/>
      <c r="N8" s="18"/>
      <c r="W8" s="19" t="s">
        <v>175</v>
      </c>
      <c r="Y8" s="19"/>
      <c r="AA8" s="19"/>
      <c r="AC8" s="19"/>
      <c r="AE8" s="1" t="s">
        <v>573</v>
      </c>
      <c r="AI8" s="19"/>
      <c r="AK8" s="144">
        <v>260</v>
      </c>
      <c r="AL8" s="144" t="s">
        <v>293</v>
      </c>
      <c r="AM8" s="162">
        <v>0.01</v>
      </c>
      <c r="AO8" s="163"/>
      <c r="AQ8" s="179"/>
      <c r="AR8" s="179"/>
      <c r="AS8" s="179"/>
      <c r="AT8" s="179"/>
      <c r="AU8" s="179"/>
      <c r="AV8" s="179"/>
      <c r="AW8" s="181"/>
      <c r="AX8" s="179"/>
      <c r="AY8" s="179"/>
      <c r="AZ8" s="179"/>
      <c r="BA8" s="179"/>
      <c r="BB8" s="179"/>
      <c r="BC8" s="179"/>
      <c r="BD8" s="179"/>
      <c r="BE8" s="179"/>
      <c r="BF8" s="179"/>
    </row>
    <row r="9" spans="1:58">
      <c r="A9" s="17" t="s">
        <v>308</v>
      </c>
      <c r="D9" s="145">
        <v>14</v>
      </c>
      <c r="E9" s="145">
        <v>14</v>
      </c>
      <c r="F9" s="1">
        <v>9</v>
      </c>
      <c r="G9" s="1">
        <v>9</v>
      </c>
      <c r="J9" s="18">
        <v>0.08</v>
      </c>
      <c r="K9" s="18"/>
      <c r="L9" s="18"/>
      <c r="M9" s="18"/>
      <c r="N9" s="18"/>
      <c r="W9" s="1" t="s">
        <v>341</v>
      </c>
      <c r="AE9" s="1" t="s">
        <v>574</v>
      </c>
      <c r="AK9" s="144">
        <v>273</v>
      </c>
      <c r="AL9" s="144" t="s">
        <v>294</v>
      </c>
      <c r="AM9" s="162">
        <v>5.0000000000000001E-3</v>
      </c>
      <c r="AT9" s="179"/>
      <c r="AU9" s="179"/>
      <c r="AV9" s="179"/>
      <c r="AW9" s="181"/>
      <c r="AX9" s="179"/>
      <c r="AY9" s="179"/>
      <c r="AZ9" s="179"/>
      <c r="BA9" s="179"/>
      <c r="BB9" s="179"/>
      <c r="BC9" s="179"/>
      <c r="BD9" s="179"/>
      <c r="BE9" s="179"/>
      <c r="BF9" s="179"/>
    </row>
    <row r="10" spans="1:58">
      <c r="A10" s="17" t="s">
        <v>97</v>
      </c>
      <c r="D10" s="145">
        <v>15</v>
      </c>
      <c r="E10" s="145">
        <v>15</v>
      </c>
      <c r="F10" s="1">
        <v>10</v>
      </c>
      <c r="G10" s="1">
        <v>10</v>
      </c>
      <c r="J10" s="18">
        <v>0.09</v>
      </c>
      <c r="K10" s="18"/>
      <c r="L10" s="18"/>
      <c r="M10" s="18"/>
      <c r="N10" s="18"/>
      <c r="AE10" s="1" t="s">
        <v>575</v>
      </c>
      <c r="AK10" s="144">
        <v>285</v>
      </c>
      <c r="AL10" s="144" t="s">
        <v>295</v>
      </c>
      <c r="AM10" s="162">
        <v>0</v>
      </c>
      <c r="AT10" s="179"/>
      <c r="AU10" s="179"/>
      <c r="AV10" s="179"/>
      <c r="AW10" s="181"/>
      <c r="AX10" s="179"/>
      <c r="AY10" s="179"/>
      <c r="AZ10" s="179"/>
      <c r="BA10" s="179"/>
      <c r="BB10" s="179"/>
      <c r="BC10" s="179"/>
      <c r="BD10" s="179"/>
      <c r="BE10" s="179"/>
      <c r="BF10" s="179"/>
    </row>
    <row r="11" spans="1:58">
      <c r="A11" s="17" t="s">
        <v>121</v>
      </c>
      <c r="D11" s="145">
        <v>16</v>
      </c>
      <c r="E11" s="145">
        <v>16</v>
      </c>
      <c r="F11" s="1">
        <v>11</v>
      </c>
      <c r="G11" s="1">
        <v>11</v>
      </c>
      <c r="J11" s="18">
        <v>0.1</v>
      </c>
      <c r="K11" s="18"/>
      <c r="L11" s="18"/>
      <c r="M11" s="18"/>
      <c r="N11" s="18"/>
      <c r="AE11" s="1" t="s">
        <v>576</v>
      </c>
      <c r="AK11" s="144">
        <v>296</v>
      </c>
      <c r="AL11" s="144" t="s">
        <v>296</v>
      </c>
      <c r="AM11" s="162">
        <v>0</v>
      </c>
      <c r="AQ11" s="179"/>
      <c r="AR11" s="188"/>
      <c r="AS11" s="188"/>
      <c r="AT11" s="179"/>
      <c r="AU11" s="179"/>
      <c r="AV11" s="179"/>
      <c r="AW11" s="181"/>
      <c r="AX11" s="179"/>
      <c r="AY11" s="179"/>
      <c r="AZ11" s="179"/>
      <c r="BA11" s="179"/>
      <c r="BB11" s="179"/>
      <c r="BC11" s="179"/>
      <c r="BD11" s="179"/>
      <c r="BE11" s="179"/>
      <c r="BF11" s="179"/>
    </row>
    <row r="12" spans="1:58">
      <c r="A12" s="17" t="s">
        <v>101</v>
      </c>
      <c r="D12" s="145">
        <v>17</v>
      </c>
      <c r="E12" s="145">
        <v>17</v>
      </c>
      <c r="F12" s="1">
        <v>12</v>
      </c>
      <c r="AE12" s="1" t="s">
        <v>285</v>
      </c>
      <c r="AK12" s="144">
        <v>308</v>
      </c>
      <c r="AL12" s="144" t="s">
        <v>297</v>
      </c>
      <c r="AM12" s="162">
        <v>0</v>
      </c>
      <c r="AQ12" s="179"/>
      <c r="AR12" s="188"/>
      <c r="AS12" s="188"/>
      <c r="AT12" s="188"/>
      <c r="AU12" s="188"/>
      <c r="AV12" s="179"/>
      <c r="AW12" s="181"/>
      <c r="AX12" s="179"/>
      <c r="AY12" s="179"/>
      <c r="AZ12" s="179"/>
      <c r="BA12" s="179"/>
      <c r="BB12" s="179"/>
      <c r="BC12" s="179"/>
      <c r="BD12" s="179"/>
      <c r="BE12" s="179"/>
      <c r="BF12" s="179"/>
    </row>
    <row r="13" spans="1:58">
      <c r="A13" s="17" t="s">
        <v>102</v>
      </c>
      <c r="D13" s="145">
        <v>18</v>
      </c>
      <c r="E13" s="145">
        <v>18</v>
      </c>
      <c r="AE13" s="1" t="s">
        <v>342</v>
      </c>
      <c r="AK13" s="144">
        <v>321</v>
      </c>
      <c r="AL13" s="144" t="s">
        <v>298</v>
      </c>
      <c r="AM13" s="162">
        <v>0</v>
      </c>
      <c r="AQ13" s="179"/>
      <c r="AR13" s="179"/>
      <c r="AS13" s="179"/>
      <c r="AT13" s="179"/>
      <c r="AU13" s="179"/>
      <c r="AV13" s="179"/>
      <c r="AW13" s="181"/>
      <c r="AX13" s="179"/>
      <c r="AY13" s="179"/>
      <c r="AZ13" s="179"/>
      <c r="BA13" s="179"/>
      <c r="BB13" s="179"/>
      <c r="BC13" s="179"/>
      <c r="BD13" s="179"/>
      <c r="BE13" s="179"/>
      <c r="BF13" s="179"/>
    </row>
    <row r="14" spans="1:58">
      <c r="A14" s="17" t="s">
        <v>109</v>
      </c>
      <c r="C14" s="1" t="s">
        <v>354</v>
      </c>
      <c r="D14" s="145">
        <v>19</v>
      </c>
      <c r="E14" s="145">
        <v>19</v>
      </c>
      <c r="AE14" s="1" t="s">
        <v>343</v>
      </c>
      <c r="AK14" s="144">
        <v>334</v>
      </c>
      <c r="AL14" s="144" t="s">
        <v>299</v>
      </c>
      <c r="AM14" s="162">
        <v>0</v>
      </c>
      <c r="AQ14" s="179"/>
      <c r="AR14" s="179"/>
      <c r="AS14" s="179"/>
      <c r="AT14" s="179"/>
      <c r="AU14" s="179"/>
      <c r="AV14" s="179"/>
      <c r="AW14" s="181"/>
      <c r="AX14" s="179"/>
      <c r="AY14" s="179"/>
      <c r="AZ14" s="179"/>
      <c r="BA14" s="179"/>
      <c r="BB14" s="179"/>
      <c r="BC14" s="179"/>
      <c r="BD14" s="179"/>
      <c r="BE14" s="179"/>
      <c r="BF14" s="179"/>
    </row>
    <row r="15" spans="1:58">
      <c r="A15" s="17" t="s">
        <v>115</v>
      </c>
      <c r="C15" s="1" t="s">
        <v>149</v>
      </c>
      <c r="D15" s="145">
        <v>20</v>
      </c>
      <c r="E15" s="145">
        <v>20</v>
      </c>
      <c r="AE15" s="1" t="s">
        <v>344</v>
      </c>
      <c r="AK15" s="145">
        <v>401</v>
      </c>
      <c r="AL15" s="145" t="s">
        <v>300</v>
      </c>
      <c r="AM15" s="162">
        <v>0</v>
      </c>
      <c r="AQ15" s="185"/>
      <c r="AR15" s="185"/>
      <c r="AS15" s="185"/>
      <c r="AT15" s="185"/>
      <c r="AU15" s="185"/>
      <c r="AV15" s="185"/>
      <c r="AW15" s="185"/>
      <c r="AX15" s="185"/>
      <c r="AY15" s="185"/>
      <c r="AZ15" s="185"/>
      <c r="BA15" s="185"/>
      <c r="BB15" s="185"/>
      <c r="BC15" s="185"/>
      <c r="BD15" s="185"/>
      <c r="BE15" s="185"/>
      <c r="BF15" s="185"/>
    </row>
    <row r="16" spans="1:58">
      <c r="A16" s="17" t="s">
        <v>95</v>
      </c>
      <c r="C16" s="1" t="s">
        <v>373</v>
      </c>
      <c r="D16" s="145">
        <v>21</v>
      </c>
      <c r="E16" s="145">
        <v>21</v>
      </c>
      <c r="AE16" s="1" t="s">
        <v>345</v>
      </c>
    </row>
    <row r="17" spans="1:31">
      <c r="A17" s="17" t="s">
        <v>107</v>
      </c>
      <c r="C17" s="1" t="s">
        <v>353</v>
      </c>
      <c r="D17" s="145">
        <v>22</v>
      </c>
      <c r="E17" s="145">
        <v>22</v>
      </c>
      <c r="AE17" s="1" t="s">
        <v>346</v>
      </c>
    </row>
    <row r="18" spans="1:31">
      <c r="A18" s="17" t="s">
        <v>98</v>
      </c>
      <c r="C18" s="1" t="s">
        <v>148</v>
      </c>
      <c r="D18" s="145">
        <v>23</v>
      </c>
      <c r="E18" s="145">
        <v>23</v>
      </c>
      <c r="AE18" s="1" t="s">
        <v>347</v>
      </c>
    </row>
    <row r="19" spans="1:31">
      <c r="A19" s="17" t="s">
        <v>103</v>
      </c>
      <c r="D19" s="145">
        <v>24</v>
      </c>
      <c r="E19" s="145">
        <v>24</v>
      </c>
      <c r="AE19" s="1" t="s">
        <v>348</v>
      </c>
    </row>
    <row r="20" spans="1:31">
      <c r="A20" s="17" t="s">
        <v>99</v>
      </c>
      <c r="D20" s="145">
        <v>25</v>
      </c>
    </row>
    <row r="21" spans="1:31">
      <c r="A21" s="17" t="s">
        <v>105</v>
      </c>
      <c r="D21" s="145">
        <v>26</v>
      </c>
    </row>
    <row r="22" spans="1:31">
      <c r="A22" s="17" t="s">
        <v>104</v>
      </c>
      <c r="D22" s="145">
        <v>27</v>
      </c>
    </row>
    <row r="23" spans="1:31">
      <c r="A23" s="17" t="s">
        <v>124</v>
      </c>
      <c r="D23" s="145">
        <v>28</v>
      </c>
    </row>
    <row r="24" spans="1:31">
      <c r="A24" s="17" t="s">
        <v>125</v>
      </c>
      <c r="D24" s="145">
        <v>29</v>
      </c>
    </row>
    <row r="25" spans="1:31">
      <c r="A25" s="17" t="s">
        <v>114</v>
      </c>
      <c r="D25" s="145">
        <v>30</v>
      </c>
    </row>
    <row r="26" spans="1:31">
      <c r="A26" s="17" t="s">
        <v>113</v>
      </c>
      <c r="D26" s="145">
        <v>31</v>
      </c>
    </row>
    <row r="27" spans="1:31">
      <c r="A27" s="17" t="s">
        <v>118</v>
      </c>
      <c r="D27" s="145">
        <v>32</v>
      </c>
    </row>
    <row r="28" spans="1:31">
      <c r="A28" s="17" t="s">
        <v>127</v>
      </c>
      <c r="D28" s="145">
        <v>33</v>
      </c>
    </row>
    <row r="29" spans="1:31">
      <c r="A29" s="17" t="s">
        <v>468</v>
      </c>
      <c r="D29" s="145">
        <v>34</v>
      </c>
    </row>
    <row r="30" spans="1:31">
      <c r="A30" s="17" t="s">
        <v>120</v>
      </c>
      <c r="D30" s="145">
        <v>35</v>
      </c>
    </row>
    <row r="31" spans="1:31">
      <c r="A31" s="17" t="s">
        <v>96</v>
      </c>
      <c r="D31" s="145">
        <v>36</v>
      </c>
    </row>
    <row r="32" spans="1:31">
      <c r="A32" s="17" t="s">
        <v>126</v>
      </c>
      <c r="D32" s="145">
        <v>37</v>
      </c>
    </row>
    <row r="33" spans="1:4">
      <c r="A33" s="17" t="s">
        <v>108</v>
      </c>
      <c r="D33" s="145">
        <v>38</v>
      </c>
    </row>
    <row r="34" spans="1:4">
      <c r="A34" s="17" t="s">
        <v>117</v>
      </c>
      <c r="D34" s="145">
        <v>39</v>
      </c>
    </row>
    <row r="35" spans="1:4">
      <c r="A35" s="17" t="s">
        <v>119</v>
      </c>
      <c r="D35" s="145">
        <v>40</v>
      </c>
    </row>
    <row r="36" spans="1:4">
      <c r="A36" s="1" t="s">
        <v>185</v>
      </c>
      <c r="D36" s="145">
        <v>41</v>
      </c>
    </row>
    <row r="37" spans="1:4">
      <c r="D37" s="145">
        <v>42</v>
      </c>
    </row>
    <row r="38" spans="1:4">
      <c r="D38" s="145">
        <v>43</v>
      </c>
    </row>
    <row r="39" spans="1:4">
      <c r="D39" s="145">
        <v>44</v>
      </c>
    </row>
    <row r="40" spans="1:4">
      <c r="D40" s="145">
        <v>45</v>
      </c>
    </row>
    <row r="41" spans="1:4">
      <c r="D41" s="145">
        <v>46</v>
      </c>
    </row>
    <row r="42" spans="1:4">
      <c r="D42" s="145">
        <v>47</v>
      </c>
    </row>
    <row r="43" spans="1:4">
      <c r="D43" s="145">
        <v>48</v>
      </c>
    </row>
    <row r="44" spans="1:4">
      <c r="D44" s="145">
        <v>49</v>
      </c>
    </row>
    <row r="45" spans="1:4">
      <c r="D45" s="145">
        <v>50</v>
      </c>
    </row>
    <row r="46" spans="1:4">
      <c r="D46" s="145">
        <v>51</v>
      </c>
    </row>
    <row r="47" spans="1:4">
      <c r="D47" s="145">
        <v>52</v>
      </c>
    </row>
    <row r="48" spans="1:4">
      <c r="D48" s="145">
        <v>53</v>
      </c>
    </row>
    <row r="49" spans="4:4">
      <c r="D49" s="145">
        <v>54</v>
      </c>
    </row>
    <row r="50" spans="4:4">
      <c r="D50" s="145">
        <v>55</v>
      </c>
    </row>
    <row r="51" spans="4:4">
      <c r="D51" s="145">
        <v>56</v>
      </c>
    </row>
    <row r="52" spans="4:4">
      <c r="D52" s="145">
        <v>57</v>
      </c>
    </row>
    <row r="53" spans="4:4">
      <c r="D53" s="145">
        <v>58</v>
      </c>
    </row>
    <row r="54" spans="4:4">
      <c r="D54" s="145">
        <v>59</v>
      </c>
    </row>
    <row r="55" spans="4:4">
      <c r="D55" s="145">
        <v>60</v>
      </c>
    </row>
  </sheetData>
  <sheetProtection algorithmName="SHA-512" hashValue="/XxeSA/roPfktpdlywYZX8AjM3X3Bg4YXP5Phvk/WIr8g8ytDQQP3jPlf8MXCaju7WkrZ6lTvCDJvRiJlVov/g==" saltValue="LXTJBt9LYBO+kp+tayvvTg==" spinCount="100000" sheet="1" objects="1" scenarios="1"/>
  <mergeCells count="4">
    <mergeCell ref="BC1:BD1"/>
    <mergeCell ref="AQ1:AW1"/>
    <mergeCell ref="AY1:AZ1"/>
    <mergeCell ref="BA1:B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A599"/>
  <sheetViews>
    <sheetView view="pageBreakPreview" topLeftCell="A16" zoomScale="90" zoomScaleNormal="100" zoomScaleSheetLayoutView="90" workbookViewId="0">
      <selection activeCell="M28" sqref="M28"/>
    </sheetView>
  </sheetViews>
  <sheetFormatPr defaultColWidth="0" defaultRowHeight="15" zeroHeight="1"/>
  <cols>
    <col min="1" max="1" width="1.7109375" customWidth="1"/>
    <col min="2" max="8" width="11.7109375" style="1" customWidth="1"/>
    <col min="9" max="9" width="1.7109375" customWidth="1"/>
    <col min="10" max="10" width="11.7109375" customWidth="1"/>
    <col min="11" max="11" width="1.7109375" customWidth="1"/>
    <col min="12" max="18" width="11.7109375" customWidth="1"/>
    <col min="19" max="19" width="1.7109375" customWidth="1"/>
    <col min="20" max="20" width="9.140625" customWidth="1"/>
    <col min="21" max="26" width="10.7109375" hidden="1" customWidth="1"/>
    <col min="27" max="27" width="5.7109375" hidden="1" customWidth="1"/>
    <col min="28" max="34" width="10.7109375" hidden="1" customWidth="1"/>
    <col min="35" max="35" width="5.7109375" hidden="1" customWidth="1"/>
    <col min="36" max="36" width="10.140625" hidden="1" customWidth="1"/>
    <col min="37" max="37" width="10" hidden="1" customWidth="1"/>
    <col min="38" max="39" width="9.140625" hidden="1" customWidth="1"/>
    <col min="40" max="40" width="10.7109375" hidden="1" customWidth="1"/>
    <col min="41" max="43" width="9.140625" hidden="1" customWidth="1"/>
    <col min="44" max="50" width="10.7109375" hidden="1" customWidth="1"/>
    <col min="51" max="51" width="5.7109375" hidden="1" customWidth="1"/>
    <col min="52" max="58" width="10.7109375" hidden="1" customWidth="1"/>
    <col min="59" max="62" width="9.140625" hidden="1" customWidth="1"/>
    <col min="63" max="65" width="10.42578125" hidden="1" customWidth="1"/>
    <col min="66" max="71" width="9.140625" hidden="1" customWidth="1"/>
    <col min="72" max="73" width="10.140625" hidden="1" customWidth="1"/>
    <col min="74" max="287" width="0" hidden="1" customWidth="1"/>
    <col min="288" max="16384" width="9.140625" hidden="1"/>
  </cols>
  <sheetData>
    <row r="1" spans="1:36" ht="24.95" customHeight="1">
      <c r="A1" s="21"/>
      <c r="B1" s="22"/>
      <c r="C1" s="22"/>
      <c r="D1" s="23"/>
      <c r="E1" s="23" t="s">
        <v>186</v>
      </c>
      <c r="F1" s="23"/>
      <c r="G1" s="21"/>
      <c r="H1" s="21"/>
      <c r="I1" s="21"/>
      <c r="J1" s="24"/>
      <c r="K1" s="24"/>
      <c r="L1" s="24"/>
      <c r="M1" s="24"/>
      <c r="N1" s="24"/>
      <c r="O1" s="24"/>
      <c r="P1" s="24"/>
      <c r="Q1" s="24"/>
      <c r="R1" s="24"/>
      <c r="S1" s="24"/>
    </row>
    <row r="2" spans="1:36" ht="3" customHeight="1" thickBot="1">
      <c r="A2" s="25"/>
      <c r="B2" s="26"/>
      <c r="C2" s="26"/>
      <c r="D2" s="27"/>
      <c r="E2" s="27"/>
      <c r="F2" s="25"/>
      <c r="G2" s="25"/>
      <c r="H2" s="25"/>
      <c r="I2" s="25"/>
      <c r="J2" s="25"/>
      <c r="K2" s="25"/>
      <c r="L2" s="25"/>
      <c r="M2" s="25"/>
      <c r="N2" s="25"/>
      <c r="O2" s="25"/>
      <c r="P2" s="25"/>
      <c r="Q2" s="25"/>
      <c r="R2" s="25"/>
      <c r="S2" s="25"/>
    </row>
    <row r="3" spans="1:36" ht="12" customHeight="1" thickTop="1" thickBot="1">
      <c r="A3" s="25"/>
      <c r="B3" s="28" t="str">
        <f>IF($F$10="ბიზნეს ოვერდრაფტი","ეფექტური საპროცენტო განაკვეთი (ესგ) განაღდებით","ეფექტური საპროცენტო განაკვეთი (ესგ)")</f>
        <v>ეფექტური საპროცენტო განაკვეთი (ესგ)</v>
      </c>
      <c r="C3" s="26"/>
      <c r="D3" s="27"/>
      <c r="E3" s="27"/>
      <c r="F3" s="25"/>
      <c r="G3" s="25"/>
      <c r="H3" s="29">
        <f>IFERROR(IF(OR($F$46="",$G$46="",$H$46=""),ROUND(XIRR(CHOOSE({1,2},$AB$80:$AB$200,$AG$80:$AG$200),CHOOSE({1,2},$C$80:$C$200,$AF$80:$AF$200),$H$22),4),ROUND(XIRR(CHOOSE({1,2,3,4},$AR$80:$AR$200,$AW$80:$AW$200,$AZ$80:$AZ$200,$BE$80:$BE$200),CHOOSE({1,2,3,4},$C$80:$C$200,$AV$80:$AV$200,$L$80:$L$200,$BD$80:$BD$200),$H$22),4)),"შეცდომაა!")</f>
        <v>0.49880000000000002</v>
      </c>
      <c r="I3" s="25"/>
      <c r="J3" s="25"/>
      <c r="K3" s="25"/>
      <c r="L3" s="28" t="s">
        <v>187</v>
      </c>
      <c r="M3" s="25"/>
      <c r="N3" s="25"/>
      <c r="O3" s="25"/>
      <c r="P3" s="25"/>
      <c r="Q3" s="25"/>
      <c r="R3" s="29">
        <f>IFERROR(IF(OR($F$46="",$G$46="",$H$46=""),ROUND(XIRR(CHOOSE({1,2},$AC$80:$AC$200,$AG$80:$AG$200),CHOOSE({1,2},$C$80:$C$200,$AF$80:$AF$200),$H$22),4),ROUND(XIRR(CHOOSE({1,2,3,4},$AS$80:$AS$200,$AW$80:$AW$200,$BA$80:$BA$200,$BE$80:$BE$200),CHOOSE({1,2,3,4},$C$80:$C$200,$AV$80:$AV$200,$L$80:$L$200,$BD$80:$BD$200),$H$22),4)),"შეცდომაა!")</f>
        <v>0.72950000000000004</v>
      </c>
      <c r="S3" s="25"/>
      <c r="V3" s="30"/>
      <c r="W3" s="30"/>
      <c r="AB3" s="30"/>
      <c r="AD3" s="30"/>
      <c r="AI3" s="30"/>
      <c r="AJ3" s="30"/>
    </row>
    <row r="4" spans="1:36" ht="3" customHeight="1" thickTop="1">
      <c r="A4" s="25"/>
      <c r="B4" s="28"/>
      <c r="C4" s="26"/>
      <c r="D4" s="27"/>
      <c r="E4" s="27"/>
      <c r="F4" s="25"/>
      <c r="G4" s="25"/>
      <c r="H4" s="31"/>
      <c r="I4" s="25"/>
      <c r="J4" s="25"/>
      <c r="K4" s="25"/>
      <c r="L4" s="25"/>
      <c r="M4" s="25"/>
      <c r="N4" s="25"/>
      <c r="O4" s="25"/>
      <c r="P4" s="25"/>
      <c r="Q4" s="25"/>
      <c r="R4" s="25"/>
      <c r="S4" s="25"/>
    </row>
    <row r="5" spans="1:36" ht="3" customHeight="1">
      <c r="A5" s="32"/>
      <c r="B5" s="33"/>
      <c r="C5" s="34"/>
      <c r="D5" s="35"/>
      <c r="E5" s="35"/>
      <c r="F5" s="32"/>
      <c r="G5" s="32"/>
      <c r="H5" s="36"/>
      <c r="I5" s="32"/>
      <c r="J5" s="32"/>
      <c r="K5" s="32"/>
      <c r="L5" s="32"/>
      <c r="M5" s="32"/>
      <c r="N5" s="32"/>
      <c r="O5" s="32"/>
      <c r="P5" s="32"/>
      <c r="Q5" s="32"/>
      <c r="R5" s="32"/>
      <c r="S5" s="32"/>
    </row>
    <row r="6" spans="1:36" ht="3" customHeight="1" thickBot="1">
      <c r="A6" s="25"/>
      <c r="B6" s="26"/>
      <c r="C6" s="26"/>
      <c r="D6" s="27"/>
      <c r="E6" s="27"/>
      <c r="F6" s="25"/>
      <c r="G6" s="25"/>
      <c r="H6" s="25"/>
      <c r="I6" s="25"/>
      <c r="J6" s="25"/>
      <c r="K6" s="25"/>
      <c r="L6" s="25"/>
      <c r="M6" s="25"/>
      <c r="N6" s="25"/>
      <c r="O6" s="25"/>
      <c r="P6" s="25"/>
      <c r="Q6" s="25"/>
      <c r="R6" s="25"/>
      <c r="S6" s="25"/>
    </row>
    <row r="7" spans="1:36" ht="12" customHeight="1" thickTop="1" thickBot="1">
      <c r="A7" s="25"/>
      <c r="B7" s="28" t="s">
        <v>188</v>
      </c>
      <c r="C7" s="26"/>
      <c r="D7" s="27"/>
      <c r="E7" s="27"/>
      <c r="F7" s="25"/>
      <c r="G7" s="25"/>
      <c r="H7" s="29" t="str">
        <f>IFERROR(IF(OR($F$46="",$G$46="",$H$46=""),ROUND(XIRR(CHOOSE({1,2},$AT$80:$AT$212,$AW$80:$AW$212),CHOOSE({1,2},$C$80:$C$212,$AV$80:$AV$212),$H$22),4),ROUND(XIRR(CHOOSE({1,2,3,4},$AT$80:$AT$212,$AW$80:$AW$212,$BB$80:$BB$212,$BE$80:$BE$212),CHOOSE({1,2,3,4},$C$80:$C$212,$AV$80:$AV$212,$L$80:$L$212,$BD$80:$BD$212),$H$22),4)),"შეცდომაა!")</f>
        <v>შეცდომაა!</v>
      </c>
      <c r="I7" s="25"/>
      <c r="J7" s="25"/>
      <c r="K7" s="25"/>
      <c r="L7" s="28" t="s">
        <v>187</v>
      </c>
      <c r="M7" s="25"/>
      <c r="N7" s="25"/>
      <c r="O7" s="25"/>
      <c r="P7" s="25"/>
      <c r="Q7" s="25"/>
      <c r="R7" s="29" t="str">
        <f>IFERROR(IF(OR($F$46="",$G$46="",$H$46=""),ROUND(XIRR(CHOOSE({1,2},$AU$80:$AU$212,$AW$80:$AW$212),CHOOSE({1,2},$C$80:$C$212,$AV$80:$AV$212),$H$22),4),ROUND(XIRR(CHOOSE({1,2,3,4},$AU$80:$AU$212,$AW$80:$AW$212,$BC$80:$BC$212,$BE$80:$BE$212),CHOOSE({1,2,3,4},$C$80:$C$212,$AV$80:$AV$212,$L$80:$L$212,$BD$80:$BD$212),$H$22),4)),"შეცდომაა!")</f>
        <v>შეცდომაა!</v>
      </c>
      <c r="S7" s="25"/>
      <c r="AD7" s="30"/>
    </row>
    <row r="8" spans="1:36" ht="3" customHeight="1" thickTop="1">
      <c r="A8" s="25"/>
      <c r="B8" s="28"/>
      <c r="C8" s="26"/>
      <c r="D8" s="27"/>
      <c r="E8" s="27"/>
      <c r="F8" s="25"/>
      <c r="G8" s="25"/>
      <c r="H8" s="31"/>
      <c r="I8" s="25"/>
      <c r="J8" s="25"/>
      <c r="K8" s="25"/>
      <c r="L8" s="25"/>
      <c r="M8" s="25"/>
      <c r="N8" s="25"/>
      <c r="O8" s="25"/>
      <c r="P8" s="25"/>
      <c r="Q8" s="25"/>
      <c r="R8" s="25"/>
      <c r="S8" s="25"/>
    </row>
    <row r="9" spans="1:36" ht="3" customHeight="1">
      <c r="A9" s="37"/>
      <c r="B9" s="37"/>
      <c r="C9" s="37"/>
      <c r="D9" s="37"/>
      <c r="E9" s="37"/>
      <c r="F9" s="37"/>
      <c r="G9" s="37"/>
      <c r="H9" s="37"/>
      <c r="I9" s="37"/>
      <c r="J9" s="37"/>
      <c r="K9" s="37"/>
      <c r="L9" s="37"/>
      <c r="M9" s="37"/>
      <c r="N9" s="37"/>
      <c r="O9" s="37"/>
      <c r="P9" s="37"/>
      <c r="Q9" s="37"/>
      <c r="R9" s="37"/>
      <c r="S9" s="37"/>
    </row>
    <row r="10" spans="1:36" ht="12" customHeight="1">
      <c r="A10" s="37"/>
      <c r="B10" s="38" t="s">
        <v>189</v>
      </c>
      <c r="C10" s="37"/>
      <c r="D10" s="37"/>
      <c r="E10" s="37"/>
      <c r="F10" s="654" t="str">
        <f>საქმიანობა!B26</f>
        <v>ანუიტეტური</v>
      </c>
      <c r="G10" s="655"/>
      <c r="H10" s="656"/>
      <c r="I10" s="37"/>
      <c r="J10" s="657" t="str">
        <f>IF($H$22="-","აღნიშნული სესხის თანხაზე და/ან ვადაზე არ გაიცემა სესხი! გთხოვთ გადახედოთ სესხის პირობებს!",IF($H$3&gt;50%,"ეფექტური საპროცენტო განაკვეთი მეტია 50%-ზე! გთხოვთ დააკორექტიროთ გაწითლებული უჯრიდან ერთ-ერთი ან რამოდენიმე!",IF(AND($H$14&lt;=4000,$H$3&lt;=49%),"ესგ უნდა იყოს 50%-თან მაქსიმალურად მიახლოვებული! გთხოვთ გაზარდოთ გაწითლებული ველები!",IF(MIN($F$81:$F$200)&lt;0,"დაფიქსირდა შეცდომა! გთხოვთ ჩაასწორეთ სესხის თანხა / ვადა / პროცენტი / გრაფიკი!",""))))</f>
        <v/>
      </c>
      <c r="K10" s="37"/>
      <c r="L10" s="38" t="s">
        <v>491</v>
      </c>
      <c r="M10" s="37"/>
      <c r="N10" s="37"/>
      <c r="O10" s="37"/>
      <c r="P10" s="37"/>
      <c r="Q10" s="37"/>
      <c r="R10" s="39"/>
      <c r="S10" s="37"/>
    </row>
    <row r="11" spans="1:36" ht="3" customHeight="1">
      <c r="A11" s="37"/>
      <c r="B11" s="37"/>
      <c r="C11" s="37"/>
      <c r="D11" s="37"/>
      <c r="E11" s="37"/>
      <c r="F11" s="37"/>
      <c r="G11" s="37"/>
      <c r="H11" s="37"/>
      <c r="I11" s="37"/>
      <c r="J11" s="657"/>
      <c r="K11" s="37"/>
      <c r="L11" s="37"/>
      <c r="M11" s="37"/>
      <c r="N11" s="37"/>
      <c r="O11" s="37"/>
      <c r="P11" s="37"/>
      <c r="Q11" s="37"/>
      <c r="R11" s="37"/>
      <c r="S11" s="37"/>
    </row>
    <row r="12" spans="1:36" ht="12" customHeight="1">
      <c r="A12" s="37"/>
      <c r="B12" s="38" t="str">
        <f>IF(F10="ანუიტეტური","",IF(OR(F10="საშეღავათო",F10="ნულოვანი საშეღავათო"),CONCATENATE(F10," პერიოდი (თვე)"),IF(OR(F10="ასიმეტრიული",F10="ასიმეტრიული პროცენტით"),"გთხოვთ შეავსოთ შესატანი ძირი თანხები",IF(F10="სამომხმარებლო","სამომხმარებლო სესხის ჯგუფი",IF(F10="ბიზნეს ოვერდრაფტი","",IF(F10="საკრედიტო ბარათი","",IF(F10="დეპოზიტით უზრუნველყოფილი","",)))))))</f>
        <v/>
      </c>
      <c r="C12" s="37"/>
      <c r="D12" s="37"/>
      <c r="E12" s="37"/>
      <c r="F12" s="38"/>
      <c r="G12" s="654"/>
      <c r="H12" s="656"/>
      <c r="I12" s="37"/>
      <c r="J12" s="657"/>
      <c r="K12" s="37"/>
      <c r="L12" s="38" t="s">
        <v>492</v>
      </c>
      <c r="M12" s="37"/>
      <c r="N12" s="37"/>
      <c r="O12" s="37"/>
      <c r="P12" s="37"/>
      <c r="Q12" s="37"/>
      <c r="R12" s="40"/>
      <c r="S12" s="37"/>
      <c r="AB12" s="41"/>
    </row>
    <row r="13" spans="1:36" ht="3" customHeight="1">
      <c r="A13" s="37"/>
      <c r="B13" s="37"/>
      <c r="C13" s="37"/>
      <c r="D13" s="37"/>
      <c r="E13" s="37"/>
      <c r="F13" s="37"/>
      <c r="G13" s="37"/>
      <c r="H13" s="37"/>
      <c r="I13" s="37"/>
      <c r="J13" s="657"/>
      <c r="K13" s="37"/>
      <c r="L13" s="37"/>
      <c r="M13" s="37"/>
      <c r="N13" s="37"/>
      <c r="O13" s="37"/>
      <c r="P13" s="37"/>
      <c r="Q13" s="37"/>
      <c r="R13" s="37"/>
      <c r="S13" s="37"/>
    </row>
    <row r="14" spans="1:36" ht="12" customHeight="1">
      <c r="A14" s="37"/>
      <c r="B14" s="38" t="s">
        <v>128</v>
      </c>
      <c r="C14" s="37"/>
      <c r="D14" s="37"/>
      <c r="E14" s="37"/>
      <c r="F14" s="37"/>
      <c r="G14" s="37"/>
      <c r="H14" s="40">
        <f>საქმიანობა!B24</f>
        <v>1500</v>
      </c>
      <c r="I14" s="37"/>
      <c r="J14" s="657"/>
      <c r="K14" s="37"/>
      <c r="L14" s="38" t="s">
        <v>192</v>
      </c>
      <c r="M14" s="37"/>
      <c r="N14" s="37"/>
      <c r="O14" s="37"/>
      <c r="P14" s="37"/>
      <c r="Q14" s="37"/>
      <c r="R14" s="40">
        <v>1.5</v>
      </c>
      <c r="S14" s="37"/>
    </row>
    <row r="15" spans="1:36" ht="3" customHeight="1">
      <c r="A15" s="37"/>
      <c r="B15" s="37"/>
      <c r="C15" s="37"/>
      <c r="D15" s="37"/>
      <c r="E15" s="37"/>
      <c r="F15" s="37"/>
      <c r="G15" s="37"/>
      <c r="H15" s="37"/>
      <c r="I15" s="37"/>
      <c r="J15" s="657"/>
      <c r="K15" s="37"/>
      <c r="L15" s="37"/>
      <c r="M15" s="37"/>
      <c r="N15" s="37"/>
      <c r="O15" s="37"/>
      <c r="P15" s="37"/>
      <c r="Q15" s="37"/>
      <c r="R15" s="37"/>
      <c r="S15" s="37"/>
    </row>
    <row r="16" spans="1:36" ht="12" customHeight="1">
      <c r="A16" s="37"/>
      <c r="B16" s="38" t="s">
        <v>131</v>
      </c>
      <c r="C16" s="37"/>
      <c r="D16" s="37"/>
      <c r="E16" s="37"/>
      <c r="F16" s="37"/>
      <c r="G16" s="37"/>
      <c r="H16" s="42" t="s">
        <v>144</v>
      </c>
      <c r="I16" s="37"/>
      <c r="J16" s="657"/>
      <c r="K16" s="37"/>
      <c r="L16" s="38" t="s">
        <v>193</v>
      </c>
      <c r="M16" s="37"/>
      <c r="N16" s="37"/>
      <c r="O16" s="37"/>
      <c r="P16" s="43"/>
      <c r="Q16" s="44" t="str">
        <f>IF(AND(H16="GEL",(H14-I24)*R16&lt;0.5,P16="",F10&lt;&gt;"დეპოზიტით უზრუნველყოფილი"),"Min GEL 0.5",IF(AND(H16="USD",H14*R16&lt;0.2,P16="",F10&lt;&gt;"დეპოზიტით უზრუნველყოფილი"),"Min USD 0.2",""))</f>
        <v/>
      </c>
      <c r="R16" s="45">
        <f>IF($P$16&lt;&gt;"",$P$16,IF(AND($H$16=$CI$82,$R$14=$CJ$82),$CK$82,IF(AND($H$16=$CI$81,$R$14=$CJ$81),$CK$81,IF(AND($H$16=$CI$85,$R$14=$CJ$85),$CK$85,IF(AND($H$16=$CI$84,$R$14=$CJ$84),$CK$84,0)))))</f>
        <v>5.0000000000000001E-3</v>
      </c>
      <c r="S16" s="46"/>
    </row>
    <row r="17" spans="1:34" ht="3" customHeight="1">
      <c r="A17" s="37"/>
      <c r="B17" s="37"/>
      <c r="C17" s="37"/>
      <c r="D17" s="37"/>
      <c r="E17" s="37"/>
      <c r="F17" s="37"/>
      <c r="G17" s="37"/>
      <c r="H17" s="37"/>
      <c r="I17" s="37"/>
      <c r="J17" s="657"/>
      <c r="K17" s="37"/>
      <c r="L17" s="37"/>
      <c r="M17" s="37"/>
      <c r="N17" s="37"/>
      <c r="O17" s="37"/>
      <c r="P17" s="37"/>
      <c r="Q17" s="37"/>
      <c r="R17" s="37"/>
      <c r="S17" s="37"/>
    </row>
    <row r="18" spans="1:34" ht="12" customHeight="1">
      <c r="A18" s="37"/>
      <c r="B18" s="38" t="s">
        <v>194</v>
      </c>
      <c r="C18" s="37"/>
      <c r="D18" s="37"/>
      <c r="E18" s="37"/>
      <c r="F18" s="37"/>
      <c r="G18" s="37"/>
      <c r="H18" s="47">
        <v>2.6223000000000001</v>
      </c>
      <c r="I18" s="37"/>
      <c r="J18" s="657"/>
      <c r="K18" s="37"/>
      <c r="L18" s="38" t="str">
        <f>IF(H16="GEL","თანხის განაღდების საკომისიო (ლარი)","თანხის განაღდების საკომისიო (აშშ დ.)")</f>
        <v>თანხის განაღდების საკომისიო (ლარი)</v>
      </c>
      <c r="M18" s="37"/>
      <c r="N18" s="37"/>
      <c r="O18" s="37"/>
      <c r="P18" s="40"/>
      <c r="Q18" s="37"/>
      <c r="R18" s="48">
        <f>IF($P$18&lt;&gt;"",$P$18,IF(AND($H$16="GEL",($H$14-$I$24)*$R$16&lt;0.5,$P$16=""),0.5,IF(AND($H$16="USD",($H$14-$I$24)*$R$16&lt;0.2,$P$16=""),0.2,ROUND(($H$14-$I$24)*$R$16,2))))</f>
        <v>7.28</v>
      </c>
      <c r="S18" s="37"/>
    </row>
    <row r="19" spans="1:34" ht="3" customHeight="1">
      <c r="A19" s="37"/>
      <c r="B19" s="38"/>
      <c r="C19" s="37"/>
      <c r="D19" s="37"/>
      <c r="E19" s="37"/>
      <c r="F19" s="37"/>
      <c r="G19" s="37"/>
      <c r="H19" s="37"/>
      <c r="I19" s="37"/>
      <c r="J19" s="657"/>
      <c r="K19" s="37"/>
      <c r="L19" s="38"/>
      <c r="M19" s="37"/>
      <c r="N19" s="37"/>
      <c r="O19" s="37"/>
      <c r="P19" s="37"/>
      <c r="Q19" s="37"/>
      <c r="R19" s="37"/>
      <c r="S19" s="37"/>
    </row>
    <row r="20" spans="1:34" ht="12" customHeight="1">
      <c r="A20" s="49"/>
      <c r="B20" s="38" t="str">
        <f>IF(F10="დეპოზიტით უზრუნველყოფილი","სესხის ვადა (დღე)","სესხის ვადა (თვე)")</f>
        <v>სესხის ვადა (თვე)</v>
      </c>
      <c r="C20" s="37"/>
      <c r="D20" s="37"/>
      <c r="E20" s="37"/>
      <c r="F20" s="37"/>
      <c r="G20" s="48" t="str">
        <f>IF(F10="დეპოზიტით უზრუნველყოფილი",DATE(F30,G30,H30)-DATE(F28,G28,H28),"")</f>
        <v/>
      </c>
      <c r="H20" s="50">
        <f>საქმიანობა!B25</f>
        <v>18</v>
      </c>
      <c r="I20" s="49">
        <v>12</v>
      </c>
      <c r="J20" s="657"/>
      <c r="K20" s="37"/>
      <c r="L20" s="38" t="s">
        <v>195</v>
      </c>
      <c r="M20" s="37"/>
      <c r="N20" s="37"/>
      <c r="O20" s="37"/>
      <c r="P20" s="43">
        <f>საქმიანობა!G29</f>
        <v>6.0000000000000001E-3</v>
      </c>
      <c r="Q20" s="37"/>
      <c r="R20" s="45">
        <f>IF($P$20&lt;&gt;"",$P$20,
IF(AND($F$10="საშეღავათო",$H$16="GEL",$H$20&gt;=BX80,$H$20&lt;=BX81,G12&gt;=4),CG84,
IF(AND($F$10="ნულოვანი საშეღავათო",$H$16="GEL",$H$20&gt;=BX80,$H$20&lt;=BX81,G12&gt;=3),CG84,
IF(AND(OR($F$10="ანუიტეტური",$F$10="საშეღავათო",$F$10="ნულოვანი საშეღავათო",$F$10="ასიმეტრიული",$F$10="ასიმეტრიული პროცენტით"),$H$16="GEL"),VLOOKUP($H$14,$BT$83:$CG$90,14,TRUE),IF(AND(OR($F$10="ანუიტეტური",$F$10="საშეღავათო",$F$10="ნულოვანი საშეღავათო",$F$10="ასიმეტრიული",$F$10="ასიმეტრიული პროცენტით"),$H$16="USD"),VLOOKUP($H$14,$BT$93:$CG$99,14,TRUE),
IF(AND($F$10="სამომხმარებლო",$G$12="დოკ. ხელფასი",$H$16="GEL"),VLOOKUP($H$14,$BT$104:$CG$110,14,TRUE),IF(AND($F$10="სამომხმარებლო",$G$12="დოკ. ხელფასი",$H$16="USD"),VLOOKUP($H$14,$BT$113:$CG$113,14,TRUE),
IF(AND($F$10="სამომხმარებლო",$G$12="შემოს. გზავნილებიდან",$H$16="GEL"),VLOOKUP($H$14,$BT$118:$CG$122,14,TRUE),IF(AND($F$10="სამომხმარებლო",$G$12="შემოს. გზავნილებიდან",$H$16="USD"),VLOOKUP($H$14,$BT$125:$CG$125,14,TRUE),
IF(AND($F$10="ბიზნეს ოვერდრაფტი",$H$16="GEL"),VLOOKUP($H$14,$BT$128:$CG$132,14,TRUE),IF(AND($F$10="ბიზნეს ოვერდრაფტი",$H$16="USD"),VLOOKUP($H$14,$BT$135:$CG$137,14,TRUE),
IF(AND($F$10="დეპოზიტით უზრუნველყოფილი",$H$16="GEL"),VLOOKUP($H$16,$BT$140:$CG$141,14,TRUE),IF(AND($F$10="დეპოზიტით უზრუნველყოფილი",$H$16="USD"),VLOOKUP($H$16,$BT$140:$CG$141,14,TRUE))))))))))))))</f>
        <v>6.0000000000000001E-3</v>
      </c>
      <c r="S20" s="37"/>
    </row>
    <row r="21" spans="1:34" ht="3" customHeight="1">
      <c r="A21" s="37"/>
      <c r="B21" s="37"/>
      <c r="C21" s="37"/>
      <c r="D21" s="37"/>
      <c r="E21" s="37"/>
      <c r="F21" s="37"/>
      <c r="G21" s="37"/>
      <c r="H21" s="37"/>
      <c r="I21" s="37"/>
      <c r="J21" s="657"/>
      <c r="K21" s="37"/>
      <c r="L21" s="37"/>
      <c r="M21" s="37"/>
      <c r="N21" s="37"/>
      <c r="O21" s="37"/>
      <c r="P21" s="37"/>
      <c r="Q21" s="37"/>
      <c r="R21" s="37"/>
      <c r="S21" s="37"/>
    </row>
    <row r="22" spans="1:34" ht="12" customHeight="1">
      <c r="A22" s="49"/>
      <c r="B22" s="38" t="s">
        <v>196</v>
      </c>
      <c r="C22" s="37"/>
      <c r="D22" s="37"/>
      <c r="E22" s="37"/>
      <c r="F22" s="43">
        <v>0.33500000000000002</v>
      </c>
      <c r="G22" s="37"/>
      <c r="H22" s="45">
        <f>IF($F$22&lt;&gt;"",$F$22,
IF(AND($F$10="საშეღავათო",$H$16="GEL",$H$20&gt;=BX80,$H$20&lt;=BX81,G12&gt;=4),BY84,
IF(AND($F$10="ნულოვანი საშეღავათო",$H$16="GEL",$H$20&gt;=BX80,$H$20&lt;=BX81,G12&gt;=3),BY84,
IF(AND(OR($F$10="ანუიტეტური",$F$10="საშეღავათო",$F$10="ნულოვანი საშეღავათო",$F$10="ასიმეტრიული",$F$10="ასიმეტრიული პროცენტით"),$H$16="GEL"),INDEX($BW$83:$CE$90,MATCH(VLOOKUP($H$14,$BT$83:$BV$90,3,TRUE),$BV$83:$BV$90,0),MATCH(HLOOKUP($H$20,$BW$80:$CE$82,3,TRUE),$BW$82:$CE$82,0)),IF(AND(OR($F$10="ანუიტეტური",$F$10="საშეღავათო",$F$10="ნულოვანი საშეღავათო",$F$10="ასიმეტრიული",$F$10="ასიმეტრიული პროცენტით"),$H$16="USD"),VLOOKUP($H$14,$BT$93:$BV$99,3,TRUE),
IF(AND($F$10="სამომხმარებლო",$G$12="დოკ. ხელფასი",$H$16="GEL"),INDEX($BW$104:$CE$110,MATCH(VLOOKUP($H$14,$BT$104:$BV$110,3,TRUE),$BV$104:$BV$110,0),MATCH(HLOOKUP($H$20,$BW$101:$CE$103,3,TRUE),$BW$103:$CE$103,0)),IF(AND($F$10="სამომხმარებლო",$G$12="დოკ. ხელფასი",$H$16="USD"),VLOOKUP($H$14,$BT$113:$BV$113,3,TRUE),
IF(AND($F$10="სამომხმარებლო",$G$12="შემოს. გზავნილებიდან",$H$16="GEL"),INDEX($BW$118:$CE$122,MATCH(VLOOKUP($H$14,$BT$118:$BV$122,3,TRUE),$BV$118:$BV$122,0),MATCH(HLOOKUP($H$20,$BW$115:$CE$117,3,TRUE),$BW$117:$CE$117,0)),IF(AND($F$10="სამომხმარებლო",$G$12="შემოს. გზავნილებიდან",$H$16="USD"),VLOOKUP($H$14,$BT$125:$BV$125,3,TRUE),
IF(AND($F$10="ბიზნეს ოვერდრაფტი",$H$16="GEL"),VLOOKUP($H$14,$BT$128:$BV$132,3,TRUE),IF(AND($F$10="ბიზნეს ოვერდრაფტი",$H$16="USD"),VLOOKUP($H$14,$BT$135:$BV$137,3,TRUE),
IF(AND($F$10="დეპოზიტით უზრუნველყოფილი",$H$16="GEL"),VLOOKUP($H$16,$BT$140:$BV$141,3,TRUE),IF(AND($F$10="დეპოზიტით უზრუნველყოფილი",$H$16="USD"),VLOOKUP($H$16,$BT$140:$BV$141,3,TRUE))))))))))))))</f>
        <v>0.33500000000000002</v>
      </c>
      <c r="I22" s="49">
        <v>365</v>
      </c>
      <c r="J22" s="657"/>
      <c r="K22" s="49"/>
      <c r="L22" s="38" t="s">
        <v>197</v>
      </c>
      <c r="M22" s="49"/>
      <c r="N22" s="49"/>
      <c r="O22" s="49"/>
      <c r="P22" s="49"/>
      <c r="Q22" s="49"/>
      <c r="R22" s="48">
        <v>0</v>
      </c>
      <c r="S22" s="49"/>
      <c r="AB22" s="51"/>
    </row>
    <row r="23" spans="1:34" ht="3" customHeight="1">
      <c r="A23" s="37"/>
      <c r="B23" s="37"/>
      <c r="C23" s="37"/>
      <c r="D23" s="37"/>
      <c r="E23" s="37"/>
      <c r="F23" s="37"/>
      <c r="G23" s="37"/>
      <c r="H23" s="37"/>
      <c r="I23" s="37"/>
      <c r="J23" s="657"/>
      <c r="K23" s="37"/>
      <c r="L23" s="37"/>
      <c r="M23" s="37"/>
      <c r="N23" s="37"/>
      <c r="O23" s="37"/>
      <c r="P23" s="37"/>
      <c r="Q23" s="37"/>
      <c r="R23" s="37"/>
      <c r="S23" s="37"/>
    </row>
    <row r="24" spans="1:34" ht="12" customHeight="1">
      <c r="A24" s="37"/>
      <c r="B24" s="38" t="str">
        <f>IF($F$10="ბიზნეს ოვერდრაფტი","ოვერდრ. გაცემის საკომისიო","სესხის გაცემის საკომისიო")</f>
        <v>სესხის გაცემის საკომისიო</v>
      </c>
      <c r="C24" s="37"/>
      <c r="D24" s="37"/>
      <c r="E24" s="37"/>
      <c r="F24" s="43">
        <v>0.03</v>
      </c>
      <c r="G24" s="44" t="str">
        <f>IF(AND(H16="GEL",H14*H24&lt;20,F24="",F10&lt;&gt;"ბიზნეს ოვერდრაფტი",F10&lt;&gt;"დეპოზიტით უზრუნველყოფილი",H14&gt;3000),"Min GEL 20",IF(AND(H16="USD",H14*H24&lt;10,F24="",F10&lt;&gt;"ბიზნეს ოვერდრაფტი",F10&lt;&gt;"დეპოზიტით უზრუნველყოფილი"),"Min USD 10",""))</f>
        <v/>
      </c>
      <c r="H24" s="45">
        <f>IF($F$24&lt;&gt;"",$F$24,
IF(AND($F$10="საშეღავათო",$H$16="GEL",$H$20&gt;=BX80,$H$20&lt;=BX81,G12&gt;=4),CF84,
IF(AND($F$10="ნულოვანი საშეღავათო",$H$16="GEL",$H$20&gt;=BX80,$H$20&lt;=BX81,G12&gt;=3),CF84,
IF(AND(OR($F$10="ანუიტეტური",$F$10="საშეღავათო",$F$10="ნულოვანი საშეღავათო",$F$10="ასიმეტრიული",$F$10="ასიმეტრიული პროცენტით"),$H$16="GEL"),VLOOKUP($H$14,$BT$83:$CG$90,13,TRUE),IF(AND(OR($F$10="ანუიტეტური",$F$10="საშეღავათო",$F$10="ნულოვანი საშეღავათო",$F$10="ასიმეტრიული",$F$10="ასიმეტრიული პროცენტით"),$H$16="USD"),VLOOKUP($H$14,$BT$93:$CG$99,13,TRUE),
IF(AND($F$10="სამომხმარებლო",$G$12="დოკ. ხელფასი",$H$16="GEL"),VLOOKUP($H$14,$BT$104:$CG$110,13,TRUE),IF(AND($F$10="სამომხმარებლო",$G$12="დოკ. ხელფასი",$H$16="USD"),VLOOKUP($H$14,$BT$113:$CG$113,13,TRUE),
IF(AND($F$10="სამომხმარებლო",$G$12="შემოს. გზავნილებიდან",$H$16="GEL"),VLOOKUP($H$14,$BT$118:$CG$122,13,TRUE),IF(AND($F$10="სამომხმარებლო",$G$12="შემოს. გზავნილებიდან",$H$16="USD"),VLOOKUP($H$14,$BT$125:$CG$125,13,TRUE),
IF(AND($F$10="ბიზნეს ოვერდრაფტი",$H$16="GEL"),VLOOKUP($H$14,$BT$128:$CG$132,13,TRUE),IF(AND($F$10="ბიზნეს ოვერდრაფტი",$H$16="USD"),VLOOKUP($H$14,$BT$135:$CG$137,13,TRUE),
IF(AND($F$10="დეპოზიტით უზრუნველყოფილი",$H$16="GEL"),VLOOKUP($H$16,$BT$140:$CG$141,13,TRUE),IF(AND($F$10="დეპოზიტით უზრუნველყოფილი",$H$16="USD"),VLOOKUP($H$16,$BT$140:$CG$141,13,TRUE))))))))))))))</f>
        <v>0.03</v>
      </c>
      <c r="I24" s="52">
        <f>IF(AND($H$16="GEL",$H$14*$H$24&lt;20,$F$24="",$F$10&lt;&gt;"დეპოზიტით უზრუნველყოფილი",$F$10&lt;&gt;"ბიზნეს ოვერდრაფტი",H14&gt;3000),20,IF(AND($H$16="USD",$H$14*$H$24&lt;10,$F$24="",$F$10&lt;&gt;"დეპოზიტით უზრუნველყოფილი",$F$10&lt;&gt;"ბიზნეს ოვერდრაფტი"),10,$H$14*$H$24))</f>
        <v>45</v>
      </c>
      <c r="J24" s="657"/>
      <c r="K24" s="49"/>
      <c r="L24" s="38" t="str">
        <f>IF(H16="GEL","POS-ით ანგარიშსწორებით საკომისიო (ლარი)","POS-ით ანგარიშსწორებით საკომისიო (აშშ დოლარი)")</f>
        <v>POS-ით ანგარიშსწორებით საკომისიო (ლარი)</v>
      </c>
      <c r="M24" s="49"/>
      <c r="N24" s="49"/>
      <c r="O24" s="49"/>
      <c r="P24" s="49"/>
      <c r="Q24" s="49"/>
      <c r="R24" s="48">
        <v>0</v>
      </c>
      <c r="S24" s="49"/>
      <c r="AB24" s="53"/>
    </row>
    <row r="25" spans="1:34" ht="3" customHeight="1">
      <c r="A25" s="37"/>
      <c r="B25" s="37"/>
      <c r="C25" s="37"/>
      <c r="D25" s="37"/>
      <c r="E25" s="37"/>
      <c r="F25" s="37"/>
      <c r="G25" s="37"/>
      <c r="H25" s="37"/>
      <c r="I25" s="37"/>
      <c r="J25" s="657"/>
      <c r="K25" s="37"/>
      <c r="L25" s="37"/>
      <c r="M25" s="37"/>
      <c r="N25" s="37"/>
      <c r="O25" s="37"/>
      <c r="P25" s="37"/>
      <c r="Q25" s="37"/>
      <c r="R25" s="37"/>
      <c r="S25" s="37"/>
    </row>
    <row r="26" spans="1:34" ht="12" customHeight="1">
      <c r="A26" s="37"/>
      <c r="B26" s="37"/>
      <c r="C26" s="37"/>
      <c r="D26" s="37"/>
      <c r="E26" s="37"/>
      <c r="F26" s="54" t="s">
        <v>198</v>
      </c>
      <c r="G26" s="54" t="s">
        <v>199</v>
      </c>
      <c r="H26" s="54" t="s">
        <v>200</v>
      </c>
      <c r="I26" s="37"/>
      <c r="J26" s="657"/>
      <c r="K26" s="26"/>
      <c r="L26" s="26"/>
      <c r="M26" s="26"/>
      <c r="N26" s="26"/>
      <c r="O26" s="26"/>
      <c r="P26" s="26"/>
      <c r="Q26" s="26"/>
      <c r="R26" s="26"/>
      <c r="S26" s="26"/>
    </row>
    <row r="27" spans="1:34" ht="3" customHeight="1">
      <c r="A27" s="37"/>
      <c r="B27" s="37"/>
      <c r="C27" s="37"/>
      <c r="D27" s="37"/>
      <c r="E27" s="37"/>
      <c r="F27" s="37"/>
      <c r="G27" s="37"/>
      <c r="H27" s="37"/>
      <c r="I27" s="37"/>
      <c r="J27" s="657"/>
      <c r="K27" s="26"/>
      <c r="L27" s="37"/>
      <c r="M27" s="37"/>
      <c r="N27" s="37"/>
      <c r="O27" s="55"/>
      <c r="P27" s="55"/>
      <c r="Q27" s="55"/>
      <c r="R27" s="37"/>
      <c r="S27" s="37"/>
    </row>
    <row r="28" spans="1:34" ht="12" customHeight="1">
      <c r="A28" s="37"/>
      <c r="B28" s="38" t="s">
        <v>132</v>
      </c>
      <c r="C28" s="37"/>
      <c r="D28" s="37"/>
      <c r="E28" s="37"/>
      <c r="F28" s="50">
        <v>2019</v>
      </c>
      <c r="G28" s="50">
        <v>3</v>
      </c>
      <c r="H28" s="50">
        <v>12</v>
      </c>
      <c r="I28" s="37"/>
      <c r="J28" s="657"/>
      <c r="K28" s="26"/>
      <c r="L28" s="38" t="s">
        <v>201</v>
      </c>
      <c r="M28" s="37"/>
      <c r="N28" s="37"/>
      <c r="O28" s="659" t="s">
        <v>190</v>
      </c>
      <c r="P28" s="660"/>
      <c r="Q28" s="661"/>
      <c r="R28" s="40">
        <v>2000</v>
      </c>
      <c r="S28" s="37"/>
    </row>
    <row r="29" spans="1:34" ht="3" customHeight="1">
      <c r="A29" s="37"/>
      <c r="B29" s="37"/>
      <c r="C29" s="37"/>
      <c r="D29" s="37"/>
      <c r="E29" s="37"/>
      <c r="F29" s="37"/>
      <c r="G29" s="37"/>
      <c r="H29" s="37"/>
      <c r="I29" s="37"/>
      <c r="J29" s="56"/>
      <c r="K29" s="26"/>
      <c r="L29" s="37"/>
      <c r="M29" s="37"/>
      <c r="N29" s="37"/>
      <c r="O29" s="57"/>
      <c r="P29" s="57"/>
      <c r="Q29" s="57"/>
      <c r="R29" s="37"/>
      <c r="S29" s="37"/>
    </row>
    <row r="30" spans="1:34" ht="12" customHeight="1">
      <c r="A30" s="37"/>
      <c r="B30" s="38" t="str">
        <f>IF(F10="დეპოზიტით უზრუნველყოფილი","დეპოზიტის დასრულების თარიღი","პირველი გადახდის თარიღი")</f>
        <v>პირველი გადახდის თარიღი</v>
      </c>
      <c r="C30" s="37"/>
      <c r="D30" s="37"/>
      <c r="E30" s="37"/>
      <c r="F30" s="50">
        <v>2019</v>
      </c>
      <c r="G30" s="50">
        <v>4</v>
      </c>
      <c r="H30" s="50">
        <v>15</v>
      </c>
      <c r="I30" s="37"/>
      <c r="J30" s="56"/>
      <c r="K30" s="26"/>
      <c r="L30" s="38" t="str">
        <f>IF(O28="ანუიტეტური","",IF(OR(O28="საშეღავათო",O28="ნულოვანი საშეღავათო"),CONCATENATE(O28," პერიოდი (თვე)"),IF(OR(O28="ასიმეტრიული",O28="ასიმეტრიული პროცენტით"),"გთხოვთ შეავსოთ შესატანი ძირი თანხები",IF(O28="სამომხმარებლო","სამომხმარებლო სესხის ჯგუფი",IF(O28="ბიზნეს ოვერდრაფტი","",IF(O28="საკრედიტო ბარათი","",IF(O28="დეპოზიტით უზრუნველყოფილი","",)))))))</f>
        <v/>
      </c>
      <c r="M30" s="37"/>
      <c r="N30" s="37"/>
      <c r="O30" s="37"/>
      <c r="P30" s="38"/>
      <c r="Q30" s="654">
        <v>1</v>
      </c>
      <c r="R30" s="656"/>
      <c r="S30" s="37"/>
    </row>
    <row r="31" spans="1:34" ht="3" customHeight="1">
      <c r="A31" s="37"/>
      <c r="B31" s="37"/>
      <c r="C31" s="37"/>
      <c r="D31" s="37"/>
      <c r="E31" s="37"/>
      <c r="F31" s="37"/>
      <c r="G31" s="37"/>
      <c r="H31" s="37"/>
      <c r="I31" s="37"/>
      <c r="J31" s="37"/>
      <c r="K31" s="26"/>
      <c r="L31" s="37"/>
      <c r="M31" s="37"/>
      <c r="N31" s="37"/>
      <c r="O31" s="37"/>
      <c r="P31" s="37"/>
      <c r="Q31" s="37"/>
      <c r="R31" s="37"/>
      <c r="S31" s="37"/>
    </row>
    <row r="32" spans="1:34" ht="12" customHeight="1">
      <c r="A32" s="37"/>
      <c r="B32" s="58" t="str">
        <f>IF(F10="დეპოზიტით უზრუნველყოფილი","","მეორე გადახდის თარიღი")</f>
        <v>მეორე გადახდის თარიღი</v>
      </c>
      <c r="C32" s="37"/>
      <c r="D32" s="37"/>
      <c r="E32" s="37"/>
      <c r="F32" s="50">
        <v>2019</v>
      </c>
      <c r="G32" s="50">
        <v>5</v>
      </c>
      <c r="H32" s="50">
        <v>15</v>
      </c>
      <c r="I32" s="37"/>
      <c r="J32" s="37"/>
      <c r="K32" s="26"/>
      <c r="L32" s="38" t="str">
        <f>IF(P32="GEL","სესხის ვალუტა/ვადა","სესხის ვალუტა/კურსი/ვადა")</f>
        <v>სესხის ვალუტა/ვადა</v>
      </c>
      <c r="M32" s="37"/>
      <c r="N32" s="37"/>
      <c r="O32" s="37"/>
      <c r="P32" s="42" t="s">
        <v>144</v>
      </c>
      <c r="Q32" s="47">
        <v>3</v>
      </c>
      <c r="R32" s="50">
        <v>12</v>
      </c>
      <c r="S32" s="37"/>
      <c r="U32" s="51"/>
      <c r="V32" s="59"/>
      <c r="W32" s="51"/>
      <c r="X32" s="51"/>
      <c r="Y32" s="51"/>
      <c r="Z32" s="51"/>
      <c r="AC32" s="51"/>
      <c r="AE32" s="51"/>
      <c r="AF32" s="51"/>
      <c r="AG32" s="51"/>
      <c r="AH32" s="51"/>
    </row>
    <row r="33" spans="1:61" ht="3" customHeight="1">
      <c r="A33" s="37"/>
      <c r="B33" s="37"/>
      <c r="C33" s="37"/>
      <c r="D33" s="37"/>
      <c r="E33" s="37"/>
      <c r="F33" s="37"/>
      <c r="G33" s="37"/>
      <c r="H33" s="37"/>
      <c r="I33" s="37"/>
      <c r="J33" s="37"/>
      <c r="K33" s="26"/>
      <c r="L33" s="37"/>
      <c r="M33" s="37"/>
      <c r="N33" s="37"/>
      <c r="O33" s="37"/>
      <c r="P33" s="37"/>
      <c r="Q33" s="37"/>
      <c r="R33" s="37"/>
      <c r="S33" s="37"/>
      <c r="X33" s="51"/>
      <c r="Y33" s="51"/>
    </row>
    <row r="34" spans="1:61" ht="12" customHeight="1">
      <c r="A34" s="37"/>
      <c r="B34" s="38" t="str">
        <f>IF(F10="დეპოზიტით უზრუნველყოფილი","","ბოლო გადახდის თარიღი")</f>
        <v>ბოლო გადახდის თარიღი</v>
      </c>
      <c r="C34" s="37"/>
      <c r="D34" s="37"/>
      <c r="E34" s="37"/>
      <c r="F34" s="60">
        <f>YEAR(MAX($C$80:$C$200))</f>
        <v>2020</v>
      </c>
      <c r="G34" s="60">
        <f>MONTH(MAX($C$80:$C$200))</f>
        <v>9</v>
      </c>
      <c r="H34" s="60">
        <f>DAY(MAX($C$80:$C$200))</f>
        <v>15</v>
      </c>
      <c r="I34" s="37"/>
      <c r="J34" s="37"/>
      <c r="K34" s="26"/>
      <c r="L34" s="38" t="s">
        <v>202</v>
      </c>
      <c r="M34" s="37"/>
      <c r="N34" s="37"/>
      <c r="O34" s="43"/>
      <c r="P34" s="45">
        <f>IF($O$34&lt;&gt;"",$O$34,
IF(AND($O$28="საშეღავათო",$P$32="GEL",$R$32&gt;=BX80,$R$32&lt;=BX81,Q30&gt;=4),BY84,
IF(AND($O$28="ნულოვანი საშეღავათო",$P$32="GEL",$R$32&gt;=BX80,$R$32&lt;=BX81,Q30&gt;=3),BY84,
IF(AND(OR($O$28="ანუიტეტური",$O$28="საშეღავათო",$O$28="ნულოვანი საშეღავათო",$O$28="ასიმეტრიული",$O$28="ასიმეტრიული პროცენტით"),$P$32="GEL"),INDEX($BW$83:$CE$90,MATCH(VLOOKUP($R$28,$BT$83:$BV$90,3,TRUE),$BV$83:$BV$90,0),MATCH(HLOOKUP($R$32,$BW$80:$CE$82,3,TRUE),$BW$82:$CE$82,0)),IF(AND(OR($O$28="ანუიტეტური",$O$28="საშეღავათო",$O$28="ნულოვანი საშეღავათო",$O$28="ასიმეტრიული",$O$28="ასიმეტრიული პროცენტით"),$P$32="USD"),VLOOKUP($R$28,$BT$93:$BV$99,3,TRUE),
IF(AND($O$28="სამომხმარებლო",$Q$30="დოკ. ხელფასი",$P$32="GEL"),INDEX($BW$104:$CE$110,MATCH(VLOOKUP($R$28,$BT$104:$BV$110,3,TRUE),$BV$104:$BV$110,0),MATCH(HLOOKUP($R$32,$BW$101:$CE$103,3,TRUE),$BW$103:$CE$103,0)),IF(AND($O$28="სამომხმარებლო",$Q$30="დოკ. ხელფასი",$P$32="USD"),VLOOKUP($R$28,$BT$113:$BV$113,3,TRUE),
IF(AND($O$28="სამომხმარებლო",$Q$30="შემოს. გზავნილებიდან",$P$32="GEL"),INDEX($BW$118:$CE$122,MATCH(VLOOKUP($R$28,$BT$118:$BV$122,3,TRUE),$BV$118:$BV$122,0),MATCH(HLOOKUP($R$32,$BW$115:$CE$117,3,TRUE),$BW$117:$CE$117,0)),IF(AND($O$28="სამომხმარებლო",$Q$30="შემოს. გზავნილებიდან",$P$32="USD"),VLOOKUP($R$28,$BT$125:$BV$125,3,TRUE),
IF(AND($O$28="ბიზნეს ოვერდრაფტი",$P$32="GEL"),VLOOKUP($R$28,$BT$128:$BV$132,3,TRUE),IF(AND($O$28="ბიზნეს ოვერდრაფტი",$P$32="USD"),VLOOKUP($R$28,$BT$135:$BV$137,3,TRUE),
IF(AND($O$28="დეპოზიტით უზრუნველყოფილი",$P$33="GEL"),VLOOKUP($P$32,$BT$140:$BV$141,3,TRUE),IF(AND($O$28="დეპოზიტით უზრუნველყოფილი",$P$32="USD"),VLOOKUP($P$32,$BT$140:$BV$141,3,TRUE))))))))))))))</f>
        <v>0.28000000000000003</v>
      </c>
      <c r="Q34" s="43"/>
      <c r="R34" s="45">
        <f>IF($Q$34&lt;&gt;"",$Q$34,
IF(AND($O$28="საშეღავათო",$P$32="GEL",$R$32&gt;=BX80,$R$32&lt;=BX81,Q30&gt;=4),CF84,
IF(AND($O$28="ნულოვანი საშეღავათო",$P$32="GEL",$R$32&gt;=BX80,$R$32&lt;=BX81,Q30&gt;=3),CF84,
IF(AND(OR($O$28="ანუიტეტური",$O$28="საშეღავათო",$O$28="ნულოვანი საშეღავათო",$O$28="ასიმეტრიული",$O$28="ასიმეტრიული პროცენტით"),$P$32="GEL"),VLOOKUP($R$28,$BT$83:$CG$90,13,TRUE),IF(AND(OR($O$28="ანუიტეტური",$O$28="საშეღავათო",$O$28="ნულოვანი საშეღავათო",$O$28="ასიმეტრიული",$O$28="ასიმეტრიული პროცენტით"),$P$32="USD"),VLOOKUP($R$28,$BT$93:$CG$99,13,TRUE),
IF(AND($O$28="სამომხმარებლო",$Q$30="დოკ. ხელფასი",$P$32="GEL"),VLOOKUP($R$28,$BT$104:$CG$110,13,TRUE),IF(AND($O$28="სამომხმარებლო",$Q$30="დოკ. ხელფასი",$P$32="USD"),VLOOKUP($R$28,$BT$113:$CG$113,13,TRUE),
IF(AND($O$28="სამომხმარებლო",$Q$30="შემოს. გზავნილებიდან",$P$32="GEL"),VLOOKUP($R$28,$BT$118:$CG$122,13,TRUE),IF(AND($O$28="სამომხმარებლო",$Q$30="შემოს. გზავნილებიდან",$P$32="USD"),VLOOKUP($R$28,$BT$125:$CG$125,13,TRUE),
IF(AND($O$28="ბიზნეს ოვერდრაფტი",$P$32="GEL"),VLOOKUP($R$28,$BT$128:$CG$132,13,TRUE),IF(AND($O$28="ბიზნეს ოვერდრაფტი",$P$32="USD"),VLOOKUP($R$28,$BT$135:$CG$137,13,TRUE),
IF(AND($O$28="დეპოზიტით უზრუნველყოფილი",$P$32="GEL"),VLOOKUP($P$32,$BT$140:$CG$141,13,TRUE),IF(AND($O$28="დეპოზიტით უზრუნველყოფილი",$P$32="USD"),VLOOKUP($P$32,$BT$140:$CG$141,13,TRUE))))))))))))))</f>
        <v>0.01</v>
      </c>
      <c r="S34" s="52">
        <f>IF(AND($P$32="GEL",$R$28*$R$34&lt;20,$Q$34="",$O$28&lt;&gt;"დეპოზიტით უზრუნველყოფილი",$O$28&lt;&gt;"ბიზნეს ოვერდრაფტი",R28&gt;3000),20,IF(AND($P$32="USD",$R$28*$R$34&lt;10,$Q$34="",$O$28&lt;&gt;"დეპოზიტით უზრუნველყოფილი",$O$28&lt;&gt;"ბიზნეს ოვერდრაფტი"),10,$R$28*$R$34))</f>
        <v>20</v>
      </c>
      <c r="U34" s="51"/>
      <c r="V34" s="59"/>
      <c r="W34" s="51"/>
      <c r="X34" s="51"/>
      <c r="Y34" s="51"/>
      <c r="Z34" s="51"/>
      <c r="BH34" s="51"/>
      <c r="BI34" s="51"/>
    </row>
    <row r="35" spans="1:61" ht="3" customHeight="1">
      <c r="A35" s="37"/>
      <c r="B35" s="37"/>
      <c r="C35" s="37"/>
      <c r="D35" s="37"/>
      <c r="E35" s="37"/>
      <c r="F35" s="37"/>
      <c r="G35" s="37"/>
      <c r="H35" s="37"/>
      <c r="I35" s="37"/>
      <c r="J35" s="37"/>
      <c r="K35" s="26"/>
      <c r="L35" s="37"/>
      <c r="M35" s="37"/>
      <c r="N35" s="37"/>
      <c r="O35" s="37"/>
      <c r="P35" s="37"/>
      <c r="Q35" s="37"/>
      <c r="R35" s="37"/>
      <c r="S35" s="37"/>
      <c r="X35" s="51"/>
      <c r="Y35" s="51"/>
    </row>
    <row r="36" spans="1:61" ht="12" customHeight="1">
      <c r="A36" s="37"/>
      <c r="B36" s="38" t="s">
        <v>203</v>
      </c>
      <c r="C36" s="37"/>
      <c r="D36" s="37"/>
      <c r="E36" s="37"/>
      <c r="F36" s="662" t="s">
        <v>204</v>
      </c>
      <c r="G36" s="662"/>
      <c r="H36" s="50">
        <v>15</v>
      </c>
      <c r="I36" s="37"/>
      <c r="J36" s="37"/>
      <c r="K36" s="26"/>
      <c r="L36" s="38" t="s">
        <v>205</v>
      </c>
      <c r="M36" s="37"/>
      <c r="N36" s="37"/>
      <c r="O36" s="37"/>
      <c r="P36" s="37"/>
      <c r="Q36" s="39"/>
      <c r="R36" s="40"/>
      <c r="S36" s="37"/>
      <c r="U36" s="51"/>
      <c r="W36" s="51"/>
      <c r="X36" s="51"/>
      <c r="Y36" s="51"/>
      <c r="Z36" s="51"/>
      <c r="AB36" s="61"/>
      <c r="AC36" s="62"/>
    </row>
    <row r="37" spans="1:61" ht="3" customHeight="1">
      <c r="A37" s="37"/>
      <c r="B37" s="37"/>
      <c r="C37" s="37"/>
      <c r="D37" s="37"/>
      <c r="E37" s="37"/>
      <c r="F37" s="37"/>
      <c r="G37" s="37"/>
      <c r="H37" s="37"/>
      <c r="I37" s="37"/>
      <c r="J37" s="37"/>
      <c r="K37" s="26"/>
      <c r="L37" s="37"/>
      <c r="M37" s="37"/>
      <c r="N37" s="37"/>
      <c r="O37" s="37"/>
      <c r="P37" s="37"/>
      <c r="Q37" s="37"/>
      <c r="R37" s="37"/>
      <c r="S37" s="37"/>
      <c r="U37" s="51"/>
    </row>
    <row r="38" spans="1:61" ht="12" customHeight="1">
      <c r="A38" s="37"/>
      <c r="B38" s="37"/>
      <c r="C38" s="37"/>
      <c r="D38" s="37"/>
      <c r="E38" s="37"/>
      <c r="F38" s="37"/>
      <c r="G38" s="37"/>
      <c r="H38" s="37"/>
      <c r="I38" s="37"/>
      <c r="J38" s="37"/>
      <c r="K38" s="26"/>
      <c r="L38" s="38" t="s">
        <v>192</v>
      </c>
      <c r="M38" s="37"/>
      <c r="N38" s="37"/>
      <c r="O38" s="37"/>
      <c r="P38" s="37"/>
      <c r="Q38" s="37"/>
      <c r="R38" s="40">
        <v>1.5</v>
      </c>
      <c r="S38" s="37"/>
      <c r="U38" s="51"/>
      <c r="W38" s="51"/>
      <c r="X38" s="51"/>
      <c r="Y38" s="51"/>
      <c r="Z38" s="51"/>
      <c r="AB38" s="61"/>
      <c r="AC38" s="62"/>
    </row>
    <row r="39" spans="1:61" ht="3" customHeight="1">
      <c r="A39" s="37"/>
      <c r="B39" s="37"/>
      <c r="C39" s="37"/>
      <c r="D39" s="37"/>
      <c r="E39" s="37"/>
      <c r="F39" s="37"/>
      <c r="G39" s="37"/>
      <c r="H39" s="37"/>
      <c r="I39" s="37"/>
      <c r="J39" s="37"/>
      <c r="K39" s="26"/>
      <c r="L39" s="37"/>
      <c r="M39" s="37"/>
      <c r="N39" s="37"/>
      <c r="O39" s="37"/>
      <c r="P39" s="37"/>
      <c r="Q39" s="37"/>
      <c r="R39" s="37"/>
      <c r="S39" s="37"/>
    </row>
    <row r="40" spans="1:61" ht="12" customHeight="1">
      <c r="A40" s="37"/>
      <c r="B40" s="37"/>
      <c r="C40" s="37"/>
      <c r="D40" s="37"/>
      <c r="E40" s="37"/>
      <c r="F40" s="37"/>
      <c r="G40" s="37"/>
      <c r="H40" s="37"/>
      <c r="I40" s="37"/>
      <c r="J40" s="37"/>
      <c r="K40" s="26"/>
      <c r="L40" s="38" t="s">
        <v>193</v>
      </c>
      <c r="M40" s="37"/>
      <c r="N40" s="37"/>
      <c r="O40" s="37"/>
      <c r="P40" s="43"/>
      <c r="Q40" s="44" t="e">
        <f>IF(AND(P32="GEL",(R28-S34)*R40&lt;0.5,P40="",O28&lt;&gt;"დეპოზიტით უზრუნველყოფილი"),"Min GEL 0.5",IF(AND(P32="USD",R28*R40&lt;0.2,P40="",O28&lt;&gt;"დეპოზიტით უზრუნველყოფილი"),"Min USD 0.2",""))</f>
        <v>#NUM!</v>
      </c>
      <c r="R40" s="45" t="e">
        <f>IF($P$40&lt;&gt;"",$P$40,IF(AND(DATE($F$46,$G$46,$H$46)&lt;DATE($F$34,$G$34,$H$34),$J$46=$BR$81),$CK$80,IF(AND($P$32=$CI$82,$R$38=$CJ$82),$CK$82,IF(AND($P$32=$CI$81,$R$38=$CJ$81),$CK$81,IF(AND($P$32=$CI$85,$R$38=$CJ$85),$CK$85,IF(AND($P$32=$CI$84,$R$38=$CJ$84),$CK$84,0))))))</f>
        <v>#NUM!</v>
      </c>
      <c r="S40" s="37"/>
      <c r="U40" s="51"/>
      <c r="V40" s="51"/>
      <c r="AB40" s="63"/>
      <c r="AC40" s="63"/>
    </row>
    <row r="41" spans="1:61" ht="3" customHeight="1">
      <c r="A41" s="37"/>
      <c r="B41" s="37"/>
      <c r="C41" s="37"/>
      <c r="D41" s="37"/>
      <c r="E41" s="37"/>
      <c r="F41" s="37"/>
      <c r="G41" s="37"/>
      <c r="H41" s="37"/>
      <c r="I41" s="37"/>
      <c r="J41" s="37"/>
      <c r="K41" s="26"/>
      <c r="L41" s="37"/>
      <c r="M41" s="37"/>
      <c r="N41" s="37"/>
      <c r="O41" s="37"/>
      <c r="P41" s="37"/>
      <c r="Q41" s="37"/>
      <c r="R41" s="37"/>
      <c r="S41" s="37"/>
      <c r="V41" s="51"/>
    </row>
    <row r="42" spans="1:61" ht="12" customHeight="1">
      <c r="A42" s="37"/>
      <c r="B42" s="37"/>
      <c r="C42" s="37"/>
      <c r="D42" s="37"/>
      <c r="E42" s="37"/>
      <c r="F42" s="37"/>
      <c r="G42" s="37"/>
      <c r="H42" s="37"/>
      <c r="I42" s="37"/>
      <c r="J42" s="37"/>
      <c r="K42" s="26"/>
      <c r="L42" s="38" t="str">
        <f>IF(P32="GEL","თანხის განაღდების საკომისიო (ლარი)","თანხის განაღდების საკომისიო (აშშ დოლარი)")</f>
        <v>თანხის განაღდების საკომისიო (ლარი)</v>
      </c>
      <c r="M42" s="37"/>
      <c r="N42" s="37"/>
      <c r="O42" s="37"/>
      <c r="P42" s="37"/>
      <c r="Q42" s="37"/>
      <c r="R42" s="48" t="e">
        <f ca="1">IF(DATE($F$46,$G$46,$H$46)&lt;DATE($F$34,$G$34,$H$34),IF(AND($P$32="GEL",$H$16="GEL",($R$28-INDIRECT(ADDRESS(79+(MATCH(MAX($U$80:$U$200),$B$80:$B$200,0)),8))-$S$34-$H$22/$I$22*(DATE($F$46,$G$46,$H$46)-INDIRECT(ADDRESS(79+(MATCH(MAX($U$80:$U$200),$B$80:$B$200,0)),3)))*INDIRECT(ADDRESS(79+(MATCH(MAX($U$80:$U$200),$B$80:$B$200,0)),8)))*$R$40&lt;0.5,$P$40=""),0.5,IF(AND($P$32="USD",$H$16="USD",($R$28-INDIRECT(ADDRESS(79+(MATCH(MAX($U$80:$U$200),$B$80:$B$200,0)),8))-$S$34-$H$22/$I$22*(DATE($F$46,$G$46,$H$46)-INDIRECT(ADDRESS(79+(MATCH(MAX($U$80:$U$200),$B$80:$B$200,0)),3)))*INDIRECT(ADDRESS(79+(MATCH(MAX($U$80:$U$200),$B$80:$B$200,0)),8)))*$R$40&lt;0.2,$P$40=""),0.2,IF(AND($P$32="GEL",$H$16="USD",($R$28-(INDIRECT(ADDRESS(79+(MATCH(MAX($U$80:$U$200),$B$80:$B$200,0)),8))*$Q$32)-$S$34-$H$22/$I$22*(DATE($F$46,$G$46,$H$46)-INDIRECT(ADDRESS(79+(MATCH(MAX($U$80:$U$200),$B$80:$B$200,0)),3)))*(INDIRECT(ADDRESS(79+(MATCH(MAX($U$80:$U$200),$B$80:$B$200,0)),8))*$Q$32))*$R$40&lt;0.5,$P$40=""),0.5,IF(AND($P$32="USD",$H$16="GEL",($R$28-(INDIRECT(ADDRESS(79+(MATCH(MAX($U$80:$U$200),$B$80:$B$200,0)),8))/$Q$32)-$S$34-$H$22/$I$22*(DATE($F$46,$G$46,$H$46)-INDIRECT(ADDRESS(79+(MATCH(MAX($U$80:$U$200),$B$80:$B$200,0)),3)))*(INDIRECT(ADDRESS(79+(MATCH(MAX($U$80:$U$200),$B$80:$B$200,0)),8))/$Q$32))*$R$40&lt;0.2,$P$40=""),0.2,IF(OR(AND($P$32="GEL",$H$16="GEL"),AND($P$32="USD",$H$16="USD")),ROUND(($R$28-INDIRECT(ADDRESS(79+(MATCH(MAX($U$80:$U$200),$B$80:$B$200,0)),8))-$S$34-$H$22/$I$22*(DATE($F$46,$G$46,$H$46)-INDIRECT(ADDRESS(79+(MATCH(MAX($U$80:$U$200),$B$80:$B$200,0)),3)))*INDIRECT(ADDRESS(79+(MATCH(MAX($U$80:$U$200),$B$80:$B$200,0)),8)))*$R$40,2),IF(AND($P$32="GEL",$H$16="USD"),ROUND(($R$28-(INDIRECT(ADDRESS(79+(MATCH(MAX($U$80:$U$200),$B$80:$B$200,0)),8))*$Q$32)-$S$34-$H$22/$I$22*(DATE($F$46,$G$46,$H$46)-INDIRECT(ADDRESS(79+(MATCH(MAX($U$80:$U$200),$B$80:$B$200,0)),3)))*(INDIRECT(ADDRESS(79+(MATCH(MAX($U$80:$U$200),$B$80:$B$200,0)),8))*$Q$32))*$R$40,2),IF(AND($P$32="USD",$H$16="GEL"),ROUND(($R$28-(INDIRECT(ADDRESS(79+(MATCH(MAX($U$80:$U$200),$B$80:$B$200,0)),8))/$Q$32)-$S$34-$H$22/$I$22*(DATE($F$46,$G$46,$H$46)-INDIRECT(ADDRESS(79+(MATCH(MAX($U$80:$U$200),$B$80:$B$200,0)),3)))*(INDIRECT(ADDRESS(79+(MATCH(MAX($U$80:$U$200),$B$80:$B$200,0)),8))/$Q$32))*$R$40,2)))))))),IF(AND($P$32="GEL",($R$28-$S$34)*$R$40&lt;0.5,$P$40=""),0.5,IF(AND($P$32="USD",($R$28-$S$34)*$R$40&lt;0.2,$P$40=""),0.2,ROUND(($R$28-$S$34)*$R$40,2))))</f>
        <v>#NUM!</v>
      </c>
      <c r="S42" s="37"/>
      <c r="U42" s="51"/>
      <c r="V42" s="51"/>
      <c r="W42" s="51"/>
      <c r="AR42" s="64"/>
      <c r="AS42" s="64"/>
      <c r="AT42" s="64"/>
      <c r="AU42" s="64"/>
      <c r="AV42" s="64"/>
    </row>
    <row r="43" spans="1:61" ht="3" customHeight="1">
      <c r="A43" s="37"/>
      <c r="B43" s="37"/>
      <c r="C43" s="37"/>
      <c r="D43" s="37"/>
      <c r="E43" s="37"/>
      <c r="F43" s="37"/>
      <c r="G43" s="37"/>
      <c r="H43" s="37"/>
      <c r="I43" s="37"/>
      <c r="J43" s="37"/>
      <c r="K43" s="26"/>
      <c r="L43" s="37"/>
      <c r="M43" s="37"/>
      <c r="N43" s="37"/>
      <c r="O43" s="37"/>
      <c r="P43" s="37"/>
      <c r="Q43" s="37"/>
      <c r="R43" s="37"/>
      <c r="S43" s="37"/>
    </row>
    <row r="44" spans="1:61" ht="3" customHeight="1">
      <c r="A44" s="26"/>
      <c r="B44" s="26"/>
      <c r="C44" s="26"/>
      <c r="D44" s="26"/>
      <c r="E44" s="26"/>
      <c r="F44" s="26"/>
      <c r="G44" s="26"/>
      <c r="H44" s="26"/>
      <c r="I44" s="26"/>
      <c r="J44" s="26"/>
      <c r="K44" s="26"/>
      <c r="L44" s="37"/>
      <c r="M44" s="37"/>
      <c r="N44" s="37"/>
      <c r="O44" s="37"/>
      <c r="P44" s="37"/>
      <c r="Q44" s="37"/>
      <c r="R44" s="37"/>
      <c r="S44" s="37"/>
    </row>
    <row r="45" spans="1:61" ht="3" customHeight="1">
      <c r="A45" s="37"/>
      <c r="B45" s="37"/>
      <c r="C45" s="37"/>
      <c r="D45" s="37"/>
      <c r="E45" s="37"/>
      <c r="F45" s="37"/>
      <c r="G45" s="37"/>
      <c r="H45" s="37"/>
      <c r="I45" s="37"/>
      <c r="J45" s="37"/>
      <c r="K45" s="37"/>
      <c r="L45" s="37"/>
      <c r="M45" s="37"/>
      <c r="N45" s="37"/>
      <c r="O45" s="37"/>
      <c r="P45" s="37"/>
      <c r="Q45" s="37"/>
      <c r="R45" s="37"/>
      <c r="S45" s="37"/>
    </row>
    <row r="46" spans="1:61" ht="12" customHeight="1">
      <c r="A46" s="37"/>
      <c r="B46" s="38" t="s">
        <v>206</v>
      </c>
      <c r="C46" s="37"/>
      <c r="D46" s="37"/>
      <c r="E46" s="37"/>
      <c r="F46" s="50"/>
      <c r="G46" s="50"/>
      <c r="H46" s="50"/>
      <c r="I46" s="37"/>
      <c r="J46" s="648" t="s">
        <v>152</v>
      </c>
      <c r="K46" s="37"/>
      <c r="L46" s="38" t="s">
        <v>195</v>
      </c>
      <c r="M46" s="37"/>
      <c r="N46" s="37"/>
      <c r="O46" s="37"/>
      <c r="P46" s="43"/>
      <c r="Q46" s="37"/>
      <c r="R46" s="45">
        <f>IF($P$46&lt;&gt;"",$P$46,
IF(AND($O$28="საშეღავათო",$P$32="GEL",$R$32&gt;=BX80,$R$32&lt;=BX81,Q30&gt;=4),CG84,
IF(AND($O$28="ნულოვანი საშეღავათო",$P$32="GEL",$R$32&gt;=BX80,$R$32&lt;=BX81,Q30&gt;=3),CG84,
IF(AND(OR($O$28="ანუიტეტური",$O$28="საშეღავათო",$O$28="ნულოვანი საშეღავათო",$O$28="ასიმეტრიული",$O$28="ასიმეტრიული პროცენტით"),$P$32="GEL"),VLOOKUP($R$28,$BT$83:$CG$90,14,TRUE),IF(AND(OR($O$28="ანუიტეტური",$O$28="საშეღავათო",$O$28="ნულოვანი საშეღავათო",$O$28="ასიმეტრიული",$O$28="ასიმეტრიული პროცენტით"),$P$32="USD"),VLOOKUP($R$28,$BT$93:$CG$99,14,TRUE),
IF(AND($O$28="სამომხმარებლო",$Q$30="დოკ. ხელფასი",$P$32="GEL"),VLOOKUP($R$28,$BT$104:$CG$110,14,TRUE),IF(AND($O$28="სამომხმარებლო",$Q$30="დოკ. ხელფასი",$P$32="USD"),VLOOKUP($R$28,$BT$113:$CG$113,14,TRUE),
IF(AND($O$28="სამომხმარებლო",$Q$30="შემოს. გზავნილებიდან",$P$32="GEL"),VLOOKUP($R$28,$BT$118:$CG$122,14,TRUE),IF(AND($O$28="სამომხმარებლო",$Q$30="შემოს. გზავნილებიდან",$P$32="USD"),VLOOKUP($R$28,$BT$125:$CG$125,14,TRUE),
IF(AND($O$28="ბიზნეს ოვერდრაფტი",$P$32="GEL"),VLOOKUP($R$28,$BT$128:$CG$132,14,TRUE),IF(AND($O$28="ბიზნეს ოვერდრაფტი",$P$32="USD"),VLOOKUP($R$28,$BT$135:$CG$137,14,TRUE),
IF(AND($O$28="დეპოზიტით უზრუნველყოფილი",$P$32="GEL"),VLOOKUP($P$32,$BT$140:$CG$141,14,TRUE),IF(AND($O$28="დეპოზიტით უზრუნველყოფილი",$P$32="USD"),VLOOKUP($P$32,$BT$140:$CG$141,14,TRUE))))))))))))))</f>
        <v>6.0000000000000001E-3</v>
      </c>
      <c r="S46" s="37"/>
      <c r="U46" s="63"/>
      <c r="AB46" s="63"/>
      <c r="AZ46" s="51"/>
      <c r="BA46" s="51"/>
    </row>
    <row r="47" spans="1:61" ht="3" customHeight="1">
      <c r="A47" s="37"/>
      <c r="B47" s="37"/>
      <c r="C47" s="37"/>
      <c r="D47" s="37"/>
      <c r="E47" s="37"/>
      <c r="F47" s="37"/>
      <c r="G47" s="37"/>
      <c r="H47" s="37">
        <v>6</v>
      </c>
      <c r="I47" s="37"/>
      <c r="J47" s="649"/>
      <c r="K47" s="37"/>
      <c r="L47" s="37"/>
      <c r="M47" s="37"/>
      <c r="N47" s="37"/>
      <c r="O47" s="37"/>
      <c r="P47" s="37"/>
      <c r="Q47" s="37"/>
      <c r="R47" s="37"/>
      <c r="S47" s="37"/>
    </row>
    <row r="48" spans="1:61" ht="12" customHeight="1">
      <c r="A48" s="37"/>
      <c r="B48" s="38" t="s">
        <v>207</v>
      </c>
      <c r="C48" s="37"/>
      <c r="D48" s="37"/>
      <c r="E48" s="37"/>
      <c r="F48" s="50" t="e">
        <f>YEAR(IF(OR(WEEKDAY(EDATE(DATE($F$46,$G$46,$H$46),1),2)=6,WEEKDAY(EDATE(DATE($F$46,$G$46,$H$46),1),2)=7,IF(EDATE(DATE($F$46,$G$46,$H$46),1)=IFERROR(VLOOKUP(EDATE(DATE($F$46,$G$46,$H$46),1),$BK$80:$BK$624,1,FALSE),0),1,0)=1),WORKDAY(EDATE(DATE($F$46,$G$46,$H$46),1),1,$BK$80:$BK$624),EDATE(DATE($F$46,$G$46,$H$46),1)))</f>
        <v>#NUM!</v>
      </c>
      <c r="G48" s="50" t="e">
        <f>MONTH(IF(OR(WEEKDAY(EDATE(DATE($F$46,$G$46,$H$46),1),2)=6,WEEKDAY(EDATE(DATE($F$46,$G$46,$H$46),1),2)=7,IF(EDATE(DATE($F$46,$G$46,$H$46),1)=IFERROR(VLOOKUP(EDATE(DATE($F$46,$G$46,$H$46),1),$BK$80:$BK$624,1,FALSE),0),1,0)=1),WORKDAY(EDATE(DATE($F$46,$G$46,$H$46),1),1,$BK$80:$BK$624),EDATE(DATE($F$46,$G$46,$H$46),1)))</f>
        <v>#NUM!</v>
      </c>
      <c r="H48" s="50" t="e">
        <f>DAY(IF(OR(WEEKDAY(EDATE(DATE($F$46,$G$46,$H$46),1),2)=6,WEEKDAY(EDATE(DATE($F$46,$G$46,$H$46),1),2)=7,IF(EDATE(DATE($F$46,$G$46,$H$46),1)=IFERROR(VLOOKUP(EDATE(DATE($F$46,$G$46,$H$46),1),$BK$80:$BK$624,1,FALSE),0),1,0)=1),WORKDAY(EDATE(DATE($F$46,$G$46,$H$46),1),1,$BK$80:$BK$624),EDATE(DATE($F$46,$G$46,$H$46),1)))</f>
        <v>#NUM!</v>
      </c>
      <c r="I48" s="37"/>
      <c r="J48" s="650"/>
      <c r="K48" s="37"/>
      <c r="L48" s="38" t="s">
        <v>197</v>
      </c>
      <c r="M48" s="49"/>
      <c r="N48" s="49"/>
      <c r="O48" s="49"/>
      <c r="P48" s="49"/>
      <c r="Q48" s="49"/>
      <c r="R48" s="48">
        <v>0</v>
      </c>
      <c r="S48" s="37"/>
      <c r="U48" s="63"/>
      <c r="Z48" s="51"/>
      <c r="AF48" s="63"/>
      <c r="AH48" s="65"/>
      <c r="AP48" s="65"/>
      <c r="AR48" s="41"/>
      <c r="AX48" s="30"/>
      <c r="AZ48" s="63"/>
      <c r="BA48" s="63"/>
      <c r="BE48" s="30"/>
    </row>
    <row r="49" spans="1:77" ht="3" customHeight="1">
      <c r="A49" s="37"/>
      <c r="B49" s="37"/>
      <c r="C49" s="37"/>
      <c r="D49" s="37"/>
      <c r="E49" s="37"/>
      <c r="F49" s="37"/>
      <c r="G49" s="37"/>
      <c r="H49" s="37"/>
      <c r="I49" s="37"/>
      <c r="J49" s="37"/>
      <c r="K49" s="37"/>
      <c r="L49" s="37"/>
      <c r="M49" s="37"/>
      <c r="N49" s="37"/>
      <c r="O49" s="37"/>
      <c r="P49" s="37"/>
      <c r="Q49" s="37"/>
      <c r="R49" s="37"/>
      <c r="S49" s="37"/>
    </row>
    <row r="50" spans="1:77" ht="12" customHeight="1">
      <c r="A50" s="37"/>
      <c r="B50" s="38" t="str">
        <f>IF(O28="დეპოზიტით უზრუნველყოფილი","","მეორე გადახდის თარიღი")</f>
        <v>მეორე გადახდის თარიღი</v>
      </c>
      <c r="C50" s="37"/>
      <c r="D50" s="37"/>
      <c r="E50" s="37"/>
      <c r="F50" s="50" t="e">
        <f>YEAR(IF(OR(WEEKDAY(EDATE(DATE($F$46,$G$46,$H$46),2),2)=6,WEEKDAY(EDATE(DATE($F$46,$G$46,$H$46),2),2)=7,IF(EDATE(DATE($F$46,$G$46,$H$46),2)=IFERROR(VLOOKUP(EDATE(DATE($F$46,$G$46,$H$46),2),$BK$80:$BK$624,1,FALSE),0),1,0)=1),WORKDAY(EDATE(DATE($F$46,$G$46,$H$46),2),1,$BK$80:$BK$624),EDATE(DATE($F$46,$G$46,$H$46),2)))</f>
        <v>#NUM!</v>
      </c>
      <c r="G50" s="50" t="e">
        <f>MONTH(IF(OR(WEEKDAY(EDATE(DATE($F$46,$G$46,$H$46),2),2)=6,WEEKDAY(EDATE(DATE($F$46,$G$46,$H$46),2),2)=7,IF(EDATE(DATE($F$46,$G$46,$H$46),2)=IFERROR(VLOOKUP(EDATE(DATE($F$46,$G$46,$H$46),2),$BK$80:$BK$624,1,FALSE),0),1,0)=1),WORKDAY(EDATE(DATE($F$46,$G$46,$H$46),2),1,$BK$80:$BK$624),EDATE(DATE($F$46,$G$46,$H$46),2)))</f>
        <v>#NUM!</v>
      </c>
      <c r="H50" s="50" t="e">
        <f>DAY(IF(OR(WEEKDAY(EDATE(DATE($F$46,$G$46,$H$46),2),2)=6,WEEKDAY(EDATE(DATE($F$46,$G$46,$H$46),2),2)=7,IF(EDATE(DATE($F$46,$G$46,$H$46),2)=IFERROR(VLOOKUP(EDATE(DATE($F$46,$G$46,$H$46),2),$BK$80:$BK$624,1,FALSE),0),1,0)=1),WORKDAY(EDATE(DATE($F$46,$G$46,$H$46),2),1,$BK$80:$BK$624),EDATE(DATE($F$46,$G$46,$H$46),2)))</f>
        <v>#NUM!</v>
      </c>
      <c r="I50" s="37"/>
      <c r="J50" s="37"/>
      <c r="K50" s="37"/>
      <c r="L50" s="38" t="str">
        <f>IF(P32="GEL","POS-ით ანგარიშსწორებით საკომისიო (ლარი)","POS-ით ანგარიშსწორებით საკომისიო (აშშ დოლარი)")</f>
        <v>POS-ით ანგარიშსწორებით საკომისიო (ლარი)</v>
      </c>
      <c r="M50" s="49"/>
      <c r="N50" s="49"/>
      <c r="O50" s="49"/>
      <c r="P50" s="49"/>
      <c r="Q50" s="49"/>
      <c r="R50" s="48">
        <v>0</v>
      </c>
      <c r="S50" s="37"/>
      <c r="U50" s="63"/>
      <c r="AH50" s="65"/>
      <c r="AV50" s="63"/>
      <c r="AX50" s="65"/>
      <c r="AZ50" s="63"/>
      <c r="BE50" s="30"/>
    </row>
    <row r="51" spans="1:77" ht="3" customHeight="1">
      <c r="A51" s="37"/>
      <c r="B51" s="37"/>
      <c r="C51" s="37"/>
      <c r="D51" s="37"/>
      <c r="E51" s="37"/>
      <c r="F51" s="37"/>
      <c r="G51" s="37"/>
      <c r="H51" s="37"/>
      <c r="I51" s="37"/>
      <c r="J51" s="37"/>
      <c r="K51" s="37"/>
      <c r="L51" s="37"/>
      <c r="M51" s="37"/>
      <c r="N51" s="37"/>
      <c r="O51" s="37"/>
      <c r="P51" s="37"/>
      <c r="Q51" s="37"/>
      <c r="R51" s="37"/>
      <c r="S51" s="37"/>
    </row>
    <row r="52" spans="1:77" ht="12" customHeight="1">
      <c r="A52" s="37"/>
      <c r="B52" s="38" t="s">
        <v>203</v>
      </c>
      <c r="C52" s="37"/>
      <c r="D52" s="37"/>
      <c r="E52" s="37"/>
      <c r="F52" s="651" t="s">
        <v>204</v>
      </c>
      <c r="G52" s="652"/>
      <c r="H52" s="50">
        <f>$H$46</f>
        <v>0</v>
      </c>
      <c r="I52" s="37"/>
      <c r="J52" s="37"/>
      <c r="K52" s="37"/>
      <c r="L52" s="37"/>
      <c r="M52" s="37"/>
      <c r="N52" s="37"/>
      <c r="O52" s="37"/>
      <c r="P52" s="37"/>
      <c r="Q52" s="37"/>
      <c r="R52" s="37"/>
      <c r="S52" s="37"/>
      <c r="U52" s="51" t="s">
        <v>208</v>
      </c>
      <c r="AB52" t="s">
        <v>209</v>
      </c>
      <c r="AR52" t="s">
        <v>210</v>
      </c>
      <c r="AS52" s="51"/>
      <c r="AZ52" s="51"/>
      <c r="BA52" s="51"/>
    </row>
    <row r="53" spans="1:77" ht="3" customHeight="1">
      <c r="A53" s="37"/>
      <c r="B53" s="37"/>
      <c r="C53" s="37"/>
      <c r="D53" s="37"/>
      <c r="E53" s="37"/>
      <c r="F53" s="57"/>
      <c r="G53" s="57"/>
      <c r="H53" s="37"/>
      <c r="I53" s="37"/>
      <c r="J53" s="37"/>
      <c r="K53" s="37"/>
      <c r="L53" s="37"/>
      <c r="M53" s="37"/>
      <c r="N53" s="37"/>
      <c r="O53" s="37"/>
      <c r="P53" s="37"/>
      <c r="Q53" s="37"/>
      <c r="R53" s="37"/>
      <c r="S53" s="37"/>
    </row>
    <row r="54" spans="1:77" ht="3" customHeight="1">
      <c r="A54" s="26"/>
      <c r="B54" s="26"/>
      <c r="C54" s="26"/>
      <c r="D54" s="26"/>
      <c r="E54" s="26"/>
      <c r="F54" s="26"/>
      <c r="G54" s="26"/>
      <c r="H54" s="26"/>
      <c r="I54" s="26"/>
      <c r="J54" s="26"/>
      <c r="K54" s="26"/>
      <c r="L54" s="26"/>
      <c r="M54" s="26"/>
      <c r="N54" s="26"/>
      <c r="O54" s="26"/>
      <c r="P54" s="26"/>
      <c r="Q54" s="26"/>
      <c r="R54" s="26"/>
      <c r="S54" s="26"/>
    </row>
    <row r="55" spans="1:77" ht="3" customHeight="1">
      <c r="A55" s="37"/>
      <c r="B55" s="37"/>
      <c r="C55" s="37"/>
      <c r="D55" s="37"/>
      <c r="E55" s="37"/>
      <c r="F55" s="37"/>
      <c r="G55" s="37"/>
      <c r="H55" s="37"/>
      <c r="I55" s="37"/>
      <c r="J55" s="37"/>
      <c r="K55" s="37"/>
      <c r="L55" s="37"/>
      <c r="M55" s="37"/>
      <c r="N55" s="37"/>
      <c r="O55" s="37"/>
      <c r="P55" s="37"/>
      <c r="Q55" s="37"/>
      <c r="R55" s="37"/>
      <c r="S55" s="37"/>
    </row>
    <row r="56" spans="1:77" ht="12" customHeight="1">
      <c r="A56" s="37"/>
      <c r="B56" s="38" t="str">
        <f>IF(OR($F$46="",$G$46="",$H$46=""),CONCATENATE("საპროცენტო ხარჯი ",IF($H$16="GEL","(ლარი)","(აშშ დოლარი)")),CONCATENATE("საპროცენტო ხარჯი ",IF($P$32="GEL","(ლარი)","(აშშ დოლარი)")))</f>
        <v>საპროცენტო ხარჯი (ლარი)</v>
      </c>
      <c r="C56" s="37"/>
      <c r="D56" s="37"/>
      <c r="E56" s="37"/>
      <c r="F56" s="37"/>
      <c r="G56" s="37"/>
      <c r="H56" s="48">
        <f>IFERROR(IF(OR($F$46="",$G$46="",$H$46=""),SUM($G$81:$G$200),SUM($P$81:$P$200)),0)</f>
        <v>436.92</v>
      </c>
      <c r="I56" s="37"/>
      <c r="J56" s="37"/>
      <c r="K56" s="37"/>
      <c r="L56" s="38" t="s">
        <v>493</v>
      </c>
      <c r="M56" s="49"/>
      <c r="N56" s="49"/>
      <c r="O56" s="49"/>
      <c r="P56" s="37"/>
      <c r="Q56" s="49"/>
      <c r="R56" s="48">
        <f>IFERROR(IF(OR($F$46="",$G$46="",$H$46=""),SUM($AW$80:$AW$200),SUM($BE$80:$BE$200)),0)</f>
        <v>28.5</v>
      </c>
      <c r="S56" s="37"/>
      <c r="AB56" s="53"/>
      <c r="BA56" s="51"/>
    </row>
    <row r="57" spans="1:77" ht="3" customHeight="1">
      <c r="A57" s="37"/>
      <c r="B57" s="37"/>
      <c r="C57" s="37"/>
      <c r="D57" s="37"/>
      <c r="E57" s="37"/>
      <c r="F57" s="37"/>
      <c r="G57" s="37"/>
      <c r="H57" s="37"/>
      <c r="I57" s="37"/>
      <c r="J57" s="37"/>
      <c r="K57" s="37"/>
      <c r="L57" s="37"/>
      <c r="M57" s="37"/>
      <c r="N57" s="37"/>
      <c r="O57" s="37"/>
      <c r="P57" s="37"/>
      <c r="Q57" s="37"/>
      <c r="R57" s="37"/>
      <c r="S57" s="37"/>
    </row>
    <row r="58" spans="1:77" ht="12" customHeight="1">
      <c r="A58" s="37"/>
      <c r="B58" s="38" t="str">
        <f>IF(OR($F$46="",$G$46="",$H$46=""),CONCATENATE("სესხის გაცემის საკომისიო ",IF($H$16="GEL","(ლარი)","(აშშ დოლარი)")),CONCATENATE("სესხის გაცემის საკომისიო ",IF($P$32="GEL","(ლარი)","(აშშ დოლარი)")))</f>
        <v>სესხის გაცემის საკომისიო (ლარი)</v>
      </c>
      <c r="C58" s="37"/>
      <c r="D58" s="37"/>
      <c r="E58" s="37"/>
      <c r="F58" s="37"/>
      <c r="G58" s="37"/>
      <c r="H58" s="48">
        <f>IFERROR(IF(OR($F$46="",$G$46="",$H$46=""),$I$24,$S$34),0)</f>
        <v>45</v>
      </c>
      <c r="I58" s="37"/>
      <c r="J58" s="37"/>
      <c r="K58" s="37"/>
      <c r="L58" s="38" t="s">
        <v>491</v>
      </c>
      <c r="M58" s="37"/>
      <c r="N58" s="37"/>
      <c r="O58" s="37"/>
      <c r="P58" s="37"/>
      <c r="Q58" s="37"/>
      <c r="R58" s="48">
        <f>IFERROR(IF(OR($F$46="",$G$46="",$H$46=""),$R$10,$Q$36),0)</f>
        <v>0</v>
      </c>
      <c r="S58" s="37"/>
      <c r="BW58" s="30"/>
      <c r="BY58" s="30"/>
    </row>
    <row r="59" spans="1:77" ht="3" customHeight="1">
      <c r="A59" s="37"/>
      <c r="B59" s="37"/>
      <c r="C59" s="37"/>
      <c r="D59" s="37"/>
      <c r="E59" s="37"/>
      <c r="F59" s="37"/>
      <c r="G59" s="37"/>
      <c r="H59" s="37"/>
      <c r="I59" s="37"/>
      <c r="J59" s="37"/>
      <c r="K59" s="37"/>
      <c r="L59" s="37"/>
      <c r="M59" s="37"/>
      <c r="N59" s="37"/>
      <c r="O59" s="37"/>
      <c r="P59" s="37"/>
      <c r="Q59" s="37"/>
      <c r="R59" s="37"/>
      <c r="S59" s="37"/>
      <c r="BW59" s="30"/>
      <c r="BY59" s="30"/>
    </row>
    <row r="60" spans="1:77" ht="12" customHeight="1">
      <c r="A60" s="37"/>
      <c r="B60" s="38" t="str">
        <f>IF(OR($F$46="",$G$46="",$H$46=""),CONCATENATE("თანხის განაღდების საკომისიო ",IF($H$16="GEL","(ლარი)","(აშშ დოლარი)")),CONCATENATE("თანხის განაღდების საკომისიო ",IF($P$32="GEL","(ლარი)","(აშშ დოლარი)")))</f>
        <v>თანხის განაღდების საკომისიო (ლარი)</v>
      </c>
      <c r="C60" s="37"/>
      <c r="D60" s="37"/>
      <c r="E60" s="37"/>
      <c r="F60" s="37"/>
      <c r="G60" s="37"/>
      <c r="H60" s="48">
        <f>IFERROR(IF(OR($F$46="",$G$46="",$H$46=""),$R$18,$R$42),0)</f>
        <v>7.28</v>
      </c>
      <c r="I60" s="37"/>
      <c r="J60" s="37"/>
      <c r="K60" s="37"/>
      <c r="L60" s="38" t="s">
        <v>492</v>
      </c>
      <c r="M60" s="37"/>
      <c r="N60" s="37"/>
      <c r="O60" s="37"/>
      <c r="P60" s="37"/>
      <c r="Q60" s="37"/>
      <c r="R60" s="48">
        <f>IFERROR(IF(OR($F$46="",$G$46="",$H$46=""),$R$12,$R$36),0)</f>
        <v>0</v>
      </c>
      <c r="S60" s="37"/>
      <c r="AJ60" s="63"/>
      <c r="AK60" s="63"/>
      <c r="BW60" s="30"/>
      <c r="BY60" s="30"/>
    </row>
    <row r="61" spans="1:77" ht="3" customHeight="1">
      <c r="A61" s="37"/>
      <c r="B61" s="37"/>
      <c r="C61" s="37"/>
      <c r="D61" s="37"/>
      <c r="E61" s="37"/>
      <c r="F61" s="37"/>
      <c r="G61" s="37"/>
      <c r="H61" s="37"/>
      <c r="I61" s="37"/>
      <c r="J61" s="37"/>
      <c r="K61" s="37"/>
      <c r="L61" s="37"/>
      <c r="M61" s="37"/>
      <c r="N61" s="37"/>
      <c r="O61" s="37"/>
      <c r="P61" s="37"/>
      <c r="Q61" s="37"/>
      <c r="R61" s="37"/>
      <c r="S61" s="37"/>
      <c r="BW61" s="30"/>
      <c r="BY61" s="30"/>
    </row>
    <row r="62" spans="1:77" ht="12" customHeight="1">
      <c r="A62" s="37"/>
      <c r="B62" s="195" t="str">
        <f>IF(OR($F$46="",$G$46="",$H$46=""),CONCATENATE("სულ სესხის ღირებულება ",IF($H$16="GEL","(ლარი)","(აშშ დოლარი)")),CONCATENATE("სულ სესხის ღირებულება ",IF($P$32="GEL","(ლარი)","(აშშ დოლარი)")))</f>
        <v>სულ სესხის ღირებულება (ლარი)</v>
      </c>
      <c r="C62" s="37"/>
      <c r="D62" s="37"/>
      <c r="E62" s="37"/>
      <c r="F62" s="37"/>
      <c r="G62" s="37"/>
      <c r="H62" s="196">
        <f>IF(OR($F$46="",$G$46="",$H$46=""),IF($H$16="GEL",SUM(H56,H58,H60,R56,R58,R60,R62),SUM(H56,H58,H60,R56/H18,R58/H18,R60/H18,R62)),IF($P$32="GEL",SUM(H56,H58,H60,R56,R58,R60,R62),SUM(H56,H58,H60,R56/Q32,R58/Q32,R60/Q32,R62)))</f>
        <v>525.51</v>
      </c>
      <c r="I62" s="37"/>
      <c r="J62" s="37"/>
      <c r="K62" s="37"/>
      <c r="L62" s="38" t="str">
        <f>IF(OR($F$46="",$G$46="",$H$46=""),CONCATENATE("სიც. დაზღვევის საკომისიო ",IF($H$16="GEL","(ლარი)","(აშშ დოლარი)")),CONCATENATE("სიც. დაზღვევის საკომისიო ",IF($P$32="GEL","(ლარი)","(აშშ დოლარი)")))</f>
        <v>სიც. დაზღვევის საკომისიო (ლარი)</v>
      </c>
      <c r="M62" s="37"/>
      <c r="N62" s="37"/>
      <c r="O62" s="37"/>
      <c r="P62" s="37"/>
      <c r="Q62" s="37"/>
      <c r="R62" s="48">
        <f>IFERROR(IF(OR($F$46="",$G$46="",$H$46=""),SUM($E$81:$E$200),SUM($N$81:$N$200)),0)</f>
        <v>7.8100000000000005</v>
      </c>
      <c r="S62" s="37"/>
      <c r="BT62" s="30"/>
      <c r="BW62" s="30"/>
      <c r="BX62" s="107"/>
      <c r="BY62" s="30"/>
    </row>
    <row r="63" spans="1:77" ht="3" customHeight="1">
      <c r="A63" s="37"/>
      <c r="B63" s="37"/>
      <c r="C63" s="37"/>
      <c r="D63" s="37"/>
      <c r="E63" s="37"/>
      <c r="F63" s="37"/>
      <c r="G63" s="37"/>
      <c r="H63" s="37"/>
      <c r="I63" s="37"/>
      <c r="J63" s="37"/>
      <c r="K63" s="37"/>
      <c r="L63" s="37"/>
      <c r="M63" s="37"/>
      <c r="N63" s="37"/>
      <c r="O63" s="37"/>
      <c r="P63" s="37"/>
      <c r="Q63" s="37"/>
      <c r="R63" s="37"/>
      <c r="S63" s="37"/>
    </row>
    <row r="64" spans="1:77" ht="3" customHeight="1">
      <c r="A64" s="26"/>
      <c r="B64" s="26"/>
      <c r="C64" s="26"/>
      <c r="D64" s="26"/>
      <c r="E64" s="26"/>
      <c r="F64" s="26"/>
      <c r="G64" s="26"/>
      <c r="H64" s="26"/>
      <c r="I64" s="26"/>
      <c r="J64" s="26"/>
      <c r="K64" s="26"/>
      <c r="L64" s="26"/>
      <c r="M64" s="26"/>
      <c r="N64" s="26"/>
      <c r="O64" s="26"/>
      <c r="P64" s="26"/>
      <c r="Q64" s="26"/>
      <c r="R64" s="26"/>
      <c r="S64" s="26"/>
    </row>
    <row r="65" spans="1:287" ht="3" customHeight="1">
      <c r="A65" s="37"/>
      <c r="B65" s="37"/>
      <c r="C65" s="37"/>
      <c r="D65" s="37"/>
      <c r="E65" s="37"/>
      <c r="F65" s="37"/>
      <c r="G65" s="37"/>
      <c r="H65" s="37"/>
      <c r="I65" s="37"/>
      <c r="J65" s="37"/>
      <c r="K65" s="37"/>
      <c r="L65" s="37"/>
      <c r="M65" s="37"/>
      <c r="N65" s="37"/>
      <c r="O65" s="37"/>
      <c r="P65" s="37"/>
      <c r="Q65" s="37"/>
      <c r="R65" s="37"/>
      <c r="S65" s="37"/>
    </row>
    <row r="66" spans="1:287" ht="12" hidden="1" customHeight="1">
      <c r="A66" s="37"/>
      <c r="B66" s="37"/>
      <c r="C66" s="37"/>
      <c r="D66" s="37"/>
      <c r="E66" s="37"/>
      <c r="F66" s="37"/>
      <c r="G66" s="37"/>
      <c r="H66" s="37"/>
      <c r="I66" s="37"/>
      <c r="J66" s="37"/>
      <c r="K66" s="37"/>
      <c r="L66" s="37"/>
      <c r="M66" s="37"/>
      <c r="N66" s="37"/>
      <c r="O66" s="37"/>
      <c r="P66" s="37"/>
      <c r="Q66" s="37"/>
      <c r="R66" s="37"/>
      <c r="S66" s="37"/>
    </row>
    <row r="67" spans="1:287" ht="3" hidden="1" customHeight="1">
      <c r="A67" s="37"/>
      <c r="B67" s="37"/>
      <c r="C67" s="37"/>
      <c r="D67" s="37"/>
      <c r="E67" s="37"/>
      <c r="F67" s="37"/>
      <c r="G67" s="37"/>
      <c r="H67" s="37"/>
      <c r="I67" s="37"/>
      <c r="J67" s="37"/>
      <c r="K67" s="37"/>
      <c r="L67" s="37"/>
      <c r="M67" s="37"/>
      <c r="N67" s="37"/>
      <c r="O67" s="37"/>
      <c r="P67" s="37"/>
      <c r="Q67" s="37"/>
      <c r="R67" s="37"/>
      <c r="S67" s="37"/>
    </row>
    <row r="68" spans="1:287" ht="15" hidden="1" customHeight="1">
      <c r="A68" s="37"/>
      <c r="B68" s="37"/>
      <c r="C68" s="37"/>
      <c r="D68" s="37"/>
      <c r="E68" s="37"/>
      <c r="F68" s="37"/>
      <c r="G68" s="37"/>
      <c r="H68" s="37"/>
      <c r="I68" s="37"/>
      <c r="J68" s="37"/>
      <c r="K68" s="37"/>
      <c r="L68" s="37"/>
      <c r="M68" s="37"/>
      <c r="N68" s="37"/>
      <c r="O68" s="37"/>
      <c r="P68" s="37"/>
      <c r="Q68" s="37"/>
      <c r="R68" s="37"/>
      <c r="S68" s="37"/>
    </row>
    <row r="69" spans="1:287" ht="3" hidden="1" customHeight="1">
      <c r="A69" s="37"/>
      <c r="B69" s="37"/>
      <c r="C69" s="37"/>
      <c r="D69" s="37"/>
      <c r="E69" s="37"/>
      <c r="F69" s="37"/>
      <c r="G69" s="37"/>
      <c r="H69" s="37"/>
      <c r="I69" s="37"/>
      <c r="J69" s="37"/>
      <c r="K69" s="37"/>
      <c r="L69" s="37"/>
      <c r="M69" s="37"/>
      <c r="N69" s="37"/>
      <c r="O69" s="37"/>
      <c r="P69" s="37"/>
      <c r="Q69" s="37"/>
      <c r="R69" s="37"/>
      <c r="S69" s="37"/>
    </row>
    <row r="70" spans="1:287" ht="15" hidden="1" customHeight="1">
      <c r="A70" s="37"/>
      <c r="B70" s="37"/>
      <c r="C70" s="37"/>
      <c r="D70" s="37"/>
      <c r="E70" s="37"/>
      <c r="F70" s="37"/>
      <c r="G70" s="37"/>
      <c r="H70" s="37"/>
      <c r="I70" s="37"/>
      <c r="J70" s="37"/>
      <c r="K70" s="37"/>
      <c r="L70" s="37"/>
      <c r="M70" s="37"/>
      <c r="N70" s="37"/>
      <c r="O70" s="37"/>
      <c r="P70" s="37"/>
      <c r="Q70" s="37"/>
      <c r="R70" s="37"/>
      <c r="S70" s="37"/>
    </row>
    <row r="71" spans="1:287" ht="3" hidden="1" customHeight="1">
      <c r="A71" s="37"/>
      <c r="B71" s="37"/>
      <c r="C71" s="37"/>
      <c r="D71" s="37"/>
      <c r="E71" s="37"/>
      <c r="F71" s="37"/>
      <c r="G71" s="37"/>
      <c r="H71" s="37"/>
      <c r="I71" s="37"/>
      <c r="J71" s="37"/>
      <c r="K71" s="37"/>
      <c r="L71" s="37"/>
      <c r="M71" s="37"/>
      <c r="N71" s="37"/>
      <c r="O71" s="37"/>
      <c r="P71" s="37"/>
      <c r="Q71" s="37"/>
      <c r="R71" s="37"/>
      <c r="S71" s="37"/>
    </row>
    <row r="72" spans="1:287" ht="15" hidden="1" customHeight="1">
      <c r="A72" s="37"/>
      <c r="B72" s="37"/>
      <c r="C72" s="37"/>
      <c r="D72" s="37"/>
      <c r="E72" s="37"/>
      <c r="F72" s="37"/>
      <c r="G72" s="37"/>
      <c r="H72" s="37"/>
      <c r="I72" s="37"/>
      <c r="J72" s="37"/>
      <c r="K72" s="37"/>
      <c r="L72" s="37"/>
      <c r="M72" s="37"/>
      <c r="N72" s="37"/>
      <c r="O72" s="37"/>
      <c r="P72" s="37"/>
      <c r="Q72" s="37"/>
      <c r="R72" s="37"/>
      <c r="S72" s="37"/>
    </row>
    <row r="73" spans="1:287" ht="3" hidden="1" customHeight="1">
      <c r="A73" s="37"/>
      <c r="B73" s="37"/>
      <c r="C73" s="37"/>
      <c r="D73" s="37"/>
      <c r="E73" s="37"/>
      <c r="F73" s="37"/>
      <c r="G73" s="37"/>
      <c r="H73" s="37"/>
      <c r="I73" s="37"/>
      <c r="J73" s="37"/>
      <c r="K73" s="37"/>
      <c r="L73" s="37"/>
      <c r="M73" s="37"/>
      <c r="N73" s="37"/>
      <c r="O73" s="37"/>
      <c r="P73" s="37"/>
      <c r="Q73" s="37"/>
      <c r="R73" s="37"/>
      <c r="S73" s="37"/>
    </row>
    <row r="74" spans="1:287" ht="15" hidden="1" customHeight="1">
      <c r="A74" s="37"/>
      <c r="B74" s="37"/>
      <c r="C74" s="37"/>
      <c r="D74" s="37"/>
      <c r="E74" s="37"/>
      <c r="F74" s="37"/>
      <c r="G74" s="37"/>
      <c r="H74" s="37"/>
      <c r="I74" s="37"/>
      <c r="J74" s="37"/>
      <c r="K74" s="37"/>
      <c r="L74" s="37"/>
      <c r="M74" s="37"/>
      <c r="N74" s="37"/>
      <c r="O74" s="37"/>
      <c r="P74" s="37"/>
      <c r="Q74" s="37"/>
      <c r="R74" s="37"/>
      <c r="S74" s="37"/>
    </row>
    <row r="75" spans="1:287" ht="3" hidden="1" customHeight="1">
      <c r="A75" s="37"/>
      <c r="B75" s="37"/>
      <c r="C75" s="37"/>
      <c r="D75" s="37"/>
      <c r="E75" s="37"/>
      <c r="F75" s="37"/>
      <c r="G75" s="37"/>
      <c r="H75" s="37"/>
      <c r="I75" s="37"/>
      <c r="J75" s="37"/>
      <c r="K75" s="37"/>
      <c r="L75" s="37"/>
      <c r="M75" s="37"/>
      <c r="N75" s="37"/>
      <c r="O75" s="37"/>
      <c r="P75" s="37"/>
      <c r="Q75" s="37"/>
      <c r="R75" s="37"/>
      <c r="S75" s="37"/>
    </row>
    <row r="76" spans="1:287" ht="15" hidden="1" customHeight="1">
      <c r="A76" s="37"/>
      <c r="B76" s="37"/>
      <c r="C76" s="37"/>
      <c r="D76" s="37"/>
      <c r="E76" s="37"/>
      <c r="F76" s="37"/>
      <c r="G76" s="37"/>
      <c r="H76" s="37"/>
      <c r="I76" s="37"/>
      <c r="J76" s="37"/>
      <c r="K76" s="37"/>
      <c r="L76" s="37"/>
      <c r="M76" s="37"/>
      <c r="N76" s="37"/>
      <c r="O76" s="37"/>
      <c r="P76" s="37"/>
      <c r="Q76" s="37"/>
      <c r="R76" s="37"/>
      <c r="S76" s="37"/>
    </row>
    <row r="77" spans="1:287" ht="16.5" customHeight="1">
      <c r="A77" s="37"/>
      <c r="B77" s="66"/>
      <c r="C77" s="66"/>
      <c r="D77" s="62">
        <f>SUM(D81:D140)</f>
        <v>1944.7300000000005</v>
      </c>
      <c r="E77" s="66"/>
      <c r="F77" s="66"/>
      <c r="G77" s="66"/>
      <c r="H77" s="66"/>
      <c r="I77" s="37"/>
      <c r="J77" s="37"/>
      <c r="K77" s="37"/>
      <c r="L77" s="37"/>
      <c r="M77" s="37"/>
      <c r="N77" s="37"/>
      <c r="O77" s="37"/>
      <c r="P77" s="37"/>
      <c r="Q77" s="37"/>
      <c r="R77" s="37"/>
      <c r="S77" s="37"/>
    </row>
    <row r="78" spans="1:287" ht="22.5" customHeight="1" thickBot="1">
      <c r="A78" s="1"/>
      <c r="B78" s="66"/>
      <c r="C78" s="66"/>
      <c r="D78" s="239">
        <f>AVERAGE(D81:D140)</f>
        <v>108.04055555555558</v>
      </c>
      <c r="E78" s="66"/>
      <c r="F78" s="66"/>
      <c r="G78" s="66"/>
      <c r="H78" s="66"/>
      <c r="I78" s="66"/>
      <c r="J78" s="66"/>
      <c r="K78" s="66"/>
      <c r="L78" s="66"/>
      <c r="M78" s="66"/>
      <c r="N78" s="66"/>
      <c r="O78" s="66"/>
      <c r="P78" s="66"/>
      <c r="Q78" s="66"/>
      <c r="R78" s="66"/>
      <c r="S78" s="66"/>
    </row>
    <row r="79" spans="1:287" ht="24.95" customHeight="1" thickBot="1">
      <c r="A79" s="1"/>
      <c r="B79" s="67" t="s">
        <v>211</v>
      </c>
      <c r="C79" s="67" t="s">
        <v>212</v>
      </c>
      <c r="D79" s="67" t="s">
        <v>213</v>
      </c>
      <c r="E79" s="67" t="s">
        <v>214</v>
      </c>
      <c r="F79" s="67" t="s">
        <v>133</v>
      </c>
      <c r="G79" s="67" t="s">
        <v>215</v>
      </c>
      <c r="H79" s="67" t="s">
        <v>151</v>
      </c>
      <c r="I79" s="66"/>
      <c r="J79" s="68" t="b">
        <f>IF($F$10="ასიმეტრიული","გთხოვთ შეავსოთ შესატანი თანხები",IF($F$10="ასიმეტრიული პროცენტით","გთხოვთ შეავსოთ ძირი თანხები"))</f>
        <v>0</v>
      </c>
      <c r="K79" s="69" t="s">
        <v>211</v>
      </c>
      <c r="L79" s="67" t="s">
        <v>212</v>
      </c>
      <c r="M79" s="67" t="s">
        <v>213</v>
      </c>
      <c r="N79" s="67" t="s">
        <v>214</v>
      </c>
      <c r="O79" s="67" t="s">
        <v>133</v>
      </c>
      <c r="P79" s="67" t="s">
        <v>215</v>
      </c>
      <c r="Q79" s="67" t="s">
        <v>151</v>
      </c>
      <c r="R79" s="68" t="b">
        <f>IF($O$28="ასიმეტრიული","შეავსეთ შესატანი თანხები",IF($O$28="ასიმეტრიული პროცენტით","შეავსეთ ძირი თანხები"))</f>
        <v>0</v>
      </c>
      <c r="S79" s="66"/>
      <c r="U79" s="70" t="s">
        <v>211</v>
      </c>
      <c r="V79" s="71" t="s">
        <v>212</v>
      </c>
      <c r="W79" s="71" t="s">
        <v>213</v>
      </c>
      <c r="X79" s="71" t="s">
        <v>133</v>
      </c>
      <c r="Y79" s="71" t="s">
        <v>215</v>
      </c>
      <c r="Z79" s="72" t="s">
        <v>151</v>
      </c>
      <c r="AB79" s="70" t="s">
        <v>213</v>
      </c>
      <c r="AC79" s="71" t="s">
        <v>216</v>
      </c>
      <c r="AD79" s="71" t="s">
        <v>217</v>
      </c>
      <c r="AE79" s="71" t="s">
        <v>218</v>
      </c>
      <c r="AF79" s="71" t="s">
        <v>212</v>
      </c>
      <c r="AG79" s="71" t="s">
        <v>219</v>
      </c>
      <c r="AH79" s="71" t="s">
        <v>220</v>
      </c>
      <c r="AI79" s="73"/>
      <c r="AJ79" s="71" t="s">
        <v>213</v>
      </c>
      <c r="AK79" s="71" t="s">
        <v>216</v>
      </c>
      <c r="AL79" s="71" t="s">
        <v>217</v>
      </c>
      <c r="AM79" s="71" t="s">
        <v>218</v>
      </c>
      <c r="AN79" s="71" t="s">
        <v>212</v>
      </c>
      <c r="AO79" s="71" t="s">
        <v>219</v>
      </c>
      <c r="AP79" s="72" t="s">
        <v>220</v>
      </c>
      <c r="AR79" s="70" t="s">
        <v>213</v>
      </c>
      <c r="AS79" s="71" t="s">
        <v>216</v>
      </c>
      <c r="AT79" s="71" t="s">
        <v>217</v>
      </c>
      <c r="AU79" s="71" t="s">
        <v>218</v>
      </c>
      <c r="AV79" s="71" t="s">
        <v>212</v>
      </c>
      <c r="AW79" s="71" t="s">
        <v>219</v>
      </c>
      <c r="AX79" s="71" t="s">
        <v>220</v>
      </c>
      <c r="AY79" s="73"/>
      <c r="AZ79" s="71" t="s">
        <v>213</v>
      </c>
      <c r="BA79" s="71" t="s">
        <v>216</v>
      </c>
      <c r="BB79" s="71" t="s">
        <v>217</v>
      </c>
      <c r="BC79" s="71" t="s">
        <v>218</v>
      </c>
      <c r="BD79" s="71" t="s">
        <v>212</v>
      </c>
      <c r="BE79" s="71" t="s">
        <v>219</v>
      </c>
      <c r="BF79" s="72" t="s">
        <v>220</v>
      </c>
      <c r="BH79" s="74" t="s">
        <v>221</v>
      </c>
      <c r="BJ79" s="75" t="s">
        <v>222</v>
      </c>
      <c r="BK79" s="233" t="s">
        <v>223</v>
      </c>
      <c r="BL79" s="233" t="s">
        <v>130</v>
      </c>
      <c r="BM79" s="233" t="s">
        <v>224</v>
      </c>
      <c r="BN79" s="233" t="s">
        <v>225</v>
      </c>
      <c r="BO79" s="77" t="s">
        <v>226</v>
      </c>
      <c r="BP79" s="233" t="s">
        <v>227</v>
      </c>
      <c r="BQ79" s="233" t="s">
        <v>219</v>
      </c>
      <c r="BR79" s="233" t="s">
        <v>228</v>
      </c>
      <c r="BT79" s="233" t="s">
        <v>229</v>
      </c>
      <c r="BU79" s="233" t="s">
        <v>230</v>
      </c>
      <c r="BV79" s="233"/>
      <c r="BW79" s="653" t="s">
        <v>231</v>
      </c>
      <c r="BX79" s="653"/>
      <c r="BY79" s="653"/>
      <c r="BZ79" s="653"/>
      <c r="CA79" s="653"/>
      <c r="CB79" s="653"/>
      <c r="CC79" s="653"/>
      <c r="CD79" s="653"/>
      <c r="CE79" s="653"/>
      <c r="CF79" s="233" t="s">
        <v>494</v>
      </c>
      <c r="CG79" s="233" t="s">
        <v>495</v>
      </c>
      <c r="CI79" s="233" t="s">
        <v>235</v>
      </c>
      <c r="CJ79" s="233" t="s">
        <v>236</v>
      </c>
      <c r="CK79" s="233" t="s">
        <v>231</v>
      </c>
      <c r="CL79" s="233" t="s">
        <v>234</v>
      </c>
      <c r="CO79" s="233" t="s">
        <v>237</v>
      </c>
      <c r="CP79" s="233" t="s">
        <v>237</v>
      </c>
      <c r="CQ79" s="233" t="s">
        <v>238</v>
      </c>
      <c r="CS79" s="78" t="s">
        <v>239</v>
      </c>
      <c r="CT79" s="79"/>
      <c r="CU79" s="79"/>
      <c r="CV79" s="80"/>
      <c r="CX79" s="78" t="s">
        <v>240</v>
      </c>
      <c r="CY79" s="79"/>
      <c r="CZ79" s="79"/>
      <c r="DA79" s="80"/>
      <c r="DC79" s="78" t="s">
        <v>241</v>
      </c>
      <c r="DD79" s="79"/>
      <c r="DE79" s="79"/>
      <c r="DF79" s="80"/>
      <c r="DH79" s="78" t="s">
        <v>242</v>
      </c>
      <c r="DI79" s="79"/>
      <c r="DJ79" s="79"/>
      <c r="DK79" s="80"/>
      <c r="DM79" s="78" t="s">
        <v>243</v>
      </c>
      <c r="DN79" s="79"/>
      <c r="DO79" s="79"/>
      <c r="DP79" s="80"/>
      <c r="DR79" s="78" t="s">
        <v>244</v>
      </c>
      <c r="DS79" s="79"/>
      <c r="DT79" s="79"/>
      <c r="DU79" s="80"/>
      <c r="DW79" s="78" t="s">
        <v>245</v>
      </c>
      <c r="DX79" s="79"/>
      <c r="DY79" s="79"/>
      <c r="DZ79" s="80"/>
      <c r="EB79" s="78" t="s">
        <v>246</v>
      </c>
      <c r="EC79" s="79"/>
      <c r="ED79" s="79"/>
      <c r="EE79" s="80"/>
      <c r="EG79" s="78" t="s">
        <v>247</v>
      </c>
      <c r="EH79" s="79"/>
      <c r="EI79" s="79"/>
      <c r="EJ79" s="80"/>
      <c r="EL79" s="78" t="s">
        <v>248</v>
      </c>
      <c r="EM79" s="79"/>
      <c r="EN79" s="79"/>
      <c r="EO79" s="80"/>
      <c r="EQ79" s="78" t="s">
        <v>249</v>
      </c>
      <c r="ER79" s="79"/>
      <c r="ES79" s="79"/>
      <c r="ET79" s="80"/>
      <c r="EV79" s="78" t="s">
        <v>250</v>
      </c>
      <c r="EW79" s="79"/>
      <c r="EX79" s="79"/>
      <c r="EY79" s="80"/>
      <c r="FA79" s="78" t="s">
        <v>251</v>
      </c>
      <c r="FB79" s="79"/>
      <c r="FC79" s="79"/>
      <c r="FD79" s="80"/>
      <c r="FF79" s="78" t="s">
        <v>252</v>
      </c>
      <c r="FG79" s="79"/>
      <c r="FH79" s="79"/>
      <c r="FI79" s="80"/>
      <c r="FK79" s="78" t="s">
        <v>253</v>
      </c>
      <c r="FL79" s="79"/>
      <c r="FM79" s="79"/>
      <c r="FN79" s="80"/>
      <c r="FP79" s="78" t="s">
        <v>254</v>
      </c>
      <c r="FQ79" s="79"/>
      <c r="FR79" s="79"/>
      <c r="FS79" s="80"/>
      <c r="FU79" s="78" t="s">
        <v>255</v>
      </c>
      <c r="FV79" s="79"/>
      <c r="FW79" s="79"/>
      <c r="FX79" s="80"/>
      <c r="FZ79" s="78" t="s">
        <v>256</v>
      </c>
      <c r="GA79" s="79"/>
      <c r="GB79" s="79"/>
      <c r="GC79" s="80"/>
      <c r="GE79" s="78" t="s">
        <v>257</v>
      </c>
      <c r="GF79" s="79"/>
      <c r="GG79" s="79"/>
      <c r="GH79" s="80"/>
      <c r="GL79" s="78" t="s">
        <v>239</v>
      </c>
      <c r="GM79" s="79"/>
      <c r="GN79" s="79"/>
      <c r="GO79" s="80"/>
      <c r="GQ79" s="78" t="s">
        <v>240</v>
      </c>
      <c r="GR79" s="79"/>
      <c r="GS79" s="79"/>
      <c r="GT79" s="80"/>
      <c r="GV79" s="78" t="s">
        <v>241</v>
      </c>
      <c r="GW79" s="79"/>
      <c r="GX79" s="79"/>
      <c r="GY79" s="80"/>
      <c r="HA79" s="78" t="s">
        <v>242</v>
      </c>
      <c r="HB79" s="79"/>
      <c r="HC79" s="79"/>
      <c r="HD79" s="80"/>
      <c r="HF79" s="78" t="s">
        <v>243</v>
      </c>
      <c r="HG79" s="79"/>
      <c r="HH79" s="79"/>
      <c r="HI79" s="80"/>
      <c r="HK79" s="78" t="s">
        <v>244</v>
      </c>
      <c r="HL79" s="79"/>
      <c r="HM79" s="79"/>
      <c r="HN79" s="80"/>
      <c r="HP79" s="78" t="s">
        <v>245</v>
      </c>
      <c r="HQ79" s="79"/>
      <c r="HR79" s="79"/>
      <c r="HS79" s="80"/>
      <c r="HU79" s="78" t="s">
        <v>246</v>
      </c>
      <c r="HV79" s="79"/>
      <c r="HW79" s="79"/>
      <c r="HX79" s="80"/>
      <c r="HZ79" s="78" t="s">
        <v>247</v>
      </c>
      <c r="IA79" s="79"/>
      <c r="IB79" s="79"/>
      <c r="IC79" s="80"/>
      <c r="IE79" s="78" t="s">
        <v>248</v>
      </c>
      <c r="IF79" s="79"/>
      <c r="IG79" s="79"/>
      <c r="IH79" s="80"/>
      <c r="IJ79" s="78" t="s">
        <v>249</v>
      </c>
      <c r="IK79" s="79"/>
      <c r="IL79" s="79"/>
      <c r="IM79" s="80"/>
      <c r="IO79" s="78" t="s">
        <v>250</v>
      </c>
      <c r="IP79" s="79"/>
      <c r="IQ79" s="79"/>
      <c r="IR79" s="80"/>
      <c r="IT79" s="78" t="s">
        <v>251</v>
      </c>
      <c r="IU79" s="79"/>
      <c r="IV79" s="79"/>
      <c r="IW79" s="80"/>
      <c r="IY79" s="78" t="s">
        <v>252</v>
      </c>
      <c r="IZ79" s="79"/>
      <c r="JA79" s="79"/>
      <c r="JB79" s="80"/>
      <c r="JD79" s="78" t="s">
        <v>253</v>
      </c>
      <c r="JE79" s="79"/>
      <c r="JF79" s="79"/>
      <c r="JG79" s="80"/>
      <c r="JI79" s="78" t="s">
        <v>254</v>
      </c>
      <c r="JJ79" s="79"/>
      <c r="JK79" s="79"/>
      <c r="JL79" s="80"/>
      <c r="JN79" s="78" t="s">
        <v>255</v>
      </c>
      <c r="JO79" s="79"/>
      <c r="JP79" s="79"/>
      <c r="JQ79" s="80"/>
      <c r="JS79" s="78" t="s">
        <v>256</v>
      </c>
      <c r="JT79" s="79"/>
      <c r="JU79" s="79"/>
      <c r="JV79" s="80"/>
      <c r="JX79" s="78" t="s">
        <v>257</v>
      </c>
      <c r="JY79" s="79"/>
      <c r="JZ79" s="79"/>
      <c r="KA79" s="80"/>
    </row>
    <row r="80" spans="1:287" ht="12" customHeight="1">
      <c r="A80" s="2"/>
      <c r="B80" s="81">
        <v>0</v>
      </c>
      <c r="C80" s="82">
        <f>DATE($F$28,$G$28,$H$28)</f>
        <v>43536</v>
      </c>
      <c r="D80" s="83"/>
      <c r="E80" s="83"/>
      <c r="F80" s="83"/>
      <c r="G80" s="83"/>
      <c r="H80" s="83">
        <f>H14</f>
        <v>1500</v>
      </c>
      <c r="I80" s="66"/>
      <c r="J80" s="84">
        <f>H14</f>
        <v>1500</v>
      </c>
      <c r="K80" s="69">
        <v>0</v>
      </c>
      <c r="L80" s="82">
        <f>IFERROR(DATE($F$46,$G$46,$H$46),0)</f>
        <v>0</v>
      </c>
      <c r="M80" s="83"/>
      <c r="N80" s="83"/>
      <c r="O80" s="83"/>
      <c r="P80" s="83"/>
      <c r="Q80" s="83">
        <f>R28</f>
        <v>2000</v>
      </c>
      <c r="R80" s="84">
        <f>R28</f>
        <v>2000</v>
      </c>
      <c r="S80" s="66"/>
      <c r="U80" s="85" t="e">
        <f t="shared" ref="U80:U143" si="0">IF(DATE($F$46,$G$46,$H$46)&lt;C80,"",B80)</f>
        <v>#NUM!</v>
      </c>
      <c r="V80" s="86" t="e">
        <f>IF($U80="",0,$C80)</f>
        <v>#NUM!</v>
      </c>
      <c r="W80" s="87"/>
      <c r="X80" s="87"/>
      <c r="Y80" s="87"/>
      <c r="Z80" s="88" t="e">
        <f t="shared" ref="Z80:Z143" si="1">IF($U80="",0,$H80)</f>
        <v>#NUM!</v>
      </c>
      <c r="AB80" s="89">
        <f>IF(OR($F$10="ანუიტეტური",$F$10="სამომხმარებლო",$F$10="საშეღავათო",$F$10="ნულოვანი საშეღავათო",$F$10="ასიმეტრიული",$F$10="ასიმეტრიული პროცენტით"),-$H$14+$I$24+$R$18+IF($H$16="GEL",($R$10+$R$12),ROUND(($R$10+$R$12)/$H$18,2)),IF($F$10="ბიზნეს ოვერდრაფტი",-$H$14+$I$24+$R$18+IF($H$16="GEL",$R$22,ROUND($R$22/$H$18,2)),IF($F$10="დეპოზიტით უზრუნველყოფილი",-$H$14+$I$24,"WTF")))</f>
        <v>-1447.72</v>
      </c>
      <c r="AC80" s="87">
        <f>ROUND((AB80)*($BJ$81+(C80-$C$80)*$BJ$82),2)</f>
        <v>-1447.72</v>
      </c>
      <c r="AD80" s="87" t="str">
        <f>IF($F$10="ბიზნეს ოვერდრაფტი",-$H$14+$I$24+$R$24+IF($H$16="GEL",$R$22,ROUND($R$22/$H$18,2)),"")</f>
        <v/>
      </c>
      <c r="AE80" s="87" t="str">
        <f>IF($F$10="ბიზნეს ოვერდრაფტი",ROUND((AD80)*($BJ$81+(C80-$C$80)*$BJ$82),2),"")</f>
        <v/>
      </c>
      <c r="AF80" s="86">
        <f>IF($F$10="დეპოზიტით უზრუნველყოფილი",0,DATE($F$28,$G$28,$H$28))</f>
        <v>43536</v>
      </c>
      <c r="AG80" s="87">
        <f t="shared" ref="AG80:AG143" si="2">IF($F$10="დეპოზიტით უზრუნველყოფილი",0,IF(AF80&gt;0,IF($H$16="GEL",$R$14,ROUND($R$14/$H$18,2)),0))</f>
        <v>1.5</v>
      </c>
      <c r="AH80" s="87"/>
      <c r="AI80" s="90"/>
      <c r="AJ80" s="87" t="e">
        <f>IF(OR($F$46="",DATE($F$34,$G$34,$H$34)&lt;=DATE($F$46,$G$46,$H$46)),0,IF(OR($O$28="ანუიტეტური",$O$28="სამომხმარებლო",$O$28="საშეღავათო",$O$28="ნულოვანი საშეღავათო",$O$28="ასიმეტრიული",$O$28="ასიმეტრიული პროცენტით"),-$R$28+$S$34+$R$42+IF($P$32="GEL",($Q$36+$R$36),ROUND(($Q$36+$R$36)/$Q$32,2)),IF($O$28="ბიზნეს ოვერდრაფტი",-$R$28+$S$34+$R$42+IF($P$32="GEL",$R$48,ROUND($R$48/$Q$32,2)),IF($O$28="დეპოზიტით უზრუნველყოფილი",-$R$28+$S$34,"WTF"))))</f>
        <v>#NUM!</v>
      </c>
      <c r="AK80" s="87" t="e">
        <f>IF(OR($F$46="",DATE($F$34,$G$34,$H$34)&lt;=DATE($F$46,$G$46,$H$46)),0,ROUND((AJ80)*($BJ$81+(L80-$L$80)*$BJ$82),2))</f>
        <v>#NUM!</v>
      </c>
      <c r="AL80" s="87" t="e">
        <f>IF(OR($F$46="",DATE($F$34,$G$34,$H$34)&lt;=DATE($F$46,$G$46,$H$46)),0,IF($O$28="ბიზნეს ოვერდრაფტი",-$R$28+$S$34+$R$50+IF($P$32="GEL",$R$48,ROUND($R$48/$Q$32,2)),""))</f>
        <v>#NUM!</v>
      </c>
      <c r="AM80" s="87" t="e">
        <f>IF(OR($F$46="",DATE($F$34,$G$34,$H$34)&lt;=DATE($F$46,$G$46,$H$46)),0,IF($O$28="ბიზნეს ოვერდრაფტი",ROUND((AL80)*($BJ$81+(L80-$L$80)*$BJ$82),2),""))</f>
        <v>#NUM!</v>
      </c>
      <c r="AN80" s="86" t="e">
        <f>IF(OR($F$46="",DATE($F$34,$G$34,$H$34)&lt;=DATE($F$46,$G$46,$H$46)),0,IF($O$28="დეპოზიტით უზრუნველყოფილი",0,DATE($F$46,$G$46,$H$46)))</f>
        <v>#NUM!</v>
      </c>
      <c r="AO80" s="87" t="e">
        <f>IF($O$28="დეპოზიტით უზრუნველყოფილი",0,IF(AN80&gt;0,IF($H$16="GEL",$R$38,ROUND($R$38/$Q$32,2)),0))</f>
        <v>#NUM!</v>
      </c>
      <c r="AP80" s="88"/>
      <c r="AR80" s="89">
        <f>IF(AND(OR($F$10="ანუიტეტური",$F$10="სამომხმარებლო",$F$10="საშეღავათო",$F$10="ნულოვანი საშეღავათო",$F$10="ასიმეტრიული",$F$10="ასიმეტრიული პროცენტით"),$H$16="GEL"),ROUND(-$H$14+$I$24+$R$18+$R$10+$R$12,2),IF(AND(OR($F$10="ანუიტეტური",$F$10="სამომხმარებლო",$F$10="საშეღავათო",$F$10="ნულოვანი საშეღავათო",$F$10="ასიმეტრიული",$F$10="ასიმეტრიული პროცენტით"),$H$16="USD"),ROUND(-$H$14*$H$18,2)+ROUND($I$24*$H$18,2)+ROUND($R$18*$H$18,2)+$R$10+$R$12,IF(AND($F$10="ბიზნეს ოვერდრაფტი",$H$16="GEL"),ROUND(-$H$14+$I$24+$R$18+$R$22,2),IF(AND($F$10="ბიზნეს ოვერდრაფტი",$H$16="USD"),ROUND(-$H$14*$H$18,2)+ROUND($I$24*$H$18,2)+ROUND($R$18*$H$18,2)+$R$22,IF(AND($F$10="დეპოზიტით უზრუნველყოფილი",$H$16="GEL"),ROUND(-$H$14+$I$24,2),IF(AND($F$10="დეპოზიტით უზრუნველყოფილი",$H$16="USD"),ROUND(-$H$14*$H$18,2)+ROUND($I$24*$H$18,2),"WTF"))))))</f>
        <v>-1447.72</v>
      </c>
      <c r="AS80" s="87">
        <f>ROUND((AR80)*($BJ$81+(C80-$C$80)*$BJ$82),2)</f>
        <v>-1447.72</v>
      </c>
      <c r="AT80" s="87" t="str">
        <f>IF(AND($F$10="ბიზნეს ოვერდრაფტი",$H$16="GEL"),ROUND(-$H$14+$I$24+$R$22+$R$24,2),IF(AND($F$10="ბიზნეს ოვერდრაფტი",$H$16="USD"),ROUND(-$H$14*$H$18,2)+ROUND($I$24*$H$18,2)+$R$22+ROUND($R$24*$H$18,2),""))</f>
        <v/>
      </c>
      <c r="AU80" s="87" t="str">
        <f>IF($F$10="ბიზნეს ოვერდრაფტი",ROUND((AT80)*($BJ$81+(C80-$C$80)*$BJ$82),2),"")</f>
        <v/>
      </c>
      <c r="AV80" s="86">
        <f>IF($F$10="დეპოზიტით უზრუნველყოფილი",0,DATE($F$28,$G$28,$H$28))</f>
        <v>43536</v>
      </c>
      <c r="AW80" s="87">
        <f>IF($F$10="დეპოზიტით უზრუნველყოფილი",0,IF(AF80&gt;0,$R$14,0))</f>
        <v>1.5</v>
      </c>
      <c r="AX80" s="87"/>
      <c r="AY80" s="93"/>
      <c r="AZ80" s="87">
        <f ca="1">IFERROR(IF(OR($F$46="",$G$46="",$H$46="",DATE($F$34,$G$34,$H$34)&lt;=DATE($F$46,$G$46,$H$46),AND(DATE($F$46,$G$46,$H$46)&lt;DATE($F$34,$G$34,$H$34),$J$46=$BR$81)),0,IF(DATE($F$46,$G$46,$H$46)&lt;DATE($F$34,$G$34,$H$34),IF(AND(OR($O$28="ანუიტეტური",$O$28="სამომხმარებლო",$O$28="საშეღავათო",$O$28="ნულოვანი საშეღავათო",$O$28="ასიმეტრიული",$O$28="ასიმეტრიული პროცენტით"),$P$32="GEL",$H$16="GEL"),-$R$28+$S$34+$R$42+$Q$36+$R$36+$H$22/$I$22*(DATE($F$46,$G$46,$H$46)-INDIRECT(ADDRESS(79+(MATCH(MAX($U$80:$U$200),$B$80:$B$200,0)),3)))*INDIRECT(ADDRESS(79+(MATCH(MAX($U$80:$U$200),$B$80:$B$200,0)),8))+INDIRECT(ADDRESS(79+(MATCH(MAX($U$80:$U$200),$B$80:$B$200,0)),8)),IF(AND(OR($O$28="ანუიტეტური",$O$28="სამომხმარებლო",$O$28="საშეღავათო",$O$28="ნულოვანი საშეღავათო",$O$28="ასიმეტრიული",$O$28="ასიმეტრიული პროცენტით"),$P$32="GEL",$H$16="USD"),-$R$28+$S$34+$R$42+$Q$36+$R$36+$H$22/$I$22*(DATE($F$46,$G$46,$H$46)-INDIRECT(ADDRESS(79+(MATCH(MAX($U$80:$U$200),$B$80:$B$200,0)),3)))*(INDIRECT(ADDRESS(79+(MATCH(MAX($U$80:$U$200),$B$80:$B$200,0)),8))*$Q$32)+(INDIRECT(ADDRESS(79+(MATCH(MAX($U$80:$U$200),$B$80:$B$200,0)),8))*$Q$32),IF(AND(OR($O$28="ანუიტეტური",$O$28="სამომხმარებლო",$O$28="საშეღავათო",$O$28="ნულოვანი საშეღავათო",$O$28="ასიმეტრიული",$O$28="ასიმეტრიული პროცენტით"),$P$32="USD"),-$R$28*$Q$32+$S$34*$Q$32+$R$42*$Q$32+$Q$36+$R$36+($H$22/$I$22*(DATE($F$46,$G$46,$H$46)-INDIRECT(ADDRESS(79+(MATCH(MAX($U$80:$U$200),$B$80:$B$200,0)),3)))*INDIRECT(ADDRESS(79+(MATCH(MAX($U$80:$U$200),$B$80:$B$200,0)),8))*$Q$32)+INDIRECT(ADDRESS(79+(MATCH(MAX($U$80:$U$200),$B$80:$B$200,0)),8))*$Q$32,IF(AND($O$28="ბიზნეს ოვერდრაფტი",$P$32="GEL",$H$16="GEL"),-$R$28+$S$34+$R$42+$R$48+$H$22/$I$22*(DATE($F$46,$G$46,$H$46)-INDIRECT(ADDRESS(79+(MATCH(MAX($U$80:$U$200),$B$80:$B$200,0)),3)))*INDIRECT(ADDRESS(79+(MATCH(MAX($U$80:$U$200),$B$80:$B$200,0)),8))+INDIRECT(ADDRESS(79+(MATCH(MAX($U$80:$U$200),$B$80:$B$200,0)),8)),IF(AND($O$28="ბიზნეს ოვერდრაფტი",$P$32="GEL",$H$16="USD"),-$R$28+$S$34+$R$42+$R$48+$H$22/$I$22*(DATE($F$46,$G$46,$H$46)-INDIRECT(ADDRESS(79+(MATCH(MAX($U$80:$U$200),$B$80:$B$200,0)),3)))*(INDIRECT(ADDRESS(79+(MATCH(MAX($U$80:$U$200),$B$80:$B$200,0)),8))*$Q$32)+(INDIRECT(ADDRESS(79+(MATCH(MAX($U$80:$U$200),$B$80:$B$200,0)),8))*$Q$32),IF(AND($O$28="ბიზნეს ოვერდრაფტი",$P$32="USD"),-$R$28+$S$34+$R$42+$R$48+$H$22/$I$22*(DATE($F$46,$G$46,$H$46)-INDIRECT(ADDRESS(79+(MATCH(MAX($U$80:$U$200),$B$80:$B$200,0)),3)))*INDIRECT(ADDRESS(79+(MATCH(MAX($U$80:$U$200),$B$80:$B$200,0)),8))+INDIRECT(ADDRESS(79+(MATCH(MAX($U$80:$U$200),$B$80:$B$200,0)),8))*$Q$32,IF(AND($O$28="დეპოზიტით უზრუნველყოფილი",$P$32="GEL"),-$R$28+$S$34,IF(AND($O$28="დეპოზიტით უზრუნველყოფილი",$P$32="USD"),-$R$28*$Q$32+$S$34*$Q$32,"WTF")))))))),IF(AND(OR($O$28="ანუიტეტური",$O$28="სამომხმარებლო",$O$28="საშეღავათო",$O$28="ნულოვანი საშეღავათო",$O$28="ასიმეტრიული",$O$28="ასიმეტრიული პროცენტით"),$P$32="GEL"),-$R$28+$S$34+$R$42+$Q$36+$R$36,IF(AND(OR($O$28="ანუიტეტური",$O$28="სამომხმარებლო",$O$28="საშეღავათო",$O$28="ნულოვანი საშეღავათო",$O$28="ასიმეტრიული",$O$28="ასიმეტრიული პროცენტით"),$P$32="USD"),-$R$28*$Q$32+$S$34*$Q$32+$R$42*$Q$32+$Q$36+$R$36,IF(AND($O$28="ბიზნეს ოვერდრაფტი",$P$32="GEL"),-$R$28+$S$34+$R$42+$R$48,IF(AND($O$28="ბიზნეს ოვერდრაფტი",$P$32="USD"),-$R$28*$Q$32+$S$34*$Q$32+$R$42*$Q$32+$R$48,IF(AND($O$28="დეპოზიტით უზრუნველყოფილი",$P$32="GEL"),-$R$28+$S$34,IF(AND($O$28="დეპოზიტით უზრუნველყოფილი",$P$32="USD"),-$R$28*$Q$32+$S$34*$Q$32,"WTF")))))))),0)</f>
        <v>0</v>
      </c>
      <c r="BA80" s="87">
        <f>IFERROR(IF(OR($F$46="",$G$46="",$H$46="",DATE($F$34,$G$34,$H$34)&lt;=DATE($F$46,$G$46,$H$46)),0,(AZ80)*($BJ$81+(L80-$L$80)*$BJ$82)),0)</f>
        <v>0</v>
      </c>
      <c r="BB80" s="87">
        <f ca="1">IFERROR(IF(OR($F$46="",$G$46="",$H$46="",DATE($F$34,$G$34,$H$34)&lt;=DATE($F$46,$G$46,$H$46)),0,IF(DATE($F$46,$G$46,$H$46)&lt;DATE($F$34,$G$34,$H$34),IF(AND($O$28="ბიზნეს ოვერდრაფტი",$P$32="GEL",$H$16="GEL"),-$R$28+$S$34+$R$48+$R$50+$H$22/$I$22*(DATE($F$46,$G$46,$H$46)-INDIRECT(ADDRESS(79+(MATCH(MAX($U$80:$U$200),$B$80:$B$200,0)),3)))*INDIRECT(ADDRESS(79+(MATCH(MAX($U$80:$U$200),$B$80:$B$200,0)),8))+INDIRECT(ADDRESS(79+(MATCH(MAX($U$80:$U$200),$B$80:$B$200,0)),8)),IF(AND($O$28="ბიზნეს ოვერდრაფტი",$P$32="GEL",$H$16="USD"),-$R$28+$S$34+$R$48+$R$50+$H$22/$I$22*(DATE($F$46,$G$46,$H$46)-INDIRECT(ADDRESS(79+(MATCH(MAX($U$80:$U$200),$B$80:$B$200,0)),3)))*(INDIRECT(ADDRESS(79+(MATCH(MAX($U$80:$U$200),$B$80:$B$200,0)),8))*$Q$32)+(INDIRECT(ADDRESS(79+(MATCH(MAX($U$80:$U$200),$B$80:$B$200,0)),8))*$Q$32),IF(AND($O$28="ბიზნეს ოვერდრაფტი",$P$32="USD"),-$R$28*$Q$32+$S$34*$Q$32+$R$48+$R$50*$Q$32+($H$22/$I$22*(DATE($F$46,$G$46,$H$46)-INDIRECT(ADDRESS(79+(MATCH(MAX($U$80:$U$200),$B$80:$B$200,0)),3)))*(INDIRECT(ADDRESS(79+(MATCH(MAX($U$80:$U$200),$B$80:$B$200,0)),8))*$Q$32)+(INDIRECT(ADDRESS(79+(MATCH(MAX($U$80:$U$200),$B$80:$B$200,0)),8))*$Q$32)),""))),IF(AND($O$28="ბიზნეს ოვერდრაფტი",$P$32="GEL"),-$R$28+$S$34+$R$48+$R$50,IF(AND($O$28="ბიზნეს ოვერდრაფტი",$P$32="USD"),-$R$28*$Q$32+$S$34*$Q$32+$R$48+$R$50*$Q$32,"")))),0)</f>
        <v>0</v>
      </c>
      <c r="BC80" s="87">
        <f>IFERROR(IF(OR($F$46="",DATE($F$34,$G$34,$H$34)&lt;=DATE($F$46,$G$46,$H$46)),0,IF($O$28="ბიზნეს ოვერდრაფტი",(BB80)*($BJ$81+(L80-$L$80)*$BJ$82),"")),0)</f>
        <v>0</v>
      </c>
      <c r="BD80" s="86" t="e">
        <f>IF(OR($F$46="",$G$46="",$H$46="",DATE($F$34,$G$34,$H$34)&lt;=DATE($F$46,$G$46,$H$46)),0,IF($O$28="დეპოზიტით უზრუნველყოფილი",0,DATE($F$46,$G$46,$H$46)))</f>
        <v>#NUM!</v>
      </c>
      <c r="BE80" s="87" t="e">
        <f t="shared" ref="BE80:BE143" si="3">IF($O$28="დეპოზიტით უზრუნველყოფილი",0,IF(BD80&gt;0,$R$38,0))</f>
        <v>#NUM!</v>
      </c>
      <c r="BF80" s="88"/>
      <c r="BH80" s="87">
        <f>AB80*-1</f>
        <v>1447.72</v>
      </c>
      <c r="BJ80" s="94">
        <v>0.15</v>
      </c>
      <c r="BK80" s="95">
        <v>39448</v>
      </c>
      <c r="BL80" s="96">
        <v>1</v>
      </c>
      <c r="BM80" s="96">
        <v>1</v>
      </c>
      <c r="BN80" t="s">
        <v>191</v>
      </c>
      <c r="BO80" s="97" t="s">
        <v>258</v>
      </c>
      <c r="BP80" t="s">
        <v>190</v>
      </c>
      <c r="BQ80" s="98">
        <v>0</v>
      </c>
      <c r="BR80" s="98" t="s">
        <v>152</v>
      </c>
      <c r="BT80" t="s">
        <v>144</v>
      </c>
      <c r="BU80" t="s">
        <v>496</v>
      </c>
      <c r="BW80">
        <v>1</v>
      </c>
      <c r="BX80">
        <v>6</v>
      </c>
      <c r="BY80">
        <v>11</v>
      </c>
      <c r="BZ80">
        <v>15</v>
      </c>
      <c r="CA80">
        <v>24</v>
      </c>
      <c r="CB80">
        <v>36</v>
      </c>
      <c r="CC80">
        <v>48</v>
      </c>
      <c r="CD80">
        <v>60</v>
      </c>
      <c r="CE80">
        <v>61</v>
      </c>
      <c r="CI80" s="100" t="s">
        <v>144</v>
      </c>
      <c r="CJ80" s="100"/>
      <c r="CK80" s="30">
        <v>0</v>
      </c>
      <c r="CL80">
        <v>0</v>
      </c>
      <c r="CN80" s="101" t="s">
        <v>260</v>
      </c>
      <c r="CO80">
        <v>0</v>
      </c>
      <c r="CP80">
        <v>180</v>
      </c>
      <c r="CQ80" s="30">
        <v>0</v>
      </c>
      <c r="CS80" s="102">
        <f>$H$14</f>
        <v>1500</v>
      </c>
      <c r="CT80" s="103"/>
      <c r="CU80" s="103"/>
      <c r="CV80" s="104">
        <f>$H$14</f>
        <v>1500</v>
      </c>
      <c r="CX80" s="102">
        <f>IF(OR($F$10="ანუიტეტური",$F$10="სამომხმარებლო"),IF(MIN(CV$80:CV$200)&lt;0,0,MIN(CV$80:CV$200)),IF($F$10="საშეღავათო",MIN(CV$80:CV$200),IF($F$10="ნულოვანი საშეღავათო",MIN(CV$80:CV$200))))</f>
        <v>10.49000000000035</v>
      </c>
      <c r="CY80" s="103"/>
      <c r="CZ80" s="103"/>
      <c r="DA80" s="104">
        <f>CX80</f>
        <v>10.49000000000035</v>
      </c>
      <c r="DC80" s="102"/>
      <c r="DD80" s="103"/>
      <c r="DE80" s="103"/>
      <c r="DF80" s="104">
        <f>$H$14</f>
        <v>1500</v>
      </c>
      <c r="DH80" s="102">
        <f>IF(OR($F$10="ანუიტეტური",$F$10="სამომხმარებლო"),IF(AND(MIN(CV$80:CV$200)&gt;0,MIN(DF$80:DF$200)&gt;0,CX$80&lt;&gt;0),MIN(DF$80:DF$200),IF(AND(MIN(CV$80:CV$200)&gt;0,MIN(DF$80:DF$200)&lt;0),MIN(DF$80:DF$200),0)),IF($F$10="საშეღავათო",MIN(DF$80:DF$200),IF($F$10="ნულოვანი საშეღავათო",MIN(DF$80:DF$200))))</f>
        <v>0.78999999999992099</v>
      </c>
      <c r="DI80" s="103"/>
      <c r="DJ80" s="103"/>
      <c r="DK80" s="104">
        <f>DH80</f>
        <v>0.78999999999992099</v>
      </c>
      <c r="DM80" s="102"/>
      <c r="DN80" s="103"/>
      <c r="DO80" s="103"/>
      <c r="DP80" s="104">
        <f>$H$14</f>
        <v>1500</v>
      </c>
      <c r="DR80" s="102">
        <f>IF(OR($F$10="ანუიტეტური",$F$10="სამომხმარებლო"),IF(AND(MIN(DF$80:DF$200)&gt;0,MIN(DP$80:DP$200)&gt;0,DH$80&lt;&gt;0),MIN(DP$80:DP$200),IF(AND(MIN(DF$80:DF$200)&gt;0,MIN(DP$80:DP$200)&lt;0),MIN(DP$80:DP$200),0)),IF($F$10="საშეღავათო",MIN(DP$80:DP$200),IF($F$10="ნულოვანი საშეღავათო",MIN(DP$80:DP$200))))</f>
        <v>-0.11000000000001364</v>
      </c>
      <c r="DS80" s="103"/>
      <c r="DT80" s="103"/>
      <c r="DU80" s="104">
        <f>DR80</f>
        <v>-0.11000000000001364</v>
      </c>
      <c r="DW80" s="102"/>
      <c r="DX80" s="103"/>
      <c r="DY80" s="103"/>
      <c r="DZ80" s="104">
        <f>$H$14</f>
        <v>1500</v>
      </c>
      <c r="EB80" s="102">
        <f>IF(OR($F$10="ანუიტეტური",$F$10="სამომხმარებლო"),IF(AND(MIN(DP$80:DP$200)&gt;0,MIN(DZ$80:DZ$200)&gt;0,DR$80&lt;&gt;0),MIN(DZ$80:DZ$200),IF(AND(MIN(DP$80:DP$200)&gt;0,MIN(DZ$80:DZ$200)&lt;0),MIN(DZ$80:DZ$200),0)),IF($F$10="საშეღავათო",MIN(DZ$80:DZ$200),IF($F$10="ნულოვანი საშეღავათო",MIN(DZ$80:DZ$200))))</f>
        <v>0</v>
      </c>
      <c r="EC80" s="103"/>
      <c r="ED80" s="103"/>
      <c r="EE80" s="104">
        <f>EB80</f>
        <v>0</v>
      </c>
      <c r="EG80" s="102"/>
      <c r="EH80" s="103"/>
      <c r="EI80" s="103"/>
      <c r="EJ80" s="104">
        <f>$H$14</f>
        <v>1500</v>
      </c>
      <c r="EL80" s="102">
        <f>IF(OR($F$10="ანუიტეტური",$F$10="სამომხმარებლო"),IF(AND(MIN(DZ$80:DZ$200)&gt;0,MIN(EJ$80:EJ$200)&gt;0,EB$80&lt;&gt;0),MIN(EJ$80:EJ$200),IF(AND(MIN(DZ$80:DZ$200)&gt;0,MIN(EJ$80:EJ$200)&lt;0),MIN(EJ$80:EJ$200),0)),IF($F$10="საშეღავათო",MIN(EJ$80:EJ$200),IF($F$10="ნულოვანი საშეღავათო",MIN(EJ$80:EJ$200))))</f>
        <v>0</v>
      </c>
      <c r="EM80" s="103"/>
      <c r="EN80" s="103"/>
      <c r="EO80" s="104">
        <f>EL80</f>
        <v>0</v>
      </c>
      <c r="EQ80" s="102"/>
      <c r="ER80" s="103"/>
      <c r="ES80" s="103"/>
      <c r="ET80" s="104">
        <f>$H$14</f>
        <v>1500</v>
      </c>
      <c r="EV80" s="102">
        <f>IF(OR($F$10="ანუიტეტური",$F$10="სამომხმარებლო"),IF(AND(MIN(EJ$80:EJ$200)&gt;0,MIN(ET$80:ET$200)&gt;0,EL$80&lt;&gt;0),MIN(ET$80:ET$200),IF(AND(MIN(EJ$80:EJ$200)&gt;0,MIN(ET$80:ET$200)&lt;0),MIN(ET$80:ET$200),0)),IF($F$10="საშეღავათო",MIN(ET$80:ET$200),IF($F$10="ნულოვანი საშეღავათო",MIN(ET$80:ET$200))))</f>
        <v>0</v>
      </c>
      <c r="EW80" s="103"/>
      <c r="EX80" s="103"/>
      <c r="EY80" s="104">
        <f>EV80</f>
        <v>0</v>
      </c>
      <c r="FA80" s="102"/>
      <c r="FB80" s="103"/>
      <c r="FC80" s="103"/>
      <c r="FD80" s="104">
        <f>$H$14</f>
        <v>1500</v>
      </c>
      <c r="FF80" s="102">
        <f>IF(OR($F$10="ანუიტეტური",$F$10="სამომხმარებლო"),IF(AND(MIN(ET$80:ET$200)&gt;0,MIN(FD$80:FD$200)&gt;0,EV$80&lt;&gt;0),MIN(FD$80:FD$200),IF(AND(MIN(ET$80:ET$200)&gt;0,MIN(FD$80:FD$200)&lt;0),MIN(FD$80:FD$200),0)),IF($F$10="საშეღავათო",MIN(FD$80:FD$200),IF($F$10="ნულოვანი საშეღავათო",MIN(FD$80:FD$200))))</f>
        <v>0</v>
      </c>
      <c r="FG80" s="103"/>
      <c r="FH80" s="103"/>
      <c r="FI80" s="104">
        <f>FF80</f>
        <v>0</v>
      </c>
      <c r="FK80" s="102"/>
      <c r="FL80" s="103"/>
      <c r="FM80" s="103"/>
      <c r="FN80" s="104">
        <f>$H$14</f>
        <v>1500</v>
      </c>
      <c r="FP80" s="102">
        <f>IF(OR($F$10="ანუიტეტური",$F$10="სამომხმარებლო"),IF(AND(MIN(FD$80:FD$200)&gt;0,MIN(FN$80:FN$200)&gt;0,FF$80&lt;&gt;0),MIN(FN$80:FN$200),IF(AND(MIN(FD$80:FD$200)&gt;0,MIN(FN$80:FN$200)&lt;0),MIN(FN$80:FN$200),0)),IF($F$10="საშეღავათო",MIN(FN$80:FN$200),IF($F$10="ნულოვანი საშეღავათო",MIN(FN$80:FN$200))))</f>
        <v>0</v>
      </c>
      <c r="FQ80" s="103"/>
      <c r="FR80" s="103"/>
      <c r="FS80" s="104">
        <f>FP80</f>
        <v>0</v>
      </c>
      <c r="FU80" s="102"/>
      <c r="FV80" s="103"/>
      <c r="FW80" s="103"/>
      <c r="FX80" s="104">
        <f>$H$14</f>
        <v>1500</v>
      </c>
      <c r="FZ80" s="102">
        <f>IF(OR($F$10="ანუიტეტური",$F$10="სამომხმარებლო"),IF(AND(MIN(FN$80:FN$200)&gt;0,MIN(FX$80:FX$200)&gt;0,FP$80&lt;&gt;0),MIN(FX$80:FX$200),IF(AND(MIN(FN$80:FN$200)&gt;0,MIN(FX$80:FX$200)&lt;0),MIN(FX$80:FX$200),0)),IF($F$10="საშეღავათო",MIN(FX$80:FX$200),IF($F$10="ნულოვანი საშეღავათო",MIN(FX$80:FX$200))))</f>
        <v>0</v>
      </c>
      <c r="GA80" s="103"/>
      <c r="GB80" s="103"/>
      <c r="GC80" s="104">
        <f>FZ80</f>
        <v>0</v>
      </c>
      <c r="GE80" s="102"/>
      <c r="GF80" s="103"/>
      <c r="GG80" s="103"/>
      <c r="GH80" s="104">
        <f>$H$14</f>
        <v>1500</v>
      </c>
      <c r="GL80" s="102">
        <f>$R$28</f>
        <v>2000</v>
      </c>
      <c r="GM80" s="103"/>
      <c r="GN80" s="103"/>
      <c r="GO80" s="104">
        <f>$R$28</f>
        <v>2000</v>
      </c>
      <c r="GP80" s="51"/>
      <c r="GQ80" s="102">
        <f>IF(OR($F$10="ანუიტეტური",$F$10="სამომხმარებლო"),IF(MIN(GO$80:GO$200)&lt;0,0,MIN(GO$80:GO$200)),IF($F$10="საშეღავათო",MIN(GO$80:GO$200),IF($F$10="ნულოვანი საშეღავათო",MIN(GO$80:GO$200))))</f>
        <v>0</v>
      </c>
      <c r="GR80" s="103"/>
      <c r="GS80" s="103"/>
      <c r="GT80" s="104">
        <f>GQ80</f>
        <v>0</v>
      </c>
      <c r="GU80" s="51"/>
      <c r="GV80" s="102"/>
      <c r="GW80" s="103"/>
      <c r="GX80" s="103"/>
      <c r="GY80" s="104">
        <f>$R$28</f>
        <v>2000</v>
      </c>
      <c r="GZ80" s="51"/>
      <c r="HA80" s="102">
        <f>IF(OR($F$10="ანუიტეტური",$F$10="სამომხმარებლო"),IF(MIN(GY$80:GY$200)&lt;0,0,MIN(GY$80:GY$200)),IF($F$10="საშეღავათო",MIN(GY$80:GY$200),IF($F$10="ნულოვანი საშეღავათო",MIN(GY$80:GY$200))))</f>
        <v>0</v>
      </c>
      <c r="HB80" s="103"/>
      <c r="HC80" s="103"/>
      <c r="HD80" s="104">
        <f>HA80</f>
        <v>0</v>
      </c>
      <c r="HE80" s="51"/>
      <c r="HF80" s="102"/>
      <c r="HG80" s="103"/>
      <c r="HH80" s="103"/>
      <c r="HI80" s="104">
        <f>$R$28</f>
        <v>2000</v>
      </c>
      <c r="HJ80" s="51"/>
      <c r="HK80" s="102">
        <f>IF(OR($F$10="ანუიტეტური",$F$10="სამომხმარებლო"),IF(MIN(HI$80:HI$200)&lt;0,0,MIN(HI$80:HI$200)),IF($F$10="საშეღავათო",MIN(HI$80:HI$200),IF($F$10="ნულოვანი საშეღავათო",MIN(HI$80:HI$200))))</f>
        <v>0</v>
      </c>
      <c r="HL80" s="103"/>
      <c r="HM80" s="103"/>
      <c r="HN80" s="104">
        <f>HK80</f>
        <v>0</v>
      </c>
      <c r="HO80" s="51"/>
      <c r="HP80" s="102"/>
      <c r="HQ80" s="103"/>
      <c r="HR80" s="103"/>
      <c r="HS80" s="104">
        <f>$R$28</f>
        <v>2000</v>
      </c>
      <c r="HT80" s="51"/>
      <c r="HU80" s="102">
        <f>IF(OR($F$10="ანუიტეტური",$F$10="სამომხმარებლო"),IF(MIN(HS$80:HS$200)&lt;0,0,MIN(HS$80:HS$200)),IF($F$10="საშეღავათო",MIN(HS$80:HS$200),IF($F$10="ნულოვანი საშეღავათო",MIN(HS$80:HS$200))))</f>
        <v>0</v>
      </c>
      <c r="HV80" s="103"/>
      <c r="HW80" s="103"/>
      <c r="HX80" s="104">
        <f>HU80</f>
        <v>0</v>
      </c>
      <c r="HY80" s="51"/>
      <c r="HZ80" s="102"/>
      <c r="IA80" s="103"/>
      <c r="IB80" s="103"/>
      <c r="IC80" s="104">
        <f>$R$28</f>
        <v>2000</v>
      </c>
      <c r="ID80" s="51"/>
      <c r="IE80" s="102">
        <f>IF(OR($F$10="ანუიტეტური",$F$10="სამომხმარებლო"),IF(MIN(IC$80:IC$200)&lt;0,0,MIN(IC$80:IC$200)),IF($F$10="საშეღავათო",MIN(IC$80:IC$200),IF($F$10="ნულოვანი საშეღავათო",MIN(IC$80:IC$200))))</f>
        <v>0</v>
      </c>
      <c r="IF80" s="103"/>
      <c r="IG80" s="103"/>
      <c r="IH80" s="104">
        <f>IE80</f>
        <v>0</v>
      </c>
      <c r="II80" s="51"/>
      <c r="IJ80" s="102"/>
      <c r="IK80" s="103"/>
      <c r="IL80" s="103"/>
      <c r="IM80" s="104">
        <f>$R$28</f>
        <v>2000</v>
      </c>
      <c r="IN80" s="51"/>
      <c r="IO80" s="102">
        <f>IF(OR($F$10="ანუიტეტური",$F$10="სამომხმარებლო"),IF(MIN(IM$80:IM$200)&lt;0,0,MIN(IM$80:IM$200)),IF($F$10="საშეღავათო",MIN(IM$80:IM$200),IF($F$10="ნულოვანი საშეღავათო",MIN(IM$80:IM$200))))</f>
        <v>0</v>
      </c>
      <c r="IP80" s="103"/>
      <c r="IQ80" s="103"/>
      <c r="IR80" s="104">
        <f>IO80</f>
        <v>0</v>
      </c>
      <c r="IS80" s="51"/>
      <c r="IT80" s="102"/>
      <c r="IU80" s="103"/>
      <c r="IV80" s="103"/>
      <c r="IW80" s="104">
        <f>$R$28</f>
        <v>2000</v>
      </c>
      <c r="IX80" s="51"/>
      <c r="IY80" s="102">
        <f>IF(OR($F$10="ანუიტეტური",$F$10="სამომხმარებლო"),IF(MIN(IW$80:IW$200)&lt;0,0,MIN(IW$80:IW$200)),IF($F$10="საშეღავათო",MIN(IW$80:IW$200),IF($F$10="ნულოვანი საშეღავათო",MIN(IW$80:IW$200))))</f>
        <v>0</v>
      </c>
      <c r="IZ80" s="103"/>
      <c r="JA80" s="103"/>
      <c r="JB80" s="104">
        <f>IY80</f>
        <v>0</v>
      </c>
      <c r="JC80" s="51"/>
      <c r="JD80" s="102"/>
      <c r="JE80" s="103"/>
      <c r="JF80" s="103"/>
      <c r="JG80" s="104">
        <f>$R$28</f>
        <v>2000</v>
      </c>
      <c r="JH80" s="51"/>
      <c r="JI80" s="102">
        <f>IF(OR($F$10="ანუიტეტური",$F$10="სამომხმარებლო"),IF(MIN(JG$80:JG$200)&lt;0,0,MIN(JG$80:JG$200)),IF($F$10="საშეღავათო",MIN(JG$80:JG$200),IF($F$10="ნულოვანი საშეღავათო",MIN(JG$80:JG$200))))</f>
        <v>0</v>
      </c>
      <c r="JJ80" s="103"/>
      <c r="JK80" s="103"/>
      <c r="JL80" s="104">
        <f>JI80</f>
        <v>0</v>
      </c>
      <c r="JM80" s="51"/>
      <c r="JN80" s="102"/>
      <c r="JO80" s="103"/>
      <c r="JP80" s="103"/>
      <c r="JQ80" s="104">
        <f>$R$28</f>
        <v>2000</v>
      </c>
      <c r="JR80" s="51"/>
      <c r="JS80" s="102">
        <f>IF(OR($F$10="ანუიტეტური",$F$10="სამომხმარებლო"),IF(MIN(JQ$80:JQ$200)&lt;0,0,MIN(JQ$80:JQ$200)),IF($F$10="საშეღავათო",MIN(JQ$80:JQ$200),IF($F$10="ნულოვანი საშეღავათო",MIN(JQ$80:JQ$200))))</f>
        <v>0</v>
      </c>
      <c r="JT80" s="103"/>
      <c r="JU80" s="103"/>
      <c r="JV80" s="104">
        <f>JS80</f>
        <v>0</v>
      </c>
      <c r="JW80" s="51"/>
      <c r="JX80" s="102"/>
      <c r="JY80" s="103"/>
      <c r="JZ80" s="103"/>
      <c r="KA80" s="104">
        <f>$R$28</f>
        <v>2000</v>
      </c>
    </row>
    <row r="81" spans="1:287" ht="12" customHeight="1">
      <c r="A81" s="105">
        <f t="array" ref="A81">MAX(IF($J$80:J80&gt;0,$C$80:C80,0))</f>
        <v>43536</v>
      </c>
      <c r="B81" s="81">
        <f t="shared" ref="B81:B144" si="4">IFERROR(IF(OR(AND($H$20=B80,$F$10&lt;&gt;"დეპოზიტით უზრუნველყოფილი"),AND($F$10="დეპოზიტით უზრუნველყოფილი",B80+1&lt;&gt;1)),"",B80+1),"")</f>
        <v>1</v>
      </c>
      <c r="C81" s="82">
        <f>IF($F$36="ფიქსირებული",DATE($F$30,$G$30,$H$30),IF(OR(WEEKDAY(EOMONTH(DATE($F$28,$G$28,$H$28),$B$81),2)=6,WEEKDAY(EOMONTH(DATE($F$28,$G$28,$H$28),$B$81),2)=7,IF(EOMONTH(DATE($F$28,$G$28,$H$28),$B$81)=IFERROR(VLOOKUP(EOMONTH(DATE($F$28,$G$28,$H$28),$B$81),$BK$80:$BK$624,1,FALSE),0),1,0)=1),WORKDAY(EOMONTH(DATE($F$28,$G$28,$H$28),$B$81),1,$BK$80:$BK$624),EOMONTH(DATE($F$28,$G$28,$H$28),$B$81)))</f>
        <v>43570</v>
      </c>
      <c r="D81" s="83">
        <f t="shared" ref="D81:D144" si="5">IF(B81="","",IF(OR($F$10="ასიმეტრიული",$F$10="ასიმეტრიული პროცენტით",$F$10="ბიზნეს ოვერდრაფტი",$F$10="დეპოზიტით უზრუნველყოფილი"),F81+G81+E81,GE81+E81))</f>
        <v>108.44000000000001</v>
      </c>
      <c r="E81" s="83">
        <f>IF(B81="","",IF(H80&gt;0,IF(OR($F$10="ანუიტეტური",$F$10="საშეღავათო",$F$10="ასიმეტრიული პროცენტით",$F$10="სამომხმარებლო"),ROUND($H80*$R$20/$I$22*(C81-C80),2),IF($F$10="ნულოვანი საშეღავათო",IF($B81&lt;=$G$12,0,IF($B81=$G$12+1,ROUND($H80*$R$20/$I$22*($C81-$C$80),2),ROUND($H80*$R$20/$I$22*($C81-$C80),2))),IF($F$10="ასიმეტრიული",IF(AND(J81="",B81&lt;$H$20),0,IF(OR(J81&gt;0,B81=$H$20),ROUND($H80*$R$20/$I$22*(C81-A81),2))),0)))))</f>
        <v>0.84</v>
      </c>
      <c r="F81" s="83">
        <f t="shared" ref="F81:F144" si="6">IF(B81="","",IF(OR($F$10="ანუიტეტური",$F$10="სამომხმარებლო",$F$10="საშეღავათო",$F$10="ნულოვანი საშეღავათო"),GF81,IF(B81=$H$20,H80,IF($F$10="დეპოზიტით უზრუნველყოფილი",$H$80,IF($F$10="ასიმეტრიული",J81-G81,IF($F$10="ასიმეტრიული პროცენტით",J81,0))))))</f>
        <v>60.790000000000006</v>
      </c>
      <c r="G81" s="83">
        <f t="shared" ref="G81:G144" si="7">IF(B81="","",IF(AND($F$10="ასიმეტრიული",J81="",B81&lt;$H$20),0,IF(AND($F$10="ასიმეტრიული",OR(J81&gt;0,B81=$H$20)),ROUND($H$22/$I$22*(C81-A81)*H80,2),IF(OR($F$10="ასიმეტრიული პროცენტით",$F$10="ბიზნეს ოვერდრაფტი",$F$10="დეპოზიტით უზრუნველყოფილი"),ROUND($H$22/$I$22*(C81-C80)*H80,2),GG81))))</f>
        <v>46.81</v>
      </c>
      <c r="H81" s="83">
        <f t="shared" ref="H81:H144" si="8">IF(B81="","",IF(AND(OR($F$10="ასიმეტრიული",$F$10="ასიმეტრიული პროცენტით"),J81="",B81&lt;$H$20),H80,IF($F$10="დეპოზიტით უზრუნველყოფილი",$H$80-$F$81,IF($F$10="ბიზნეს ოვერდრაფტი",H80-F81,IF(AND(OR($F$10="ასიმეტრიული",$F$10="ასიმეტრიული პროცენტით"),OR(J81&gt;0,B81=$H$20)),H80-F81,GH81)))))</f>
        <v>1439.21</v>
      </c>
      <c r="I81" s="105">
        <f t="array" ref="I81">MAX(IF($R$80:R80&gt;0,$L$80:L80,0))</f>
        <v>0</v>
      </c>
      <c r="J81" s="106"/>
      <c r="K81" s="69">
        <f t="shared" ref="K81:K144" si="9">IFERROR(IF(OR(AND($R$32=K80,$O$28&lt;&gt;"დეპოზიტით უზრუნველყოფილი"),AND($O$28="დეპოზიტით უზრუნველყოფილი",K80+1&lt;&gt;1)),"",K80+1),"")</f>
        <v>1</v>
      </c>
      <c r="L81" s="82">
        <f>IFERROR(IF($F$52="ფიქსირებული",DATE($F$48,$G$48,$H$48),IF(OR(WEEKDAY(EOMONTH(DATE($F$46,$G$46,$H$46),$K$81),2)=6,WEEKDAY(EOMONTH(DATE($F$46,$G$46,$H$46),$K$81),2)=7,IF(EOMONTH(DATE($F$46,$G$46,$H$46),$K$81)=IFERROR(VLOOKUP(EOMONTH(DATE($F$46,$G$46,$H$46),$K$81),$BK$80:$BK$624,1,FALSE),0),1,0)=1),WORKDAY(EOMONTH(DATE($F$46,$G$46,$H$46),$K$81),1,$BK$80:$BK$624),EOMONTH(DATE($F$46,$G$46,$H$46),$K$81))),0)</f>
        <v>0</v>
      </c>
      <c r="M81" s="83">
        <f>IF(K81="","",IF(OR($O$28="ასიმეტრიული",$O$28="ასიმეტრიული პროცენტით",$O$28="ბიზნეს ოვერდრაფტი",$O$28="დეპოზიტით უზრუნველყოფილი"),O81+P81+N81,JX81+N81))</f>
        <v>193.01</v>
      </c>
      <c r="N81" s="83">
        <f t="shared" ref="N81:N144" si="10">IF(K81="","",IF(Q80&gt;0,IF(OR($O$28="ანუიტეტური",$O$28="საშეღავათო",$O$28="ასიმეტრიული პროცენტით",$O$28="სამომხმარებლო"),ROUND($Q80*$R$46/$I$22*(L81-L80),2),IF($O$28="ნულოვანი საშეღავათო",IF($K81&lt;=$Q$30,0,IF($K81=$Q$30+1,ROUND($Q80*$R$46/$I$22*($L81-$L$80),2),ROUND($Q80*$R$46/$I$22*($L81-$L80),2))),IF($O$28="ასიმეტრიული",IF(AND(R81="",K81&lt;$R$32),0,IF(OR(R81&gt;0,K81=$R$32),ROUND($Q80*$R$46/$I$22*(L81-I81),2))),0)))))</f>
        <v>0</v>
      </c>
      <c r="O81" s="83" t="str">
        <f t="shared" ref="O81:O144" si="11">IF(OR($F$46="",$G$46="",$H$46=""),"",IF(K81="","",IF(OR($O$28="ანუიტეტური",$O$28="სამომხმარებლო",$O$28="საშეღავათო",$O$28="ნულოვანი საშეღავათო"),JY81,IF(K81=$R$32,Q80,IF($O$28="დეპოზიტით უზრუნველყოფილი",$Q$80,IF($O$28="ასიმეტრიული",R81-P81,IF($O$28="ასიმეტრიული პროცენტით",R81,0)))))))</f>
        <v/>
      </c>
      <c r="P81" s="83">
        <f t="shared" ref="P81:P144" si="12">IF(K81="","",IF(AND($O$28="ასიმეტრიული",R81="",K81&lt;$R$32),0,IF(AND($O$28="ასიმეტრიული",OR(R81&gt;0,K81=$R$32)),$P$34/$I$22*(L81-I81)*Q80,IF(OR($O$28="ასიმეტრიული პროცენტით",$O$28="ბიზნეს ოვერდრაფტი",$O$28="დეპოზიტით უზრუნველყოფილი"),$P$34/$I$22*(L81-L80)*Q80,JZ81))))</f>
        <v>0</v>
      </c>
      <c r="Q81" s="83">
        <f t="shared" ref="Q81:Q144" si="13">IF(K81="","",IF(AND(OR($O$28="ასიმეტრიული",$O$28="ასიმეტრიული პროცენტით"),R81="",K81&lt;$R$32),Q80,IF($O$28="დეპოზიტით უზრუნველყოფილი",$Q$80-$O$81,IF($O$28="ბიზნეს ოვერდრაფტი",Q80-O81,IF(AND(OR($O$28="ასიმეტრიული",$O$28="ასიმეტრიული პროცენტით"),OR(R81&gt;0,K81=$R$32)),Q80-O81,KA81)))))</f>
        <v>1806.99</v>
      </c>
      <c r="R81" s="106"/>
      <c r="S81" s="66"/>
      <c r="T81" s="53"/>
      <c r="U81" s="85" t="e">
        <f t="shared" si="0"/>
        <v>#NUM!</v>
      </c>
      <c r="V81" s="86" t="e">
        <f>IF($U81="",0,$C81)</f>
        <v>#NUM!</v>
      </c>
      <c r="W81" s="87" t="e">
        <f t="shared" ref="W81:W144" si="14">IF($U81="",0,$D81)</f>
        <v>#NUM!</v>
      </c>
      <c r="X81" s="87" t="e">
        <f t="shared" ref="X81:X144" si="15">IF($U81="",0,$F81)</f>
        <v>#NUM!</v>
      </c>
      <c r="Y81" s="87" t="e">
        <f t="shared" ref="Y81:Y144" si="16">IF($U81="",0,$G81)</f>
        <v>#NUM!</v>
      </c>
      <c r="Z81" s="88" t="e">
        <f t="shared" si="1"/>
        <v>#NUM!</v>
      </c>
      <c r="AA81" s="53"/>
      <c r="AB81" s="89">
        <f>IF(D81&lt;&gt;"",D81,0)</f>
        <v>108.44000000000001</v>
      </c>
      <c r="AC81" s="87">
        <f>IF(D81&lt;&gt;"",ROUND((D81*($BJ$81+(C81-$C$80)*$BJ$82)),2),0)</f>
        <v>110.01</v>
      </c>
      <c r="AD81" s="87" t="str">
        <f t="shared" ref="AD81:AD144" si="17">IF(OR($F$10="ბიზნეს ოვერდრაფტი",$F$10="საკრედიტო ბარათი"),IF(D81&lt;&gt;"",D81,0),"")</f>
        <v/>
      </c>
      <c r="AE81" s="87" t="str">
        <f t="shared" ref="AE81:AE144" si="18">IF(OR($F$10="ბიზნეს ოვერდრაფტი",$F$10="საკრედიტო ბარათი"),IF(D81&lt;&gt;"",ROUND((D81*($BJ$81+(C81-$C$80)*$BJ$82)),2),0),"")</f>
        <v/>
      </c>
      <c r="AF81" s="86">
        <f>IF($F$10="დეპოზიტით უზრუნველყოფილი",0,IF(AND(EDATE($AF80,1)&lt;=MAX($C$80:$C$200),$AF80&lt;&gt;0),EDATE($AF80,1),0))</f>
        <v>43567</v>
      </c>
      <c r="AG81" s="87">
        <f t="shared" si="2"/>
        <v>1.5</v>
      </c>
      <c r="AH81" s="87">
        <f>IF(E81&lt;&gt;"",E81,0)</f>
        <v>0.84</v>
      </c>
      <c r="AI81" s="90"/>
      <c r="AJ81" s="87" t="e">
        <f t="shared" ref="AJ81:AJ144" si="19">IF(OR($F$46="",DATE($F$34,$G$34,$H$34)&lt;=DATE($F$46,$G$46,$H$46)),0,IF(M81&lt;&gt;"",M81,0))</f>
        <v>#NUM!</v>
      </c>
      <c r="AK81" s="87" t="e">
        <f>IF(OR($F$46="",DATE($F$34,$G$34,$H$34)&lt;=DATE($F$46,$G$46,$H$46)),0,IF(M81&lt;&gt;"",ROUND((M81*($BJ$81+(L81-$L$80)*$BJ$82)),2),0))</f>
        <v>#NUM!</v>
      </c>
      <c r="AL81" s="87" t="e">
        <f>IF(OR($F$46="",DATE($F$34,$G$34,$H$34)&lt;=DATE($F$46,$G$46,$H$46)),0,IF(OR($O$28="ბიზნეს ოვერდრაფტი",$O$28="საკრედიტო ბარათი"),IF(M81&lt;&gt;"",M81,0),""))</f>
        <v>#NUM!</v>
      </c>
      <c r="AM81" s="87" t="e">
        <f>IF(OR($F$46="",DATE($F$34,$G$34,$H$34)&lt;=DATE($F$46,$G$46,$H$46)),0,IF(OR($O$28="ბიზნეს ოვერდრაფტი",$O$28="საკრედიტო ბარათი"),IF(M81&lt;&gt;"",ROUND((M81*($BJ$81+(L81-$L$80)*$BJ$82)),2),0),""))</f>
        <v>#NUM!</v>
      </c>
      <c r="AN81" s="86">
        <f t="shared" ref="AN81:AN144" si="20">IF($O$28="დეპოზიტით უზრუნველყოფილი",0,IFERROR(IF(AND(EDATE($AN80,1)&lt;=MAX($L$80:$L$200),$AN80&lt;&gt;0),EDATE($AN80,1),0),0))</f>
        <v>0</v>
      </c>
      <c r="AO81" s="87">
        <f t="shared" ref="AO81:AO144" si="21">IF($O$28="დეპოზიტით უზრუნველყოფილი",0,IF(AN81&gt;0,IF($H$16="GEL",$R$38,ROUND($R$38/$Q$32,2)),0))</f>
        <v>0</v>
      </c>
      <c r="AP81" s="88">
        <f t="shared" ref="AP81:AP144" si="22">IF(N81&lt;&gt;"",N81,0)</f>
        <v>0</v>
      </c>
      <c r="AQ81" s="53"/>
      <c r="AR81" s="89">
        <f t="shared" ref="AR81:AR144" si="23">IF(AND(OR($F$46="",$G$46="",$H$46=""),D81&lt;&gt;""),IF($H$16="GEL",D81,ROUND(D81*$H$18,2)),IF(AND(OR($F$46="",$G$46="",$H$46=""),D81=""),0,IF(AND(DATE($F$46,$G$46,$H$46)&gt;=DATE($F$34,$G$34,$H$34),D81&lt;&gt;""),IF($H$16="GEL",D81,ROUND(D81*$H$18,2)),IF(AND(DATE($F$46,$G$46,$H$46)&gt;=DATE($F$34,$G$34,$H$34),D81=""),0,IF(AND(DATE($F$46,$G$46,$H$46)&lt;DATE($F$34,$G$34,$H$34),U81&lt;&gt;""),IF($H$16="GEL",W81,ROUND(W81*$H$18,2)),IF(AND(DATE($F$46,$G$46,$H$46)&lt;DATE($F$34,$G$34,$H$34),U81=""),0))))))</f>
        <v>108.44000000000001</v>
      </c>
      <c r="AS81" s="87">
        <f t="shared" ref="AS81:AS144" si="24">ROUND(IF(AND(OR($F$46="",$G$46="",$H$46=""),D81&lt;&gt;""),(IF($H$16="GEL",D81,D81*$H$18)*($BJ$81+(C81-$C$80)*$BJ$82)),IF(AND(OR($F$46="",$G$46="",$H$46=""),D81=""),0,IF(AND(DATE($F$46,$G$46,$H$46)&gt;=DATE($F$34,$G$34,$H$34),D81&lt;&gt;""),(IF($H$16="GEL",D81,D81*$H$18)*($BJ$81+(C81-$C$80)*$BJ$82)),IF(AND(DATE($F$46,$G$46,$H$46)&gt;=DATE($F$34,$G$34,$H$34),D81=""),0,IF(AND(DATE($F$46,$G$46,$H$46)&lt;DATE($F$34,$G$34,$H$34),U81&lt;&gt;""),(IF($H$16="GEL",W81,W81*$H$18)*($BJ$81+(V81-$V$80)*$BJ$82)),IF(AND(DATE($F$46,$G$46,$H$46)&lt;DATE($F$34,$G$34,$H$34),U81=""),0)))))),2)</f>
        <v>110.01</v>
      </c>
      <c r="AT81" s="87" t="str">
        <f t="shared" ref="AT81:AT144" si="25">IF(OR($F$10="ბიზნეს ოვერდრაფტი",$F$10="საკრედიტო ბარათი"),IF(AND(OR($F$46="",$G$46="",$H$46=""),D81&lt;&gt;""),IF($H$16="GEL",D81,ROUND(D81*$H$18,2)),IF(AND(OR($F$46="",$G$46="",$H$46=""),D81=""),0,IF(AND(DATE($F$46,$G$46,$H$46)&gt;=DATE($F$34,$G$34,$H$34),D81&lt;&gt;""),IF($H$16="GEL",D81,ROUND(D81*$H$18,2)),IF(AND(DATE($F$46,$G$46,$H$46)&gt;=DATE($F$34,$G$34,$H$34),D81=""),0,IF(AND(DATE($F$46,$G$46,$H$46)&lt;DATE($F$34,$G$34,$H$34),U81&lt;&gt;""),IF($H$16="GEL",W81,ROUND(W81*$H$18,2)),IF(AND(DATE($F$46,$G$46,$H$46)&lt;DATE($F$34,$G$34,$H$34),U81=""),0)))))),"")</f>
        <v/>
      </c>
      <c r="AU81" s="87" t="str">
        <f t="shared" ref="AU81:AU144" si="26">IF(OR($F$10="ბიზნეს ოვერდრაფტი",$F$10="საკრედიტო ბარათი"),ROUND(IF(AND(OR($F$46="",$G$46="",$H$46=""),D81&lt;&gt;""),(IF($H$16="GEL",D81,D81*$H$18)*($BJ$81+(C81-$C$80)*$BJ$82)),IF(AND(OR($F$46="",$G$46="",$H$46=""),D81=""),0,IF(AND(DATE($F$46,$G$46,$H$46)&gt;=DATE($F$34,$G$34,$H$34),D81&lt;&gt;""),(IF($H$16="GEL",D81,D81*$H$18)*($BJ$81+(C81-$C$80)*$BJ$82)),IF(AND(DATE($F$46,$G$46,$H$46)&gt;=DATE($F$34,$G$34,$H$34),D81=""),0,IF(AND(DATE($F$46,$G$46,$H$46)&lt;DATE($F$34,$G$34,$H$34),U81&lt;&gt;""),(IF($H$16="GEL",W81,W81*$H$18)*($BJ$81+(V81-$V$80)*$BJ$82)),IF(AND(DATE($F$46,$G$46,$H$46)&lt;DATE($F$34,$G$34,$H$34),U81=""),0)))))),2),"")</f>
        <v/>
      </c>
      <c r="AV81" s="86">
        <f>IF($F$10="დეპოზიტით უზრუნველყოფილი",0,IF(OR($F$46="",$G$46="",$H$46=""),IF(AND(EDATE($AV80,1)&lt;=MAX($C$80:$C$200),$AV80&lt;&gt;0),EDATE($AV80,1),0),IF(DATE($F$46,$G$46,$H$46)&gt;=DATE($F$34,$G$34,$H$34),IF(AND(EDATE($AV80,1)&lt;=MAX($C$80:$C$200),$AV80&lt;&gt;0),EDATE($AV80,1),0),IF(AND(DATE($F$46,$G$46,$H$46)&lt;DATE($F$34,$G$34,$H$34),U81&lt;&gt;""),IF(AND(EDATE($AV80,1)&lt;=MAX($C$80:$C$200),$AV80&lt;&gt;0),EDATE($AV80,1),0),IF(AND(DATE($F$46,$G$46,$H$46)&lt;DATE($F$34,$G$34,$H$34),U81=""),0)))))</f>
        <v>43567</v>
      </c>
      <c r="AW81" s="87">
        <f>IF($F$10="დეპოზიტით უზრუნველყოფილი",0,IF(OR($F$46="",$G$46="",$H$46=""),IF(AF81&gt;0,$R$14,0),IF(DATE($F$46,$G$46,$H$46)&gt;=DATE($F$34,$G$34,$H$34),IF(AF81&gt;0,$R$14,0),IF(AND(DATE($F$46,$G$46,$H$46)&lt;DATE($F$34,$G$34,$H$34),U81&lt;&gt;""),IF(AF81&gt;0,$R$14,0),IF(AND(DATE($F$46,$G$46,$H$46)&lt;DATE($F$34,$G$34,$H$34),U81=""),0)))))</f>
        <v>1.5</v>
      </c>
      <c r="AX81" s="87">
        <f>IF($F$10="დეპოზიტით უზრუნველყოფილი",0,IF(OR($F$46="",$G$46="",$H$46=""),IF($H$16="GEL",$AH81,ROUND($AH81*$H$18,2)),IF(DATE($F$46,$G$46,$H$46)&gt;=DATE($F$34,$G$34,$H$34),IF($H$16="GEL",$AH81,ROUND($AH81*$H$18,2)),IF(AND(DATE($F$46,$G$46,$H$46)&lt;DATE($F$34,$G$34,$H$34),U81&lt;&gt;""),IF($H$16="GEL",$AH81,ROUND($AH81*$H$18,2)),IF(AND(DATE($F$46,$G$46,$H$46)&lt;DATE($F$34,$G$34,$H$34),U81=""),0)))))</f>
        <v>0.84</v>
      </c>
      <c r="AY81" s="93"/>
      <c r="AZ81" s="87">
        <f>IFERROR(IF(OR($F$46="",DATE($F$34,$G$34,$H$34)&lt;=DATE($F$46,$G$46,$H$46)),0,IF(M81&lt;&gt;"",IF($P$32="GEL",M81,M81*$Q$32),0)),0)</f>
        <v>0</v>
      </c>
      <c r="BA81" s="87">
        <f>IFERROR(IF(OR($F$46="",DATE($F$34,$G$34,$H$34)&lt;=DATE($F$46,$G$46,$H$46)),0,IF(M81&lt;&gt;"",(IF($P$32="GEL",M81,M81*$Q$32)*($BJ$81+(L81-$L$80)*$BJ$82)),0)),0)</f>
        <v>0</v>
      </c>
      <c r="BB81" s="87">
        <f>IFERROR(IF(OR($F$46="",DATE($F$34,$G$34,$H$34)&lt;=DATE($F$46,$G$46,$H$46)),0,IF(OR($O$28="ბიზნეს ოვერდრაფტი",$O$28="საკრედიტო ბარათი"),IF(M81&lt;&gt;"",IF($P$32="GEL",M81,M81*$Q$32),0),"")),0)</f>
        <v>0</v>
      </c>
      <c r="BC81" s="87">
        <f>IFERROR(IF(OR($F$46="",DATE($F$34,$G$34,$H$34)&lt;=DATE($F$46,$G$46,$H$46)),0,IF(OR($O$28="ბიზნეს ოვერდრაფტი",$O$28="საკრედიტო ბარათი"),IF(M81&lt;&gt;"",(IF($P$32="GEL",M81,M81*$Q$32)*($BJ$81+(L81-$L$80)*$BJ$82)),0),"")),0)</f>
        <v>0</v>
      </c>
      <c r="BD81" s="86" t="e">
        <f t="shared" ref="BD81:BD144" si="27">IF(OR($O$28="დეპოზიტით უზრუნველყოფილი",$BD$80=0),0,IFERROR(IF(AND(EDATE($BD80,1)&lt;=MAX($L$80:$L$200),$BD80&lt;&gt;0),EDATE($BD80,1),0),0))</f>
        <v>#NUM!</v>
      </c>
      <c r="BE81" s="87" t="e">
        <f t="shared" si="3"/>
        <v>#NUM!</v>
      </c>
      <c r="BF81" s="88">
        <f>IF($H$16="GEL",$AP81,ROUND($AP81*$H$18,2))</f>
        <v>0</v>
      </c>
      <c r="BG81" s="53"/>
      <c r="BH81" s="87" t="e">
        <f t="shared" ref="BH81:BH144" si="28">IF($C81&lt;=DATE($F$56,$G$56,$H$56),AB81/(1+$H$3)^(($C81-$C$80)/(DATE($F$56,$G$56,$H$56)-$C$80)),0)</f>
        <v>#NUM!</v>
      </c>
      <c r="BI81" s="51"/>
      <c r="BJ81" s="96">
        <v>1</v>
      </c>
      <c r="BK81" s="95">
        <v>39449</v>
      </c>
      <c r="BL81" s="96">
        <v>2</v>
      </c>
      <c r="BM81" s="96">
        <v>2</v>
      </c>
      <c r="BN81" t="s">
        <v>261</v>
      </c>
      <c r="BO81" s="97" t="s">
        <v>94</v>
      </c>
      <c r="BP81" t="s">
        <v>224</v>
      </c>
      <c r="BQ81" s="98">
        <v>1.5</v>
      </c>
      <c r="BR81" s="98" t="s">
        <v>262</v>
      </c>
      <c r="BT81" s="51"/>
      <c r="BU81" s="51"/>
      <c r="BV81" s="30"/>
      <c r="BW81">
        <v>5</v>
      </c>
      <c r="BX81">
        <v>10</v>
      </c>
      <c r="BY81">
        <v>14</v>
      </c>
      <c r="BZ81">
        <v>23</v>
      </c>
      <c r="CA81">
        <v>35</v>
      </c>
      <c r="CB81">
        <v>47</v>
      </c>
      <c r="CC81">
        <v>59</v>
      </c>
      <c r="CD81">
        <v>60</v>
      </c>
      <c r="CF81" s="107"/>
      <c r="CG81" s="107"/>
      <c r="CI81" s="100" t="s">
        <v>144</v>
      </c>
      <c r="CJ81" s="100">
        <v>3.5</v>
      </c>
      <c r="CK81" s="30">
        <v>2E-3</v>
      </c>
      <c r="CL81">
        <v>0.5</v>
      </c>
      <c r="CN81" s="101" t="s">
        <v>264</v>
      </c>
      <c r="CO81">
        <v>181</v>
      </c>
      <c r="CP81">
        <v>365</v>
      </c>
      <c r="CQ81" s="30">
        <v>5.0000000000000001E-3</v>
      </c>
      <c r="CS81" s="108">
        <f t="shared" ref="CS81:CS144" si="29">IF($B81="","",IF(OR($F$10="ანუიტეტური",$F$10="სამომხმარებლო"),ROUND(-PMT($H$22/$I$20,$H$20,$CS$80),2),IF(AND($F$10="საშეღავათო",$B81&lt;=$G$12),CT81+CU81,IF(AND($F$10="საშეღავათო",$B81&gt;$G$12),ROUND(-PMT($H$22/$I$20,$H$20-$G$12,$CS$80),2),IF(AND($F$10="ნულოვანი საშეღავათო",$B81&lt;=$G$12),CT81+CU81,IF(AND($F$10="ნულოვანი საშეღავათო",$B81&gt;$G$12,CU81&gt;ROUND(-PMT($H$22/$I$20,$H$20-$G$12,$CS$80),2)),CU81,ROUND(-PMT($H$22/$I$20,$H$20-$G$12,$CS$80),2)))))))</f>
        <v>107.15</v>
      </c>
      <c r="CT81" s="109">
        <f t="shared" ref="CT81:CT144" si="30">IF($B81="","",IF(OR($F$10="ანუიტეტური",$F$10="სამომხმარებლო"),CS81-CU81,IF(AND($F$10="საშეღავათო",$B81&gt;$G$12),CS81-CU81,IF(AND($F$10="საშეღავათო",$B81&lt;=$G$12),0,IF(AND($F$10="ნულოვანი საშეღავათო",$B81&gt;$G$12),CS81-CU81,IF(AND($F$10="ნულოვანი საშეღავათო",$B81&lt;=$G$12),0))))))</f>
        <v>60.34</v>
      </c>
      <c r="CU81" s="109">
        <f t="shared" ref="CU81:CU144" si="31">IF($B81="","",IF(OR($F$10="ანუიტეტური",$F$10="სამომხმარებლო"),ROUND($H$22/$I$22*($C81-$C80)*CV80,2),IF($F$10="საშეღავათო",ROUND($H$22/$I$22*($C81-$C80)*CV80,2),IF(AND($F$10="ნულოვანი საშეღავათო",$B81&lt;=$G$12),0,IF(AND($F$10="ნულოვანი საშეღავათო",$B81=$G$12+1),ROUND($H$22/$I$22*($C81-$C$80)*CV80,2),IF(AND($F$10="ნულოვანი საშეღავათო",$B81&gt;$G$12),ROUND($H$22/$I$22*($C81-$C80)*CV80,2)))))))</f>
        <v>46.81</v>
      </c>
      <c r="CV81" s="110">
        <f t="shared" ref="CV81:CV108" si="32">IF($B81="","",IF(OR($F$10="ანუიტეტური",$F$10="სამომხმარებლო"),CV80-CT81,IF($F$10="საშეღავათო",CV80-CT81,IF($F$10="ნულოვანი საშეღავათო",CV80-CT81))))</f>
        <v>1439.66</v>
      </c>
      <c r="CX81" s="108">
        <f t="shared" ref="CX81:CX144" si="33">IF($B81="","",ROUND(-PMT($H$22/$I$20,$H$20,$CX$80),2))</f>
        <v>0.75</v>
      </c>
      <c r="CY81" s="109">
        <f>IF($B81="","",CX81-CZ81)</f>
        <v>0.42</v>
      </c>
      <c r="CZ81" s="109">
        <f t="shared" ref="CZ81:CZ144" si="34">IF($B81="","",ROUND($H$22/$I$22*($C81-$C80)*DA80,2))</f>
        <v>0.33</v>
      </c>
      <c r="DA81" s="110">
        <f t="shared" ref="DA81:DA108" si="35">IF($B81="","",DA80-CY81)</f>
        <v>10.07000000000035</v>
      </c>
      <c r="DC81" s="108">
        <f>IF($B81="","",IF(OR($F$10="ანუიტეტური",$F$10="სამომხმარებლო"),DD81+DE81,IF(AND($F$10="საშეღავათო",$B81&lt;=$G$12),DD81+DE81,IF(AND($F$10="ნულოვანი საშეღავათო",$B81&lt;=$G$12),DD81+DE81))))</f>
        <v>107.57000000000001</v>
      </c>
      <c r="DD81" s="109">
        <f>IF($B81="","",IF(OR($F$10="ანუიტეტური",$F$10="სამომხმარებლო"),CT81+CY81,IF(AND($F$10="საშეღავათო",$B81&gt;$G$12),DC81-DE81,IF(AND($F$10="საშეღავათო",$B81&lt;=$G$12),0,IF(AND($F$10="ნულოვანი საშეღავათო",$B81&gt;$G$12),DC81-DE81,IF(AND($F$10="ნულოვანი საშეღავათო",$B81&lt;=$G$12),0))))))</f>
        <v>60.760000000000005</v>
      </c>
      <c r="DE81" s="109">
        <f t="shared" ref="DE81:DE144" si="36">IF($B81="","",IF(OR($F$10="ანუიტეტური",$F$10="სამომხმარებლო"),ROUND($H$22/$I$22*($C81-$C80)*DF80,2),IF($F$10="საშეღავათო",ROUND($H$22/$I$22*($C81-$C80)*DF80,2),IF(AND($F$10="ნულოვანი საშეღავათო",$B81&lt;=$G$12),0,IF(AND($F$10="ნულოვანი საშეღავათო",$B81=$G$12+1),ROUND($H$22/$I$22*($C81-$C$80)*DF80,2),IF(AND($F$10="ნულოვანი საშეღავათო",$B81&gt;$G$12),ROUND($H$22/$I$22*($C81-$C80)*DF80,2)))))))</f>
        <v>46.81</v>
      </c>
      <c r="DF81" s="110">
        <f t="shared" ref="DF81:DF108" si="37">IF($B81="","",DF80-DD81)</f>
        <v>1439.24</v>
      </c>
      <c r="DH81" s="108">
        <f t="shared" ref="DH81:DH144" si="38">IF($B81="","",ROUND(-PMT($H$22/$I$20,$H$20,$DH$80),2))</f>
        <v>0.06</v>
      </c>
      <c r="DI81" s="109">
        <f t="shared" ref="DI81:DI144" si="39">IF($B81="","",DH81-DJ81)</f>
        <v>3.9999999999999994E-2</v>
      </c>
      <c r="DJ81" s="109">
        <f t="shared" ref="DJ81:DJ144" si="40">IF($B81="","",ROUND($H$22/$I$22*($C81-$C80)*DK80,2))</f>
        <v>0.02</v>
      </c>
      <c r="DK81" s="110">
        <f t="shared" ref="DK81:DK108" si="41">IF($B81="","",DK80-DI81)</f>
        <v>0.74999999999992095</v>
      </c>
      <c r="DM81" s="108">
        <f>IF($B81="","",IF(OR($F$10="ანუიტეტური",$F$10="სამომხმარებლო"),DN81+DO81,IF(AND($F$10="საშეღავათო",$B81&lt;=$G$12),DN81+DO81,IF(AND($F$10="ნულოვანი საშეღავათო",$B81&lt;=$G$12),DN81+DO81))))</f>
        <v>107.61000000000001</v>
      </c>
      <c r="DN81" s="109">
        <f>IF($B81="","",IF(OR($F$10="ანუიტეტური",$F$10="სამომხმარებლო"),DD81+DI81,IF(AND($F$10="საშეღავათო",$B81&gt;$G$12),DM81-DO81,IF(AND($F$10="საშეღავათო",$B81&lt;=$G$12),0,IF(AND($F$10="ნულოვანი საშეღავათო",$B81&gt;$G$12),DM81-DO81,IF(AND($F$10="ნულოვანი საშეღავათო",$B81&lt;=$G$12),0))))))</f>
        <v>60.800000000000004</v>
      </c>
      <c r="DO81" s="109">
        <f t="shared" ref="DO81:DO144" si="42">IF($B81="","",IF(OR($F$10="ანუიტეტური",$F$10="სამომხმარებლო"),ROUND($H$22/$I$22*($C81-$C80)*DP80,2),IF($F$10="საშეღავათო",ROUND($H$22/$I$22*($C81-$C80)*DP80,2),IF(AND($F$10="ნულოვანი საშეღავათო",$B81&lt;=$G$12),0,IF(AND($F$10="ნულოვანი საშეღავათო",$B81=$G$12+1),ROUND($H$22/$I$22*($C81-$C$80)*DP80,2),IF(AND($F$10="ნულოვანი საშეღავათო",$B81&gt;$G$12),ROUND($H$22/$I$22*($C81-$C80)*DP80,2)))))))</f>
        <v>46.81</v>
      </c>
      <c r="DP81" s="110">
        <f>IF($B81="","",DP80-DN81)</f>
        <v>1439.2</v>
      </c>
      <c r="DR81" s="108">
        <f t="shared" ref="DR81:DR144" si="43">IF($B81="","",ROUND(-PMT($H$22/$I$20,$H$20,$DR$80),2))</f>
        <v>-0.01</v>
      </c>
      <c r="DS81" s="109">
        <f>IF($B81="","",DR81-DT81)</f>
        <v>-0.01</v>
      </c>
      <c r="DT81" s="109">
        <f t="shared" ref="DT81:DT144" si="44">IF($B81="","",ROUND($H$22/$I$22*($C81-$C80)*DU80,2))</f>
        <v>0</v>
      </c>
      <c r="DU81" s="110">
        <f>IF($B81="","",DU80-DS81)</f>
        <v>-0.10000000000001365</v>
      </c>
      <c r="DW81" s="108">
        <f>IF($B81="","",IF(OR($F$10="ანუიტეტური",$F$10="სამომხმარებლო"),DX81+DY81,IF(AND($F$10="საშეღავათო",$B81&lt;=$G$12),DX81+DY81,IF(AND($F$10="ნულოვანი საშეღავათო",$B81&lt;=$G$12),DX81+DY81))))</f>
        <v>107.60000000000001</v>
      </c>
      <c r="DX81" s="109">
        <f>IF($B81="","",IF(OR($F$10="ანუიტეტური",$F$10="სამომხმარებლო"),DN81+DS81,IF(AND($F$10="საშეღავათო",$B81&gt;$G$12),DW81-DY81,IF(AND($F$10="საშეღავათო",$B81&lt;=$G$12),0,IF(AND($F$10="ნულოვანი საშეღავათო",$B81&gt;$G$12),DW81-DY81,IF(AND($F$10="ნულოვანი საშეღავათო",$B81&lt;=$G$12),0))))))</f>
        <v>60.790000000000006</v>
      </c>
      <c r="DY81" s="109">
        <f t="shared" ref="DY81:DY144" si="45">IF($B81="","",IF(OR($F$10="ანუიტეტური",$F$10="სამომხმარებლო"),ROUND($H$22/$I$22*($C81-$C80)*DZ80,2),IF($F$10="საშეღავათო",ROUND($H$22/$I$22*($C81-$C80)*DZ80,2),IF(AND($F$10="ნულოვანი საშეღავათო",$B81&lt;=$G$12),0,IF(AND($F$10="ნულოვანი საშეღავათო",$B81=$G$12+1),ROUND($H$22/$I$22*($C81-$C$80)*DZ80,2),IF(AND($F$10="ნულოვანი საშეღავათო",$B81&gt;$G$12),ROUND($H$22/$I$22*($C81-$C80)*DZ80,2)))))))</f>
        <v>46.81</v>
      </c>
      <c r="DZ81" s="110">
        <f>IF($B81="","",DZ80-DX81)</f>
        <v>1439.21</v>
      </c>
      <c r="EB81" s="108">
        <f t="shared" ref="EB81:EB144" si="46">IF($B81="","",ROUND(-PMT($H$22/$I$20,$H$20,$EB$80),2))</f>
        <v>0</v>
      </c>
      <c r="EC81" s="109">
        <f>IF($B81="","",EB81-ED81)</f>
        <v>0</v>
      </c>
      <c r="ED81" s="109">
        <f t="shared" ref="ED81:ED144" si="47">IF($B81="","",ROUND($H$22/$I$22*($C81-$C80)*EE80,2))</f>
        <v>0</v>
      </c>
      <c r="EE81" s="110">
        <f>IF($B81="","",EE80-EC81)</f>
        <v>0</v>
      </c>
      <c r="EG81" s="108">
        <f>IF($B81="","",IF(OR($F$10="ანუიტეტური",$F$10="სამომხმარებლო"),EH81+EI81,IF(AND($F$10="საშეღავათო",$B81&lt;=$G$12),EH81+EI81,IF(AND($F$10="ნულოვანი საშეღავათო",$B81&lt;=$G$12),EH81+EI81))))</f>
        <v>107.60000000000001</v>
      </c>
      <c r="EH81" s="109">
        <f>IF($B81="","",IF(OR($F$10="ანუიტეტური",$F$10="სამომხმარებლო"),DX81+EC81,IF(AND($F$10="საშეღავათო",$B81&gt;$G$12),EG81-EI81,IF(AND($F$10="საშეღავათო",$B81&lt;=$G$12),0,IF(AND($F$10="ნულოვანი საშეღავათო",$B81&gt;$G$12),EG81-EI81,IF(AND($F$10="ნულოვანი საშეღავათო",$B81&lt;=$G$12),0))))))</f>
        <v>60.790000000000006</v>
      </c>
      <c r="EI81" s="109">
        <f t="shared" ref="EI81:EI144" si="48">IF($B81="","",IF(OR($F$10="ანუიტეტური",$F$10="სამომხმარებლო"),ROUND($H$22/$I$22*($C81-$C80)*EJ80,2),IF($F$10="საშეღავათო",ROUND($H$22/$I$22*($C81-$C80)*EJ80,2),IF(AND($F$10="ნულოვანი საშეღავათო",$B81&lt;=$G$12),0,IF(AND($F$10="ნულოვანი საშეღავათო",$B81=$G$12+1),ROUND($H$22/$I$22*($C81-$C$80)*EJ80,2),IF(AND($F$10="ნულოვანი საშეღავათო",$B81&gt;$G$12),ROUND($H$22/$I$22*($C81-$C80)*EJ80,2)))))))</f>
        <v>46.81</v>
      </c>
      <c r="EJ81" s="110">
        <f>IF($B81="","",EJ80-EH81)</f>
        <v>1439.21</v>
      </c>
      <c r="EL81" s="108">
        <f t="shared" ref="EL81:EL144" si="49">IF($B81="","",ROUND(-PMT($H$22/$I$20,$H$20,$EL$80),2))</f>
        <v>0</v>
      </c>
      <c r="EM81" s="109">
        <f>IF($B81="","",EL81-EN81)</f>
        <v>0</v>
      </c>
      <c r="EN81" s="109">
        <f t="shared" ref="EN81:EN144" si="50">IF($B81="","",ROUND($H$22/$I$22*($C81-$C80)*EO80,2))</f>
        <v>0</v>
      </c>
      <c r="EO81" s="110">
        <f>IF($B81="","",EO80-EM81)</f>
        <v>0</v>
      </c>
      <c r="EQ81" s="108">
        <f>IF($B81="","",IF(OR($F$10="ანუიტეტური",$F$10="სამომხმარებლო"),ER81+ES81,IF(AND($F$10="საშეღავათო",$B81&lt;=$G$12),ER81+ES81,IF(AND($F$10="ნულოვანი საშეღავათო",$B81&lt;=$G$12),ER81+ES81))))</f>
        <v>107.60000000000001</v>
      </c>
      <c r="ER81" s="109">
        <f>IF($B81="","",IF(OR($F$10="ანუიტეტური",$F$10="სამომხმარებლო"),EH81+EM81,IF(AND($F$10="საშეღავათო",$B81&gt;$G$12),EQ81-ES81,IF(AND($F$10="საშეღავათო",$B81&lt;=$G$12),0,IF(AND($F$10="ნულოვანი საშეღავათო",$B81&gt;$G$12),EQ81-ES81,IF(AND($F$10="ნულოვანი საშეღავათო",$B81&lt;=$G$12),0))))))</f>
        <v>60.790000000000006</v>
      </c>
      <c r="ES81" s="109">
        <f t="shared" ref="ES81:ES144" si="51">IF($B81="","",IF(OR($F$10="ანუიტეტური",$F$10="სამომხმარებლო"),ROUND($H$22/$I$22*($C81-$C80)*ET80,2),IF($F$10="საშეღავათო",ROUND($H$22/$I$22*($C81-$C80)*ET80,2),IF(AND($F$10="ნულოვანი საშეღავათო",$B81&lt;=$G$12),0,IF(AND($F$10="ნულოვანი საშეღავათო",$B81=$G$12+1),ROUND($H$22/$I$22*($C81-$C$80)*ET80,2),IF(AND($F$10="ნულოვანი საშეღავათო",$B81&gt;$G$12),ROUND($H$22/$I$22*($C81-$C80)*ET80,2)))))))</f>
        <v>46.81</v>
      </c>
      <c r="ET81" s="110">
        <f>IF($B81="","",ET80-ER81)</f>
        <v>1439.21</v>
      </c>
      <c r="EV81" s="108">
        <f t="shared" ref="EV81:EV144" si="52">IF($B81="","",ROUND(-PMT($H$22/$I$20,$H$20,$EV$80),2))</f>
        <v>0</v>
      </c>
      <c r="EW81" s="109">
        <f>IF($B81="","",EV81-EX81)</f>
        <v>0</v>
      </c>
      <c r="EX81" s="109">
        <f t="shared" ref="EX81:EX144" si="53">IF($B81="","",ROUND($H$22/$I$22*($C81-$C80)*EY80,2))</f>
        <v>0</v>
      </c>
      <c r="EY81" s="110">
        <f>IF($B81="","",EY80-EW81)</f>
        <v>0</v>
      </c>
      <c r="FA81" s="108">
        <f>IF($B81="","",IF(OR($F$10="ანუიტეტური",$F$10="სამომხმარებლო"),FB81+FC81,IF(AND($F$10="საშეღავათო",$B81&lt;=$G$12),FB81+FC81,IF(AND($F$10="ნულოვანი საშეღავათო",$B81&lt;=$G$12),FB81+FC81))))</f>
        <v>107.60000000000001</v>
      </c>
      <c r="FB81" s="109">
        <f>IF($B81="","",IF(OR($F$10="ანუიტეტური",$F$10="სამომხმარებლო"),ER81+EW81,IF(AND($F$10="საშეღავათო",$B81&gt;$G$12),FA81-FC81,IF(AND($F$10="საშეღავათო",$B81&lt;=$G$12),0,IF(AND($F$10="ნულოვანი საშეღავათო",$B81&gt;$G$12),FA81-FC81,IF(AND($F$10="ნულოვანი საშეღავათო",$B81&lt;=$G$12),0))))))</f>
        <v>60.790000000000006</v>
      </c>
      <c r="FC81" s="109">
        <f t="shared" ref="FC81:FC144" si="54">IF($B81="","",IF(OR($F$10="ანუიტეტური",$F$10="სამომხმარებლო"),ROUND($H$22/$I$22*($C81-$C80)*FD80,2),IF($F$10="საშეღავათო",ROUND($H$22/$I$22*($C81-$C80)*FD80,2),IF(AND($F$10="ნულოვანი საშეღავათო",$B81&lt;=$G$12),0,IF(AND($F$10="ნულოვანი საშეღავათო",$B81=$G$12+1),ROUND($H$22/$I$22*($C81-$C$80)*FD80,2),IF(AND($F$10="ნულოვანი საშეღავათო",$B81&gt;$G$12),ROUND($H$22/$I$22*($C81-$C80)*FD80,2)))))))</f>
        <v>46.81</v>
      </c>
      <c r="FD81" s="110">
        <f>IF($B81="","",FD80-FB81)</f>
        <v>1439.21</v>
      </c>
      <c r="FF81" s="108">
        <f t="shared" ref="FF81:FF144" si="55">IF($B81="","",ROUND(-PMT($H$22/$I$20,$H$20,$FF$80),2))</f>
        <v>0</v>
      </c>
      <c r="FG81" s="109">
        <f>IF($B81="","",FF81-FH81)</f>
        <v>0</v>
      </c>
      <c r="FH81" s="109">
        <f t="shared" ref="FH81:FH144" si="56">IF($B81="","",ROUND($H$22/$I$22*($C81-$C80)*FI80,2))</f>
        <v>0</v>
      </c>
      <c r="FI81" s="110">
        <f>IF($B81="","",FI80-FG81)</f>
        <v>0</v>
      </c>
      <c r="FK81" s="108">
        <f>IF($B81="","",IF(OR($F$10="ანუიტეტური",$F$10="სამომხმარებლო"),FL81+FM81,IF(AND($F$10="საშეღავათო",$B81&lt;=$G$12),FL81+FM81,IF(AND($F$10="ნულოვანი საშეღავათო",$B81&lt;=$G$12),FL81+FM81))))</f>
        <v>107.60000000000001</v>
      </c>
      <c r="FL81" s="109">
        <f>IF($B81="","",IF(OR($F$10="ანუიტეტური",$F$10="სამომხმარებლო"),FB81+FG81,IF(AND($F$10="საშეღავათო",$B81&gt;$G$12),FK81-FM81,IF(AND($F$10="საშეღავათო",$B81&lt;=$G$12),0,IF(AND($F$10="ნულოვანი საშეღავათო",$B81&gt;$G$12),FK81-FM81,IF(AND($F$10="ნულოვანი საშეღავათო",$B81&lt;=$G$12),0))))))</f>
        <v>60.790000000000006</v>
      </c>
      <c r="FM81" s="109">
        <f t="shared" ref="FM81:FM144" si="57">IF($B81="","",IF(OR($F$10="ანუიტეტური",$F$10="სამომხმარებლო"),ROUND($H$22/$I$22*($C81-$C80)*FN80,2),IF($F$10="საშეღავათო",ROUND($H$22/$I$22*($C81-$C80)*FN80,2),IF(AND($F$10="ნულოვანი საშეღავათო",$B81&lt;=$G$12),0,IF(AND($F$10="ნულოვანი საშეღავათო",$B81=$G$12+1),ROUND($H$22/$I$22*($C81-$C$80)*FN80,2),IF(AND($F$10="ნულოვანი საშეღავათო",$B81&gt;$G$12),ROUND($H$22/$I$22*($C81-$C80)*FN80,2)))))))</f>
        <v>46.81</v>
      </c>
      <c r="FN81" s="110">
        <f>IF($B81="","",FN80-FL81)</f>
        <v>1439.21</v>
      </c>
      <c r="FP81" s="108">
        <f t="shared" ref="FP81:FP144" si="58">IF($B81="","",ROUND(-PMT($H$22/$I$20,$H$20,$FP$80),2))</f>
        <v>0</v>
      </c>
      <c r="FQ81" s="109">
        <f>IF($B81="","",FP81-FR81)</f>
        <v>0</v>
      </c>
      <c r="FR81" s="109">
        <f t="shared" ref="FR81:FR144" si="59">IF($B81="","",ROUND($H$22/$I$22*($C81-$C80)*FS80,2))</f>
        <v>0</v>
      </c>
      <c r="FS81" s="110">
        <f>IF($B81="","",FS80-FQ81)</f>
        <v>0</v>
      </c>
      <c r="FU81" s="108">
        <f>IF($B81="","",IF(OR($F$10="ანუიტეტური",$F$10="სამომხმარებლო"),FV81+FW81,IF(AND($F$10="საშეღავათო",$B81&lt;=$G$12),FV81+FW81,IF(AND($F$10="ნულოვანი საშეღავათო",$B81&lt;=$G$12),FV81+FW81))))</f>
        <v>107.60000000000001</v>
      </c>
      <c r="FV81" s="109">
        <f>IF($B81="","",IF(OR(OR($F$10="ანუიტეტური",$F$10="სამომხმარებლო"),$F$10="სამომხმარებლო"),FL81+FQ81,IF(AND($F$10="საშეღავათო",$B81&gt;$G$12),FU81-FW81,IF(AND($F$10="საშეღავათო",$B81&lt;=$G$12),0,IF(AND($F$10="ნულოვანი საშეღავათო",$B81&gt;$G$12),FU81-FW81,IF(AND($F$10="ნულოვანი საშეღავათო",$B81&lt;=$G$12),0))))))</f>
        <v>60.790000000000006</v>
      </c>
      <c r="FW81" s="109">
        <f t="shared" ref="FW81:FW144" si="60">IF($B81="","",IF(OR($F$10="ანუიტეტური",$F$10="სამომხმარებლო"),ROUND($H$22/$I$22*($C81-$C80)*FX80,2),IF($F$10="საშეღავათო",ROUND($H$22/$I$22*($C81-$C80)*FX80,2),IF(AND($F$10="ნულოვანი საშეღავათო",$B81&lt;=$G$12),0,IF(AND($F$10="ნულოვანი საშეღავათო",$B81=$G$12+1),ROUND($H$22/$I$22*($C81-$C$80)*FX80,2),IF(AND($F$10="ნულოვანი საშეღავათო",$B81&gt;$G$12),ROUND($H$22/$I$22*($C81-$C80)*FX80,2)))))))</f>
        <v>46.81</v>
      </c>
      <c r="FX81" s="110">
        <f>IF($B81="","",FX80-FV81)</f>
        <v>1439.21</v>
      </c>
      <c r="FZ81" s="108">
        <f t="shared" ref="FZ81:FZ144" si="61">IF($B81="","",ROUND(-PMT($H$22/$I$20,$H$20,$FZ$80),2))</f>
        <v>0</v>
      </c>
      <c r="GA81" s="109">
        <f>IF($B81="","",FZ81-GB81)</f>
        <v>0</v>
      </c>
      <c r="GB81" s="109">
        <f t="shared" ref="GB81:GB144" si="62">IF($B81="","",ROUND($H$22/$I$22*($C81-$C80)*GC80,2))</f>
        <v>0</v>
      </c>
      <c r="GC81" s="110">
        <f>IF($B81="","",GC80-GA81)</f>
        <v>0</v>
      </c>
      <c r="GE81" s="108">
        <f>IF($B81="","",IF(OR($F$10="ანუიტეტური",$F$10="სამომხმარებლო"),GF81+GG81,IF(AND($F$10="საშეღავათო",$B81&lt;=$G$12),GF81+GG81,IF(AND($F$10="ნულოვანი საშეღავათო",$B81&lt;=$G$12),GF81+GG81))))</f>
        <v>107.60000000000001</v>
      </c>
      <c r="GF81" s="109">
        <f>IF($B81="","",IF(OR($F$10="ანუიტეტური",$F$10="სამომხმარებლო"),FV81+GA81,IF(AND($F$10="საშეღავათო",$B81&gt;$G$12),GE81-GG81,IF(AND($F$10="საშეღავათო",$B81&lt;=$G$12),0,IF(AND($F$10="ნულოვანი საშეღავათო",$B81&gt;$G$12),GE81-GG81,IF(AND($F$10="ნულოვანი საშეღავათო",$B81&lt;=$G$12),0))))))</f>
        <v>60.790000000000006</v>
      </c>
      <c r="GG81" s="109">
        <f>IF($B81="","",IF(OR($F$10="ანუიტეტური",$F$10="სამომხმარებლო"),ROUND($H$22/$I$22*($C81-$C80)*GH80,2),IF($F$10="საშეღავათო",ROUND($H$22/$I$22*($C81-$C80)*GH80,2),IF(AND($F$10="ნულოვანი საშეღავათო",$B81&lt;=$G$12),0,IF(AND($F$10="ნულოვანი საშეღავათო",$B81=$G$12+1),ROUND($H$22/$I$22*($C81-$C$80)*GH80,2),IF(AND($F$10="ნულოვანი საშეღავათო",$B81&gt;$G$12),ROUND($H$22/$I$22*($C81-$C80)*GH80,2)))))))</f>
        <v>46.81</v>
      </c>
      <c r="GH81" s="110">
        <f>IF($B81="","",GH80-GF81)</f>
        <v>1439.21</v>
      </c>
      <c r="GL81" s="108">
        <f t="shared" ref="GL81:GL144" si="63">IF($K81="","",IF(OR($O$28="ანუიტეტური",$O$28="სამომხმარებლო"),ROUND(-PMT($P$34/$I$20,$R$32,$GL$80),2),IF(AND($O$28="საშეღავათო",$K81&lt;=$Q$30),GM81+GN81,IF(AND($O$28="საშეღავათო",$K81&gt;$Q$30),ROUND(-PMT($P$34/$I$20,$R$32-$Q$30,$GL$80),2),IF(AND($O$28="ნულოვანი საშეღავათო",$K81&lt;=$Q$30),GM81+GN81,IF(AND($O$28="ნულოვანი საშეღავათო",$K81&gt;$Q$30,GN81&gt;ROUND(-PMT($P$34/$I$20,$R$32-$Q$30,$GL$80),2)),GN81,ROUND(-PMT($P$34/$I$20,$R$32-$Q$30,$GL$80),2)))))))</f>
        <v>193.01</v>
      </c>
      <c r="GM81" s="109">
        <f t="shared" ref="GM81:GM144" si="64">IF($K81="","",IF(OR($O$28="ანუიტეტური",$O$28="სამომხმარებლო"),GL81-GN81,IF(AND($O$28="საშეღავათო",$K81&gt;$Q$30),GL81-GN81,IF(AND($O$28="საშეღავათო",$K81&lt;=$Q$30),0,IF(AND($O$28="ნულოვანი საშეღავათო",$K81&gt;$Q$30),GL81-GN81,IF(AND($O$28="ნულოვანი საშეღავათო",$K81&lt;=$Q$30),0))))))</f>
        <v>193.01</v>
      </c>
      <c r="GN81" s="109">
        <f t="shared" ref="GN81:GN144" si="65">IF($K81="","",IF(OR($O$28="ანუიტეტური",$O$28="სამომხმარებლო"),ROUND($P$34/$I$22*($L81-$L80)*GO80,2),IF($O$28="საშეღავათო",ROUND($P$34/$I$22*($L81-$L80)*GO80,2),IF(AND($O$28="ნულოვანი საშეღავათო",$K81&lt;=$Q$30),0,IF(AND($O$28="ნულოვანი საშეღავათო",$K81=$Q$30+1),ROUND($P$34/$I$22*($L81-$L$80)*GO80,2),IF(AND($O$28="ნულოვანი საშეღავათო",$K81&gt;$Q$30),ROUND($P$34/$I$22*($L81-$L80)*GO80,2)))))))</f>
        <v>0</v>
      </c>
      <c r="GO81" s="110">
        <f t="shared" ref="GO81:GO144" si="66">IF($K81="","",IF(OR($O$28="ანუიტეტური",$O$28="სამომხმარებლო"),GO80-GM81,IF($O$28="საშეღავათო",GO80-GM81,IF($O$28="ნულოვანი საშეღავათო",GO80-GM81))))</f>
        <v>1806.99</v>
      </c>
      <c r="GP81" s="51"/>
      <c r="GQ81" s="108">
        <f t="shared" ref="GQ81:GQ144" si="67">IF($K81="","",ROUND(-PMT($P$34/$I$20,$R$32,GQ$80),2))</f>
        <v>0</v>
      </c>
      <c r="GR81" s="109">
        <f>IF($K81="","",GQ81-GS81)</f>
        <v>0</v>
      </c>
      <c r="GS81" s="109">
        <f t="shared" ref="GS81:GS144" si="68">IF($K81="","",ROUND($P$34/$I$22*($L81-$L80)*GT80,2))</f>
        <v>0</v>
      </c>
      <c r="GT81" s="110">
        <f t="shared" ref="GT81:GT144" si="69">IF($K81="","",GT80-GR81)</f>
        <v>0</v>
      </c>
      <c r="GU81" s="51"/>
      <c r="GV81" s="108">
        <f>IF($K81="","",IF(OR($O$28="ანუიტეტური",$O$28="სამომხმარებლო"),GW81+GX81,IF(AND($O$28="საშეღავათო",$K81&lt;=$Q$30),GW81+GX81,IF(AND($O$28="ნულოვანი საშეღავათო",$K81&lt;=$Q$30),GW81+GX81))))</f>
        <v>193.01</v>
      </c>
      <c r="GW81" s="109">
        <f>IF($K81="","",IF(OR($O$28="ანუიტეტური",$O$28="სამომხმარებლო"),GM81+GR81,IF(AND($O$28="საშეღავათო",$K81&gt;$Q$30),GV81-GX81,IF(AND($O$28="საშეღავათო",$K81&lt;=$Q$30),0,IF(AND($O$28="ნულოვანი საშეღავათო",$K81&gt;$Q$30),GV81-GX81,IF(AND($O$28="ნულოვანი საშეღავათო",$K81&lt;=$Q$30),0))))))</f>
        <v>193.01</v>
      </c>
      <c r="GX81" s="109">
        <f t="shared" ref="GX81:GX144" si="70">IF($K81="","",IF(OR($O$28="ანუიტეტური",$O$28="სამომხმარებლო"),ROUND($P$34/$I$22*($L81-$L80)*GY80,2),IF($O$28="საშეღავათო",ROUND($P$34/$I$22*($L81-$L80)*GY80,2),IF(AND($O$28="ნულოვანი საშეღავათო",$K81&lt;=$Q$30),0,IF(AND($O$28="ნულოვანი საშეღავათო",$K81=$Q$30+1),ROUND($P$34/$I$22*($L81-$L$80)*GY80,2),IF(AND($O$28="ნულოვანი საშეღავათო",$K81&gt;$Q$30),ROUND($P$34/$I$22*($L81-$L80)*GY80,2)))))))</f>
        <v>0</v>
      </c>
      <c r="GY81" s="110">
        <f>IF($K81="","",GY80-GW81)</f>
        <v>1806.99</v>
      </c>
      <c r="GZ81" s="51"/>
      <c r="HA81" s="108">
        <f t="shared" ref="HA81:HA144" si="71">IF($K81="","",ROUND(-PMT($P$34/$I$20,$R$32,HA$80),2))</f>
        <v>0</v>
      </c>
      <c r="HB81" s="109">
        <f>IF($K81="","",HA81-HC81)</f>
        <v>0</v>
      </c>
      <c r="HC81" s="109">
        <f t="shared" ref="HC81:HC144" si="72">IF($K81="","",ROUND($P$34/$I$22*($L81-$L80)*HD80,2))</f>
        <v>0</v>
      </c>
      <c r="HD81" s="110">
        <f>IF($K81="","",HD80-HB81)</f>
        <v>0</v>
      </c>
      <c r="HE81" s="51"/>
      <c r="HF81" s="108">
        <f>IF($K81="","",IF(OR($O$28="ანუიტეტური",$O$28="სამომხმარებლო"),HG81+HH81,IF(AND($O$28="საშეღავათო",$K81&lt;=$Q$30),HG81+HH81,IF(AND($O$28="ნულოვანი საშეღავათო",$K81&lt;=$Q$30),HG81+HH81))))</f>
        <v>193.01</v>
      </c>
      <c r="HG81" s="109">
        <f>IF($K81="","",IF(OR($O$28="ანუიტეტური",$O$28="სამომხმარებლო"),GW81+HB81,IF(AND($O$28="საშეღავათო",$K81&gt;$Q$30),HF81-HH81,IF(AND($O$28="საშეღავათო",$K81&lt;=$Q$30),0,IF(AND($O$28="ნულოვანი საშეღავათო",$K81&gt;$Q$30),HF81-HH81,IF(AND($O$28="ნულოვანი საშეღავათო",$K81&lt;=$Q$30),0))))))</f>
        <v>193.01</v>
      </c>
      <c r="HH81" s="109">
        <f t="shared" ref="HH81:HH144" si="73">IF($K81="","",IF(OR($O$28="ანუიტეტური",$O$28="სამომხმარებლო"),ROUND($P$34/$I$22*($L81-$L80)*HI80,2),IF($O$28="საშეღავათო",ROUND($P$34/$I$22*($L81-$L80)*HI80,2),IF(AND($O$28="ნულოვანი საშეღავათო",$K81&lt;=$Q$30),0,IF(AND($O$28="ნულოვანი საშეღავათო",$K81=$Q$30+1),ROUND($P$34/$I$22*($L81-$L$80)*HI80,2),IF(AND($O$28="ნულოვანი საშეღავათო",$K81&gt;$Q$30),ROUND($P$34/$I$22*($L81-$L80)*HI80,2)))))))</f>
        <v>0</v>
      </c>
      <c r="HI81" s="110">
        <f>IF($K81="","",HI80-HG81)</f>
        <v>1806.99</v>
      </c>
      <c r="HJ81" s="51"/>
      <c r="HK81" s="108">
        <f t="shared" ref="HK81:HK144" si="74">IF($K81="","",ROUND(-PMT($P$34/$I$20,$R$32,HK$80),2))</f>
        <v>0</v>
      </c>
      <c r="HL81" s="109">
        <f>IF($K81="","",HK81-HM81)</f>
        <v>0</v>
      </c>
      <c r="HM81" s="109">
        <f t="shared" ref="HM81:HM144" si="75">IF($K81="","",ROUND($P$34/$I$22*($L81-$L80)*HN80,2))</f>
        <v>0</v>
      </c>
      <c r="HN81" s="110">
        <f>IF($K81="","",HN80-HL81)</f>
        <v>0</v>
      </c>
      <c r="HO81" s="51"/>
      <c r="HP81" s="108">
        <f>IF($K81="","",IF(OR($O$28="ანუიტეტური",$O$28="სამომხმარებლო"),HQ81+HR81,IF(AND($O$28="საშეღავათო",$K81&lt;=$Q$30),HQ81+HR81,IF(AND($O$28="ნულოვანი საშეღავათო",$K81&lt;=$Q$30),HQ81+HR81))))</f>
        <v>193.01</v>
      </c>
      <c r="HQ81" s="109">
        <f>IF($K81="","",IF(OR($O$28="ანუიტეტური",$O$28="სამომხმარებლო"),HG81+HL81,IF(AND($O$28="საშეღავათო",$K81&gt;$Q$30),HP81-HR81,IF(AND($O$28="საშეღავათო",$K81&lt;=$Q$30),0,IF(AND($O$28="ნულოვანი საშეღავათო",$K81&gt;$Q$30),HP81-HR81,IF(AND($O$28="ნულოვანი საშეღავათო",$K81&lt;=$Q$30),0))))))</f>
        <v>193.01</v>
      </c>
      <c r="HR81" s="109">
        <f t="shared" ref="HR81:HR144" si="76">IF($K81="","",IF(OR($O$28="ანუიტეტური",$O$28="სამომხმარებლო"),ROUND($P$34/$I$22*($L81-$L80)*HS80,2),IF($O$28="საშეღავათო",ROUND($P$34/$I$22*($L81-$L80)*HS80,2),IF(AND($O$28="ნულოვანი საშეღავათო",$K81&lt;=$Q$30),0,IF(AND($O$28="ნულოვანი საშეღავათო",$K81=$Q$30+1),ROUND($P$34/$I$22*($L81-$L$80)*HS80,2),IF(AND($O$28="ნულოვანი საშეღავათო",$K81&gt;$Q$30),ROUND($P$34/$I$22*($L81-$L80)*HS80,2)))))))</f>
        <v>0</v>
      </c>
      <c r="HS81" s="110">
        <f>IF($K81="","",HS80-HQ81)</f>
        <v>1806.99</v>
      </c>
      <c r="HT81" s="51"/>
      <c r="HU81" s="108">
        <f t="shared" ref="HU81:HU144" si="77">IF($K81="","",ROUND(-PMT($P$34/$I$20,$R$32,HU$80),2))</f>
        <v>0</v>
      </c>
      <c r="HV81" s="109">
        <f>IF($K81="","",HU81-HW81)</f>
        <v>0</v>
      </c>
      <c r="HW81" s="109">
        <f t="shared" ref="HW81:HW144" si="78">IF($K81="","",ROUND($P$34/$I$22*($L81-$L80)*HX80,2))</f>
        <v>0</v>
      </c>
      <c r="HX81" s="110">
        <f>IF($K81="","",HX80-HV81)</f>
        <v>0</v>
      </c>
      <c r="HY81" s="51"/>
      <c r="HZ81" s="108">
        <f>IF($K81="","",IF(OR($O$28="ანუიტეტური",$O$28="სამომხმარებლო"),IA81+IB81,IF(AND($O$28="საშეღავათო",$K81&lt;=$Q$30),IA81+IB81,IF(AND($O$28="ნულოვანი საშეღავათო",$K81&lt;=$Q$30),IA81+IB81))))</f>
        <v>193.01</v>
      </c>
      <c r="IA81" s="109">
        <f>IF($K81="","",IF(OR($O$28="ანუიტეტური",$O$28="სამომხმარებლო"),HQ81+HV81,IF(AND($O$28="საშეღავათო",$K81&gt;$Q$30),HZ81-IB81,IF(AND($O$28="საშეღავათო",$K81&lt;=$Q$30),0,IF(AND($O$28="ნულოვანი საშეღავათო",$K81&gt;$Q$30),HZ81-IB81,IF(AND($O$28="ნულოვანი საშეღავათო",$K81&lt;=$Q$30),0))))))</f>
        <v>193.01</v>
      </c>
      <c r="IB81" s="109">
        <f t="shared" ref="IB81:IB144" si="79">IF($K81="","",IF(OR($O$28="ანუიტეტური",$O$28="სამომხმარებლო"),ROUND($P$34/$I$22*($L81-$L80)*IC80,2),IF($O$28="საშეღავათო",ROUND($P$34/$I$22*($L81-$L80)*IC80,2),IF(AND($O$28="ნულოვანი საშეღავათო",$K81&lt;=$Q$30),0,IF(AND($O$28="ნულოვანი საშეღავათო",$K81=$Q$30+1),ROUND($P$34/$I$22*($L81-$L$80)*IC80,2),IF(AND($O$28="ნულოვანი საშეღავათო",$K81&gt;$Q$30),ROUND($P$34/$I$22*($L81-$L80)*IC80,2)))))))</f>
        <v>0</v>
      </c>
      <c r="IC81" s="110">
        <f>IF($K81="","",IC80-IA81)</f>
        <v>1806.99</v>
      </c>
      <c r="ID81" s="51"/>
      <c r="IE81" s="108">
        <f t="shared" ref="IE81:IE144" si="80">IF($K81="","",ROUND(-PMT($P$34/$I$20,$R$32,IE$80),2))</f>
        <v>0</v>
      </c>
      <c r="IF81" s="109">
        <f>IF($K81="","",IE81-IG81)</f>
        <v>0</v>
      </c>
      <c r="IG81" s="109">
        <f t="shared" ref="IG81:IG144" si="81">IF($K81="","",ROUND($P$34/$I$22*($L81-$L80)*IH80,2))</f>
        <v>0</v>
      </c>
      <c r="IH81" s="110">
        <f>IF($K81="","",IH80-IF81)</f>
        <v>0</v>
      </c>
      <c r="II81" s="51"/>
      <c r="IJ81" s="108">
        <f>IF($K81="","",IF(OR($O$28="ანუიტეტური",$O$28="სამომხმარებლო"),IK81+IL81,IF(AND($O$28="საშეღავათო",$K81&lt;=$Q$30),IK81+IL81,IF(AND($O$28="ნულოვანი საშეღავათო",$K81&lt;=$Q$30),IK81+IL81))))</f>
        <v>193.01</v>
      </c>
      <c r="IK81" s="109">
        <f>IF($K81="","",IF(OR($O$28="ანუიტეტური",$O$28="სამომხმარებლო"),IA81+IF81,IF(AND($O$28="საშეღავათო",$K81&gt;$Q$30),IJ81-IL81,IF(AND($O$28="საშეღავათო",$K81&lt;=$Q$30),0,IF(AND($O$28="ნულოვანი საშეღავათო",$K81&gt;$Q$30),IJ81-IL81,IF(AND($O$28="ნულოვანი საშეღავათო",$K81&lt;=$Q$30),0))))))</f>
        <v>193.01</v>
      </c>
      <c r="IL81" s="109">
        <f t="shared" ref="IL81:IL144" si="82">IF($K81="","",IF(OR($O$28="ანუიტეტური",$O$28="სამომხმარებლო"),ROUND($P$34/$I$22*($L81-$L80)*IM80,2),IF($O$28="საშეღავათო",ROUND($P$34/$I$22*($L81-$L80)*IM80,2),IF(AND($O$28="ნულოვანი საშეღავათო",$K81&lt;=$Q$30),0,IF(AND($O$28="ნულოვანი საშეღავათო",$K81=$Q$30+1),ROUND($P$34/$I$22*($L81-$L$80)*IM80,2),IF(AND($O$28="ნულოვანი საშეღავათო",$K81&gt;$Q$30),ROUND($P$34/$I$22*($L81-$L80)*IM80,2)))))))</f>
        <v>0</v>
      </c>
      <c r="IM81" s="110">
        <f>IF($K81="","",IM80-IK81)</f>
        <v>1806.99</v>
      </c>
      <c r="IN81" s="51"/>
      <c r="IO81" s="108">
        <f t="shared" ref="IO81:IO144" si="83">IF($K81="","",ROUND(-PMT($P$34/$I$20,$R$32,IO$80),2))</f>
        <v>0</v>
      </c>
      <c r="IP81" s="109">
        <f>IF($K81="","",IO81-IQ81)</f>
        <v>0</v>
      </c>
      <c r="IQ81" s="109">
        <f t="shared" ref="IQ81:IQ144" si="84">IF($K81="","",ROUND($P$34/$I$22*($L81-$L80)*IR80,2))</f>
        <v>0</v>
      </c>
      <c r="IR81" s="110">
        <f>IF($K81="","",IR80-IP81)</f>
        <v>0</v>
      </c>
      <c r="IS81" s="51"/>
      <c r="IT81" s="108">
        <f>IF($K81="","",IF(OR($O$28="ანუიტეტური",$O$28="სამომხმარებლო"),IU81+IV81,IF(AND($O$28="საშეღავათო",$K81&lt;=$Q$30),IU81+IV81,IF(AND($O$28="ნულოვანი საშეღავათო",$K81&lt;=$Q$30),IU81+IV81))))</f>
        <v>193.01</v>
      </c>
      <c r="IU81" s="109">
        <f>IF($K81="","",IF(OR($O$28="ანუიტეტური",$O$28="სამომხმარებლო"),IK81+IP81,IF(AND($O$28="საშეღავათო",$K81&gt;$Q$30),IT81-IV81,IF(AND($O$28="საშეღავათო",$K81&lt;=$Q$30),0,IF(AND($O$28="ნულოვანი საშეღავათო",$K81&gt;$Q$30),IT81-IV81,IF(AND($O$28="ნულოვანი საშეღავათო",$K81&lt;=$Q$30),0))))))</f>
        <v>193.01</v>
      </c>
      <c r="IV81" s="109">
        <f t="shared" ref="IV81:IV144" si="85">IF($K81="","",IF(OR($O$28="ანუიტეტური",$O$28="სამომხმარებლო"),ROUND($P$34/$I$22*($L81-$L80)*IW80,2),IF($O$28="საშეღავათო",ROUND($P$34/$I$22*($L81-$L80)*IW80,2),IF(AND($O$28="ნულოვანი საშეღავათო",$K81&lt;=$Q$30),0,IF(AND($O$28="ნულოვანი საშეღავათო",$K81=$Q$30+1),ROUND($P$34/$I$22*($L81-$L$80)*IW80,2),IF(AND($O$28="ნულოვანი საშეღავათო",$K81&gt;$Q$30),ROUND($P$34/$I$22*($L81-$L80)*IW80,2)))))))</f>
        <v>0</v>
      </c>
      <c r="IW81" s="110">
        <f>IF($K81="","",IW80-IU81)</f>
        <v>1806.99</v>
      </c>
      <c r="IX81" s="51"/>
      <c r="IY81" s="108">
        <f t="shared" ref="IY81:IY144" si="86">IF($K81="","",ROUND(-PMT($P$34/$I$20,$R$32,IY$80),2))</f>
        <v>0</v>
      </c>
      <c r="IZ81" s="109">
        <f>IF($K81="","",IY81-JA81)</f>
        <v>0</v>
      </c>
      <c r="JA81" s="109">
        <f t="shared" ref="JA81:JA144" si="87">IF($K81="","",ROUND($P$34/$I$22*($L81-$L80)*JB80,2))</f>
        <v>0</v>
      </c>
      <c r="JB81" s="110">
        <f>IF($K81="","",JB80-IZ81)</f>
        <v>0</v>
      </c>
      <c r="JC81" s="51"/>
      <c r="JD81" s="108">
        <f>IF($K81="","",IF(OR($O$28="ანუიტეტური",$O$28="სამომხმარებლო"),JE81+JF81,IF(AND($O$28="საშეღავათო",$K81&lt;=$Q$30),JE81+JF81,IF(AND($O$28="ნულოვანი საშეღავათო",$K81&lt;=$Q$30),JE81+JF81))))</f>
        <v>193.01</v>
      </c>
      <c r="JE81" s="109">
        <f>IF($K81="","",IF(OR($O$28="ანუიტეტური",$O$28="სამომხმარებლო"),IU81+IZ81,IF(AND($O$28="საშეღავათო",$K81&gt;$Q$30),JD81-JF81,IF(AND($O$28="საშეღავათო",$K81&lt;=$Q$30),0,IF(AND($O$28="ნულოვანი საშეღავათო",$K81&gt;$Q$30),JD81-JF81,IF(AND($O$28="ნულოვანი საშეღავათო",$K81&lt;=$Q$30),0))))))</f>
        <v>193.01</v>
      </c>
      <c r="JF81" s="109">
        <f t="shared" ref="JF81:JF144" si="88">IF($K81="","",IF(OR($O$28="ანუიტეტური",$O$28="სამომხმარებლო"),ROUND($P$34/$I$22*($L81-$L80)*JG80,2),IF($O$28="საშეღავათო",ROUND($P$34/$I$22*($L81-$L80)*JG80,2),IF(AND($O$28="ნულოვანი საშეღავათო",$K81&lt;=$Q$30),0,IF(AND($O$28="ნულოვანი საშეღავათო",$K81=$Q$30+1),ROUND($P$34/$I$22*($L81-$L$80)*JG80,2),IF(AND($O$28="ნულოვანი საშეღავათო",$K81&gt;$Q$30),ROUND($P$34/$I$22*($L81-$L80)*JG80,2)))))))</f>
        <v>0</v>
      </c>
      <c r="JG81" s="110">
        <f>IF($K81="","",JG80-JE81)</f>
        <v>1806.99</v>
      </c>
      <c r="JH81" s="51"/>
      <c r="JI81" s="108">
        <f t="shared" ref="JI81:JI144" si="89">IF($K81="","",ROUND(-PMT($P$34/$I$20,$R$32,JI$80),2))</f>
        <v>0</v>
      </c>
      <c r="JJ81" s="109">
        <f>IF($K81="","",JI81-JK81)</f>
        <v>0</v>
      </c>
      <c r="JK81" s="109">
        <f t="shared" ref="JK81:JK144" si="90">IF($K81="","",ROUND($P$34/$I$22*($L81-$L80)*JL80,2))</f>
        <v>0</v>
      </c>
      <c r="JL81" s="110">
        <f>IF($K81="","",JL80-JJ81)</f>
        <v>0</v>
      </c>
      <c r="JM81" s="51"/>
      <c r="JN81" s="108">
        <f>IF($K81="","",IF(OR($O$28="ანუიტეტური",$O$28="სამომხმარებლო"),JO81+JP81,IF(AND($O$28="საშეღავათო",$K81&lt;=$Q$30),JO81+JP81,IF(AND($O$28="ნულოვანი საშეღავათო",$K81&lt;=$Q$30),JO81+JP81))))</f>
        <v>193.01</v>
      </c>
      <c r="JO81" s="109">
        <f>IF($K81="","",IF(OR($O$28="ანუიტეტური",$O$28="სამომხმარებლო"),JE81+JJ81,IF(AND($O$28="საშეღავათო",$K81&gt;$Q$30),JN81-JP81,IF(AND($O$28="საშეღავათო",$K81&lt;=$Q$30),0,IF(AND($O$28="ნულოვანი საშეღავათო",$K81&gt;$Q$30),JN81-JP81,IF(AND($O$28="ნულოვანი საშეღავათო",$K81&lt;=$Q$30),0))))))</f>
        <v>193.01</v>
      </c>
      <c r="JP81" s="109">
        <f t="shared" ref="JP81:JP144" si="91">IF($K81="","",IF(OR($O$28="ანუიტეტური",$O$28="სამომხმარებლო"),ROUND($P$34/$I$22*($L81-$L80)*JQ80,2),IF($O$28="საშეღავათო",ROUND($P$34/$I$22*($L81-$L80)*JQ80,2),IF(AND($O$28="ნულოვანი საშეღავათო",$K81&lt;=$Q$30),0,IF(AND($O$28="ნულოვანი საშეღავათო",$K81=$Q$30+1),ROUND($P$34/$I$22*($L81-$L$80)*JQ80,2),IF(AND($O$28="ნულოვანი საშეღავათო",$K81&gt;$Q$30),ROUND($P$34/$I$22*($L81-$L80)*JQ80,2)))))))</f>
        <v>0</v>
      </c>
      <c r="JQ81" s="110">
        <f>IF($K81="","",JQ80-JO81)</f>
        <v>1806.99</v>
      </c>
      <c r="JR81" s="51"/>
      <c r="JS81" s="108">
        <f t="shared" ref="JS81:JS144" si="92">IF($K81="","",ROUND(-PMT($P$34/$I$20,$R$32,JS$80),2))</f>
        <v>0</v>
      </c>
      <c r="JT81" s="109">
        <f>IF($K81="","",JS81-JU81)</f>
        <v>0</v>
      </c>
      <c r="JU81" s="109">
        <f t="shared" ref="JU81:JU144" si="93">IF($K81="","",ROUND($P$34/$I$22*($L81-$L80)*JV80,2))</f>
        <v>0</v>
      </c>
      <c r="JV81" s="110">
        <f>IF($K81="","",JV80-JT81)</f>
        <v>0</v>
      </c>
      <c r="JW81" s="51"/>
      <c r="JX81" s="108">
        <f>IF($K81="","",IF(OR($O$28="ანუიტეტური",$O$28="სამომხმარებლო"),JY81+JZ81,IF(AND($O$28="საშეღავათო",$K81&lt;=$Q$30),JY81+JZ81,IF(AND($O$28="ნულოვანი საშეღავათო",$K81&lt;=$Q$30),JY81+JZ81))))</f>
        <v>193.01</v>
      </c>
      <c r="JY81" s="109">
        <f>IF($K81="","",IF(OR($O$28="ანუიტეტური",$O$28="სამომხმარებლო"),JO81+JT81,IF(AND($O$28="საშეღავათო",$K81&gt;$Q$30),JX81-JZ81,IF(AND($O$28="საშეღავათო",$K81&lt;=$Q$30),0,IF(AND($O$28="ნულოვანი საშეღავათო",$K81&gt;$Q$30),JX81-JZ81,IF(AND($O$28="ნულოვანი საშეღავათო",$K81&lt;=$Q$30),0))))))</f>
        <v>193.01</v>
      </c>
      <c r="JZ81" s="109">
        <f t="shared" ref="JZ81:JZ144" si="94">IF($K81="","",IF(OR($O$28="ანუიტეტური",$O$28="სამომხმარებლო"),ROUND($P$34/$I$22*($L81-$L80)*KA80,2),IF($O$28="საშეღავათო",ROUND($P$34/$I$22*($L81-$L80)*KA80,2),IF(AND($O$28="ნულოვანი საშეღავათო",$K81&lt;=$Q$30),0,IF(AND($O$28="ნულოვანი საშეღავათო",$K81=$Q$30+1),ROUND($P$34/$I$22*($L81-$L$80)*KA80,2),IF(AND($O$28="ნულოვანი საშეღავათო",$K81&gt;$Q$30),ROUND($P$34/$I$22*($L81-$L80)*KA80,2)))))))</f>
        <v>0</v>
      </c>
      <c r="KA81" s="110">
        <f t="shared" ref="KA81:KA144" si="95">IF($K81="","",KA80-JY81)</f>
        <v>1806.99</v>
      </c>
    </row>
    <row r="82" spans="1:287" ht="12" customHeight="1">
      <c r="A82" s="105">
        <f t="array" ref="A82">MAX(IF($J$80:J81&gt;0,$C$80:C81,0))</f>
        <v>43536</v>
      </c>
      <c r="B82" s="81">
        <f t="shared" si="4"/>
        <v>2</v>
      </c>
      <c r="C82" s="82">
        <f>IF($F$36="ფიქსირებული",DATE($F$32,$G$32,$H$32),IF(OR(WEEKDAY(EOMONTH(DATE($F$28,$G$28,$H$28),$B$81),2)=6,WEEKDAY(EOMONTH(DATE($F$28,$G$28,$H$28),$B$81),2)=7,IF(EOMONTH(DATE($F$28,$G$28,$H$28),$B$81)=IFERROR(VLOOKUP(EOMONTH(DATE($F$28,$G$28,$H$28),$B$81),$BK$80:$BK$624,1,FALSE),0),1,0)=1),WORKDAY(EOMONTH(DATE($F$28,$G$28,$H$28),$B$81),1,$BK$80:$BK$624),EOMONTH(DATE($F$28,$G$28,$H$28),$B$81)))</f>
        <v>43600</v>
      </c>
      <c r="D82" s="83">
        <f t="shared" si="5"/>
        <v>108.31</v>
      </c>
      <c r="E82" s="83">
        <f t="shared" ref="E82:E145" si="96">IF(B82="","",IF(H81&gt;0,IF(OR($F$10="ანუიტეტური",$F$10="საშეღავათო",$F$10="ასიმეტრიული პროცენტით",$F$10="სამომხმარებლო"),ROUND($H81*$R$20/$I$22*(C82-C81),2),IF($F$10="ნულოვანი საშეღავათო",IF($B82&lt;=$G$12,0,IF($B82=$G$12+1,ROUND($H81*$R$20/$I$22*($C82-$C$80),2),ROUND($H81*$R$20/$I$22*($C82-$C81),2))),IF($F$10="ასიმეტრიული",IF(AND(J82="",B82&lt;$H$20),0,IF(OR(J82&gt;0,B82=$H$20),ROUND($H81*$R$20/$I$22*(C82-A82),2))),0)))))</f>
        <v>0.71</v>
      </c>
      <c r="F82" s="83">
        <f t="shared" si="6"/>
        <v>67.97</v>
      </c>
      <c r="G82" s="83">
        <f t="shared" si="7"/>
        <v>39.630000000000003</v>
      </c>
      <c r="H82" s="83">
        <f t="shared" si="8"/>
        <v>1371.24</v>
      </c>
      <c r="I82" s="105">
        <f t="array" ref="I82">MAX(IF($R$80:R81&gt;0,$L$80:L81,0))</f>
        <v>0</v>
      </c>
      <c r="J82" s="106"/>
      <c r="K82" s="69">
        <f t="shared" si="9"/>
        <v>2</v>
      </c>
      <c r="L82" s="82">
        <f>IFERROR(IF($F$52="ფიქსირებული",DATE($F$50,$G$50,$H$50),IF(OR(WEEKDAY(EOMONTH(DATE($F$46,$G$46,$H$46),$K$81),2)=6,WEEKDAY(EOMONTH(DATE($F$46,$G$46,$H$46),$K$81),2)=7,IF(EOMONTH(DATE($F$46,$G$46,$H$46),$K$81)=IFERROR(VLOOKUP(EOMONTH(DATE($F$46,$G$46,$H$46),$K$81),$BK$80:$BK$624,1,FALSE),0),1,0)=1),WORKDAY(EOMONTH(DATE($F$46,$G$46,$H$46),$K$81),1,$BK$80:$BK$624),EOMONTH(DATE($F$46,$G$46,$H$46),$K$81))),0)</f>
        <v>0</v>
      </c>
      <c r="M82" s="83">
        <f t="shared" ref="M82:M145" si="97">IF(K82="","",IF(OR($O$28="ასიმეტრიული",$O$28="ასიმეტრიული პროცენტით",$O$28="ბიზნეს ოვერდრაფტი",$O$28="დეპოზიტით უზრუნველყოფილი"),O82+P82+N82,JX82+N82))</f>
        <v>193.01</v>
      </c>
      <c r="N82" s="83">
        <f t="shared" si="10"/>
        <v>0</v>
      </c>
      <c r="O82" s="83" t="str">
        <f t="shared" si="11"/>
        <v/>
      </c>
      <c r="P82" s="83">
        <f t="shared" si="12"/>
        <v>0</v>
      </c>
      <c r="Q82" s="83">
        <f t="shared" si="13"/>
        <v>1613.98</v>
      </c>
      <c r="R82" s="106"/>
      <c r="S82" s="66"/>
      <c r="U82" s="85" t="e">
        <f t="shared" si="0"/>
        <v>#NUM!</v>
      </c>
      <c r="V82" s="86" t="e">
        <f t="shared" ref="V82:V145" si="98">IF(U82="",0,C82)</f>
        <v>#NUM!</v>
      </c>
      <c r="W82" s="87" t="e">
        <f t="shared" si="14"/>
        <v>#NUM!</v>
      </c>
      <c r="X82" s="87" t="e">
        <f t="shared" si="15"/>
        <v>#NUM!</v>
      </c>
      <c r="Y82" s="87" t="e">
        <f t="shared" si="16"/>
        <v>#NUM!</v>
      </c>
      <c r="Z82" s="88" t="e">
        <f t="shared" si="1"/>
        <v>#NUM!</v>
      </c>
      <c r="AB82" s="89">
        <f t="shared" ref="AB82:AB145" si="99">IF(D82&lt;&gt;"",D82,0)</f>
        <v>108.31</v>
      </c>
      <c r="AC82" s="87">
        <f t="shared" ref="AC82:AC145" si="100">IF(D82&lt;&gt;"",ROUND((D82*($BJ$81+(C82-$C$80)*$BJ$82)),2),0)</f>
        <v>111.27</v>
      </c>
      <c r="AD82" s="87" t="str">
        <f t="shared" si="17"/>
        <v/>
      </c>
      <c r="AE82" s="87" t="str">
        <f t="shared" si="18"/>
        <v/>
      </c>
      <c r="AF82" s="86">
        <f t="shared" ref="AF82:AF145" si="101">IF(AND(EDATE($AF81,1)&lt;=MAX($C$80:$C$200),$AF81&lt;&gt;0),EDATE($AF81,1),0)</f>
        <v>43597</v>
      </c>
      <c r="AG82" s="87">
        <f t="shared" si="2"/>
        <v>1.5</v>
      </c>
      <c r="AH82" s="87">
        <f t="shared" ref="AH82:AH145" si="102">IF(E82&lt;&gt;"",E82,0)</f>
        <v>0.71</v>
      </c>
      <c r="AI82" s="90"/>
      <c r="AJ82" s="87" t="e">
        <f t="shared" si="19"/>
        <v>#NUM!</v>
      </c>
      <c r="AK82" s="87" t="e">
        <f t="shared" ref="AK82:AK145" si="103">IF(OR($F$46="",DATE($F$34,$G$34,$H$34)&lt;=DATE($F$46,$G$46,$H$46)),0,IF(M82&lt;&gt;"",ROUND((M82*($BJ$81+(L82-$L$80)*$BJ$82)),2),0))</f>
        <v>#NUM!</v>
      </c>
      <c r="AL82" s="87" t="e">
        <f t="shared" ref="AL82:AL145" si="104">IF(OR($F$46="",DATE($F$34,$G$34,$H$34)&lt;=DATE($F$46,$G$46,$H$46)),0,IF(OR($O$28="ბიზნეს ოვერდრაფტი",$O$28="საკრედიტო ბარათი"),IF(M82&lt;&gt;"",M82,0),""))</f>
        <v>#NUM!</v>
      </c>
      <c r="AM82" s="87" t="e">
        <f t="shared" ref="AM82:AM145" si="105">IF(OR($F$46="",DATE($F$34,$G$34,$H$34)&lt;=DATE($F$46,$G$46,$H$46)),0,IF(OR($O$28="ბიზნეს ოვერდრაფტი",$O$28="საკრედიტო ბარათი"),IF(M82&lt;&gt;"",ROUND((M82*($BJ$81+(L82-$L$80)*$BJ$82)),2),0),""))</f>
        <v>#NUM!</v>
      </c>
      <c r="AN82" s="86">
        <f t="shared" si="20"/>
        <v>0</v>
      </c>
      <c r="AO82" s="87">
        <f t="shared" si="21"/>
        <v>0</v>
      </c>
      <c r="AP82" s="88">
        <f t="shared" si="22"/>
        <v>0</v>
      </c>
      <c r="AR82" s="89">
        <f t="shared" si="23"/>
        <v>108.31</v>
      </c>
      <c r="AS82" s="87">
        <f t="shared" si="24"/>
        <v>111.27</v>
      </c>
      <c r="AT82" s="87" t="str">
        <f t="shared" si="25"/>
        <v/>
      </c>
      <c r="AU82" s="87" t="str">
        <f t="shared" si="26"/>
        <v/>
      </c>
      <c r="AV82" s="86">
        <f t="shared" ref="AV82:AV145" si="106">IF(OR($F$46="",$G$46="",$H$46=""),IF(AND(EDATE($AF81,1)&lt;=MAX($C$80:$C$200),$AF81&lt;&gt;0),EDATE($AF81,1),0),IF(DATE($F$46,$G$46,$H$46)&gt;=DATE($F$34,$G$34,$H$34),IF(AND(EDATE($AF81,1)&lt;=MAX($C$80:$C$200),$AF81&lt;&gt;0),EDATE($AF81,1),0),IF(AND(DATE($F$46,$G$46,$H$46)&lt;DATE($F$34,$G$34,$H$34),U82&lt;&gt;""),IF(AND(EDATE($AF81,1)&lt;=MAX($C$80:$C$200),$AF81&lt;&gt;0),EDATE($AF81,1),0),IF(AND(DATE($F$46,$G$46,$H$46)&lt;DATE($F$34,$G$34,$H$34),U82=""),0))))</f>
        <v>43597</v>
      </c>
      <c r="AW82" s="87">
        <f t="shared" ref="AW82:AW145" si="107">IF(OR($F$46="",$G$46="",$H$46=""),IF(AF82&gt;0,$R$14,0),IF(DATE($F$46,$G$46,$H$46)&gt;=DATE($F$34,$G$34,$H$34),IF(AF82&gt;0,$R$14,0),IF(AND(DATE($F$46,$G$46,$H$46)&lt;DATE($F$34,$G$34,$H$34),U82&lt;&gt;""),IF(AF82&gt;0,$R$14,0),IF(AND(DATE($F$46,$G$46,$H$46)&lt;DATE($F$34,$G$34,$H$34),U82=""),0))))</f>
        <v>1.5</v>
      </c>
      <c r="AX82" s="87">
        <f t="shared" ref="AX82:AX145" si="108">IF(OR($F$46="",$G$46="",$H$46=""),IF($H$16="GEL",$AH82,ROUND($AH82*$H$18,2)),IF(DATE($F$46,$G$46,$H$46)&gt;=DATE($F$34,$G$34,$H$34),IF($H$16="GEL",$AH82,ROUND($AH82*$H$18,2)),IF(AND(DATE($F$46,$G$46,$H$46)&lt;DATE($F$34,$G$34,$H$34),U82&lt;&gt;""),IF($H$16="GEL",$AH82,ROUND($AH82*$H$18,2)),IF(AND(DATE($F$46,$G$46,$H$46)&lt;DATE($F$34,$G$34,$H$34),U82=""),0))))</f>
        <v>0.71</v>
      </c>
      <c r="AY82" s="93"/>
      <c r="AZ82" s="87">
        <f>IFERROR(IF(OR($F$46="",$G$46="",$H$46="",DATE($F$34,$G$34,$H$34)&lt;=DATE($F$46,$G$46,$H$46)),0,IF(M82&lt;&gt;"",IF($P$32="GEL",M82,M82*$Q$32),0)),0)</f>
        <v>0</v>
      </c>
      <c r="BA82" s="87">
        <f t="shared" ref="BA82:BA145" si="109">IFERROR(IF(OR($F$46="",DATE($F$34,$G$34,$H$34)&lt;=DATE($F$46,$G$46,$H$46)),0,IF(M82&lt;&gt;"",(IF($P$32="GEL",M82,M82*$Q$32)*($BJ$81+(L82-$L$80)*$BJ$82)),0)),0)</f>
        <v>0</v>
      </c>
      <c r="BB82" s="87">
        <f t="shared" ref="BB82:BB145" si="110">IFERROR(IF(OR($F$46="",DATE($F$34,$G$34,$H$34)&lt;=DATE($F$46,$G$46,$H$46)),0,IF(OR($O$28="ბიზნეს ოვერდრაფტი",$O$28="საკრედიტო ბარათი"),IF(M82&lt;&gt;"",IF($P$32="GEL",M82,M82*$Q$32),0),"")),0)</f>
        <v>0</v>
      </c>
      <c r="BC82" s="87">
        <f>IFERROR(IF(OR($F$46="",DATE($F$34,$G$34,$H$34)&lt;=DATE($F$46,$G$46,$H$46)),0,IF(OR($O$28="ბიზნეს ოვერდრაფტი",$O$28="საკრედიტო ბარათი"),IF(M82&lt;&gt;"",(IF($P$32="GEL",M82,M82*$Q$32)*($BJ$81+(L82-$L$80)*$BJ$82)),0),"")),0)</f>
        <v>0</v>
      </c>
      <c r="BD82" s="86" t="e">
        <f t="shared" si="27"/>
        <v>#NUM!</v>
      </c>
      <c r="BE82" s="87" t="e">
        <f t="shared" si="3"/>
        <v>#NUM!</v>
      </c>
      <c r="BF82" s="88">
        <f t="shared" ref="BF82:BF145" si="111">IFERROR(IF(Q81&gt;0,IF($P$32="GEL",ROUND($Q81*$R$46/$I$22*(L82-L81),2),ROUND($Q81*$Q$32*$R$46/$I$22*(L82-L81),2)),0),0)</f>
        <v>0</v>
      </c>
      <c r="BH82" s="87" t="e">
        <f t="shared" si="28"/>
        <v>#NUM!</v>
      </c>
      <c r="BI82" s="51"/>
      <c r="BJ82" s="96">
        <f>(-BJ81+(BJ81*(1+$BJ$80)^((MAX($C$80:$C$212)-$C$80)/$I$22)))/(MAX($C$80:$C$212)-$C$80)</f>
        <v>4.2646934246962683E-4</v>
      </c>
      <c r="BK82" s="95">
        <v>39454</v>
      </c>
      <c r="BL82" s="96">
        <v>3</v>
      </c>
      <c r="BM82" s="96">
        <v>3</v>
      </c>
      <c r="BP82" t="s">
        <v>176</v>
      </c>
      <c r="BQ82" s="98">
        <v>3.5</v>
      </c>
      <c r="BR82" s="98"/>
      <c r="BT82" s="51"/>
      <c r="BU82" s="51"/>
      <c r="BV82" s="30"/>
      <c r="BW82" s="107" t="str">
        <f>CONCATENATE(BW80,"&gt;&gt;",BW81)</f>
        <v>1&gt;&gt;5</v>
      </c>
      <c r="BX82" s="107" t="str">
        <f t="shared" ref="BX82:CE82" si="112">CONCATENATE(BX80,"&gt;&gt;",BX81)</f>
        <v>6&gt;&gt;10</v>
      </c>
      <c r="BY82" s="107" t="str">
        <f t="shared" si="112"/>
        <v>11&gt;&gt;14</v>
      </c>
      <c r="BZ82" s="107" t="str">
        <f t="shared" si="112"/>
        <v>15&gt;&gt;23</v>
      </c>
      <c r="CA82" s="107" t="str">
        <f t="shared" si="112"/>
        <v>24&gt;&gt;35</v>
      </c>
      <c r="CB82" s="107" t="str">
        <f t="shared" si="112"/>
        <v>36&gt;&gt;47</v>
      </c>
      <c r="CC82" s="107" t="str">
        <f t="shared" si="112"/>
        <v>48&gt;&gt;59</v>
      </c>
      <c r="CD82" s="107" t="str">
        <f t="shared" si="112"/>
        <v>60&gt;&gt;60</v>
      </c>
      <c r="CE82" s="107" t="str">
        <f t="shared" si="112"/>
        <v>61&gt;&gt;</v>
      </c>
      <c r="CF82" s="107"/>
      <c r="CG82" s="107"/>
      <c r="CI82" s="100" t="s">
        <v>144</v>
      </c>
      <c r="CJ82" s="100">
        <v>1.5</v>
      </c>
      <c r="CK82" s="30">
        <v>5.0000000000000001E-3</v>
      </c>
      <c r="CL82">
        <v>0.5</v>
      </c>
      <c r="CN82" s="101" t="s">
        <v>266</v>
      </c>
      <c r="CO82">
        <v>366</v>
      </c>
      <c r="CP82">
        <v>730</v>
      </c>
      <c r="CQ82" s="30">
        <v>0.01</v>
      </c>
      <c r="CS82" s="108">
        <f t="shared" si="29"/>
        <v>107.15</v>
      </c>
      <c r="CT82" s="109">
        <f t="shared" si="30"/>
        <v>67.510000000000005</v>
      </c>
      <c r="CU82" s="109">
        <f t="shared" si="31"/>
        <v>39.64</v>
      </c>
      <c r="CV82" s="110">
        <f t="shared" si="32"/>
        <v>1372.15</v>
      </c>
      <c r="CX82" s="108">
        <f t="shared" si="33"/>
        <v>0.75</v>
      </c>
      <c r="CY82" s="109">
        <f t="shared" ref="CY82:CY145" si="113">IF($B82="","",CX82-CZ82)</f>
        <v>0.47</v>
      </c>
      <c r="CZ82" s="109">
        <f t="shared" si="34"/>
        <v>0.28000000000000003</v>
      </c>
      <c r="DA82" s="110">
        <f t="shared" si="35"/>
        <v>9.6000000000003496</v>
      </c>
      <c r="DC82" s="108">
        <f t="shared" ref="DC82:DC145" si="114">IF($B82="","",IF(OR($F$10="ანუიტეტური",$F$10="სამომხმარებლო"),DC81,IF(AND($F$10="საშეღავათო",$B82&lt;=$G$12),DD82+DE82,IF(AND($F$10="საშეღავათო",$B82&gt;$G$12),CS82+CX82,IF(AND($F$10="ნულოვანი საშეღავათო",$B82&lt;=$G$12),DD82+DE82,IF(AND($F$10="ნულოვანი საშეღავათო",$B82&gt;$G$12,CU82&gt;ROUND(-PMT($H$22/$I$20,$H$20-$G$12,$CS$80),2)),CU82,CS82+CX82))))))</f>
        <v>107.57000000000001</v>
      </c>
      <c r="DD82" s="109">
        <f t="shared" ref="DD82:DD145" si="115">IF($B82="","",IF(OR($F$10="ანუიტეტური",$F$10="სამომხმარებლო"),DC82-DE82,IF(AND($F$10="საშეღავათო",$B82&gt;$G$12),DC82-DE82,IF(AND($F$10="საშეღავათო",$B82&lt;=$G$12),0,IF(AND($F$10="ნულოვანი საშეღავათო",$B82&gt;$G$12),DC82-DE82,IF(AND($F$10="ნულოვანი საშეღავათო",$B82&lt;=$G$12),0))))))</f>
        <v>67.94</v>
      </c>
      <c r="DE82" s="109">
        <f t="shared" si="36"/>
        <v>39.630000000000003</v>
      </c>
      <c r="DF82" s="110">
        <f t="shared" si="37"/>
        <v>1371.3</v>
      </c>
      <c r="DH82" s="108">
        <f t="shared" si="38"/>
        <v>0.06</v>
      </c>
      <c r="DI82" s="109">
        <f t="shared" si="39"/>
        <v>3.9999999999999994E-2</v>
      </c>
      <c r="DJ82" s="109">
        <f t="shared" si="40"/>
        <v>0.02</v>
      </c>
      <c r="DK82" s="110">
        <f t="shared" si="41"/>
        <v>0.70999999999992092</v>
      </c>
      <c r="DM82" s="108">
        <f t="shared" ref="DM82:DM145" si="116">IF($B82="","",IF(OR($F$10="ანუიტეტური",$F$10="სამომხმარებლო"),DM81,IF(AND($F$10="საშეღავათო",$B82&lt;=$G$12),DN82+DO82,IF(AND($F$10="საშეღავათო",$B82&gt;$G$12),DC82+DH82,IF(AND($F$10="ნულოვანი საშეღავათო",$B82&lt;=$G$12),DN82+DO82,IF(AND($F$10="ნულოვანი საშეღავათო",$B82&gt;$G$12,CU82&gt;ROUND(-PMT($H$22/$I$20,$H$20-$G$12,$CS$80),2)),CU82,DC82+DH82))))))</f>
        <v>107.61000000000001</v>
      </c>
      <c r="DN82" s="109">
        <f t="shared" ref="DN82:DN145" si="117">IF($B82="","",IF(OR($F$10="ანუიტეტური",$F$10="სამომხმარებლო"),DM82-DO82,IF(AND($F$10="საშეღავათო",$B82&gt;$G$12),DM82-DO82,IF(AND($F$10="საშეღავათო",$B82&lt;=$G$12),0,IF(AND($F$10="ნულოვანი საშეღავათო",$B82&gt;$G$12),DM82-DO82,IF(AND($F$10="ნულოვანი საშეღავათო",$B82&lt;=$G$12),0))))))</f>
        <v>67.980000000000018</v>
      </c>
      <c r="DO82" s="109">
        <f t="shared" si="42"/>
        <v>39.630000000000003</v>
      </c>
      <c r="DP82" s="110">
        <f>IF($B82="","",DP81-DN82)</f>
        <v>1371.22</v>
      </c>
      <c r="DR82" s="108">
        <f t="shared" si="43"/>
        <v>-0.01</v>
      </c>
      <c r="DS82" s="109">
        <f t="shared" ref="DS82:DS145" si="118">IF($B82="","",DR82-DT82)</f>
        <v>-0.01</v>
      </c>
      <c r="DT82" s="109">
        <f t="shared" si="44"/>
        <v>0</v>
      </c>
      <c r="DU82" s="110">
        <f t="shared" ref="DU82:DU108" si="119">IF($B82="","",DU81-DS82)</f>
        <v>-9.0000000000013652E-2</v>
      </c>
      <c r="DW82" s="108">
        <f t="shared" ref="DW82:DW145" si="120">IF($B82="","",IF(OR($F$10="ანუიტეტური",$F$10="სამომხმარებლო"),DW81,IF(AND($F$10="საშეღავათო",$B82&lt;=$G$12),DX82+DY82,IF(AND($F$10="საშეღავათო",$B82&gt;$G$12),DM82+DR82,IF(AND($F$10="ნულოვანი საშეღავათო",$B82&lt;=$G$12),DX82+DY82,IF(AND($F$10="ნულოვანი საშეღავათო",$B82&gt;$G$12,CU82&gt;ROUND(-PMT($H$22/$I$20,$H$20-$G$12,$CS$80),2)),CU82,DM82+DR82))))))</f>
        <v>107.60000000000001</v>
      </c>
      <c r="DX82" s="109">
        <f t="shared" ref="DX82:DX145" si="121">IF($B82="","",IF(OR($F$10="ანუიტეტური",$F$10="სამომხმარებლო"),DW82-DY82,IF(AND($F$10="საშეღავათო",$B82&gt;$G$12),DW82-DY82,IF(AND($F$10="საშეღავათო",$B82&lt;=$G$12),0,IF(AND($F$10="ნულოვანი საშეღავათო",$B82&gt;$G$12),DW82-DY82,IF(AND($F$10="ნულოვანი საშეღავათო",$B82&lt;=$G$12),0))))))</f>
        <v>67.97</v>
      </c>
      <c r="DY82" s="109">
        <f t="shared" si="45"/>
        <v>39.630000000000003</v>
      </c>
      <c r="DZ82" s="110">
        <f>IF($B82="","",DZ81-DX82)</f>
        <v>1371.24</v>
      </c>
      <c r="EB82" s="108">
        <f t="shared" si="46"/>
        <v>0</v>
      </c>
      <c r="EC82" s="109">
        <f t="shared" ref="EC82:EC145" si="122">IF($B82="","",EB82-ED82)</f>
        <v>0</v>
      </c>
      <c r="ED82" s="109">
        <f t="shared" si="47"/>
        <v>0</v>
      </c>
      <c r="EE82" s="110">
        <f t="shared" ref="EE82:EE108" si="123">IF($B82="","",EE81-EC82)</f>
        <v>0</v>
      </c>
      <c r="EG82" s="108">
        <f t="shared" ref="EG82:EG145" si="124">IF($B82="","",IF(OR($F$10="ანუიტეტური",$F$10="სამომხმარებლო"),EG81,IF(AND($F$10="საშეღავათო",$B82&lt;=$G$12),EH82+EI82,IF(AND($F$10="საშეღავათო",$B82&gt;$G$12),DW82+EB82,IF(AND($F$10="ნულოვანი საშეღავათო",$B82&lt;=$G$12),EH82+EI82,IF(AND($F$10="ნულოვანი საშეღავათო",$B82&gt;$G$12,CU82&gt;ROUND(-PMT($H$22/$I$20,$H$20-$G$12,$CS$80),2)),CU82,DW82+EB82))))))</f>
        <v>107.60000000000001</v>
      </c>
      <c r="EH82" s="109">
        <f t="shared" ref="EH82:EH145" si="125">IF($B82="","",IF(OR($F$10="ანუიტეტური",$F$10="სამომხმარებლო"),EG82-EI82,IF(AND($F$10="საშეღავათო",$B82&gt;$G$12),EG82-EI82,IF(AND($F$10="საშეღავათო",$B82&lt;=$G$12),0,IF(AND($F$10="ნულოვანი საშეღავათო",$B82&gt;$G$12),EG82-EI82,IF(AND($F$10="ნულოვანი საშეღავათო",$B82&lt;=$G$12),0))))))</f>
        <v>67.97</v>
      </c>
      <c r="EI82" s="109">
        <f t="shared" si="48"/>
        <v>39.630000000000003</v>
      </c>
      <c r="EJ82" s="110">
        <f>IF($B82="","",EJ81-EH82)</f>
        <v>1371.24</v>
      </c>
      <c r="EL82" s="108">
        <f t="shared" si="49"/>
        <v>0</v>
      </c>
      <c r="EM82" s="109">
        <f t="shared" ref="EM82:EM145" si="126">IF($B82="","",EL82-EN82)</f>
        <v>0</v>
      </c>
      <c r="EN82" s="109">
        <f t="shared" si="50"/>
        <v>0</v>
      </c>
      <c r="EO82" s="110">
        <f t="shared" ref="EO82:EO108" si="127">IF($B82="","",EO81-EM82)</f>
        <v>0</v>
      </c>
      <c r="EQ82" s="108">
        <f t="shared" ref="EQ82:EQ145" si="128">IF($B82="","",IF(OR($F$10="ანუიტეტური",$F$10="სამომხმარებლო"),EQ81,IF(AND($F$10="საშეღავათო",$B82&lt;=$G$12),ER82+ES82,IF(AND($F$10="საშეღავათო",$B82&gt;$G$12),EG82+EL82,IF(AND($F$10="ნულოვანი საშეღავათო",$B82&lt;=$G$12),ER82+ES82,IF(AND($F$10="ნულოვანი საშეღავათო",$B82&gt;$G$12,CU82&gt;ROUND(-PMT($H$22/$I$20,$H$20-$G$12,$CS$80),2)),CU82,EG82+EL82))))))</f>
        <v>107.60000000000001</v>
      </c>
      <c r="ER82" s="109">
        <f t="shared" ref="ER82:ER145" si="129">IF($B82="","",IF(OR($F$10="ანუიტეტური",$F$10="სამომხმარებლო"),EQ82-ES82,IF(AND($F$10="საშეღავათო",$B82&gt;$G$12),EQ82-ES82,IF(AND($F$10="საშეღავათო",$B82&lt;=$G$12),0,IF(AND($F$10="ნულოვანი საშეღავათო",$B82&gt;$G$12),EQ82-ES82,IF(AND($F$10="ნულოვანი საშეღავათო",$B82&lt;=$G$12),0))))))</f>
        <v>67.97</v>
      </c>
      <c r="ES82" s="109">
        <f t="shared" si="51"/>
        <v>39.630000000000003</v>
      </c>
      <c r="ET82" s="110">
        <f>IF($B82="","",ET81-ER82)</f>
        <v>1371.24</v>
      </c>
      <c r="EV82" s="108">
        <f t="shared" si="52"/>
        <v>0</v>
      </c>
      <c r="EW82" s="109">
        <f t="shared" ref="EW82:EW145" si="130">IF($B82="","",EV82-EX82)</f>
        <v>0</v>
      </c>
      <c r="EX82" s="109">
        <f t="shared" si="53"/>
        <v>0</v>
      </c>
      <c r="EY82" s="110">
        <f t="shared" ref="EY82:EY108" si="131">IF($B82="","",EY81-EW82)</f>
        <v>0</v>
      </c>
      <c r="FA82" s="108">
        <f t="shared" ref="FA82:FA145" si="132">IF($B82="","",IF(OR($F$10="ანუიტეტური",$F$10="სამომხმარებლო"),FA81,IF(AND($F$10="საშეღავათო",$B82&lt;=$G$12),FB82+FC82,IF(AND($F$10="საშეღავათო",$B82&gt;$G$12),EQ82+EV82,IF(AND($F$10="ნულოვანი საშეღავათო",$B82&lt;=$G$12),FB82+FC82,IF(AND($F$10="ნულოვანი საშეღავათო",$B82&gt;$G$12,CU82&gt;ROUND(-PMT($H$22/$I$20,$H$20-$G$12,$CS$80),2)),CU82,EQ82+EV82))))))</f>
        <v>107.60000000000001</v>
      </c>
      <c r="FB82" s="109">
        <f t="shared" ref="FB82:FB145" si="133">IF($B82="","",IF(OR($F$10="ანუიტეტური",$F$10="სამომხმარებლო"),FA82-FC82,IF(AND($F$10="საშეღავათო",$B82&gt;$G$12),FA82-FC82,IF(AND($F$10="საშეღავათო",$B82&lt;=$G$12),0,IF(AND($F$10="ნულოვანი საშეღავათო",$B82&gt;$G$12),FA82-FC82,IF(AND($F$10="ნულოვანი საშეღავათო",$B82&lt;=$G$12),0))))))</f>
        <v>67.97</v>
      </c>
      <c r="FC82" s="109">
        <f t="shared" si="54"/>
        <v>39.630000000000003</v>
      </c>
      <c r="FD82" s="110">
        <f>IF($B82="","",FD81-FB82)</f>
        <v>1371.24</v>
      </c>
      <c r="FF82" s="108">
        <f t="shared" si="55"/>
        <v>0</v>
      </c>
      <c r="FG82" s="109">
        <f t="shared" ref="FG82:FG145" si="134">IF($B82="","",FF82-FH82)</f>
        <v>0</v>
      </c>
      <c r="FH82" s="109">
        <f t="shared" si="56"/>
        <v>0</v>
      </c>
      <c r="FI82" s="110">
        <f t="shared" ref="FI82:FI108" si="135">IF($B82="","",FI81-FG82)</f>
        <v>0</v>
      </c>
      <c r="FK82" s="108">
        <f t="shared" ref="FK82:FK145" si="136">IF($B82="","",IF(OR($F$10="ანუიტეტური",$F$10="სამომხმარებლო"),FK81,IF(AND($F$10="საშეღავათო",$B82&lt;=$G$12),FL82+FM82,IF(AND($F$10="საშეღავათო",$B82&gt;$G$12),FA82+FF82,IF(AND($F$10="ნულოვანი საშეღავათო",$B82&lt;=$G$12),FL82+FM82,IF(AND($F$10="ნულოვანი საშეღავათო",$B82&gt;$G$12,CU82&gt;ROUND(-PMT($H$22/$I$20,$H$20-$G$12,$CS$80),2)),CU82,FA82+FF82))))))</f>
        <v>107.60000000000001</v>
      </c>
      <c r="FL82" s="109">
        <f t="shared" ref="FL82:FL145" si="137">IF($B82="","",IF(OR($F$10="ანუიტეტური",$F$10="სამომხმარებლო"),FK82-FM82,IF(AND($F$10="საშეღავათო",$B82&gt;$G$12),FK82-FM82,IF(AND($F$10="საშეღავათო",$B82&lt;=$G$12),0,IF(AND($F$10="ნულოვანი საშეღავათო",$B82&gt;$G$12),FK82-FM82,IF(AND($F$10="ნულოვანი საშეღავათო",$B82&lt;=$G$12),0))))))</f>
        <v>67.97</v>
      </c>
      <c r="FM82" s="109">
        <f t="shared" si="57"/>
        <v>39.630000000000003</v>
      </c>
      <c r="FN82" s="110">
        <f>IF($B82="","",FN81-FL82)</f>
        <v>1371.24</v>
      </c>
      <c r="FP82" s="108">
        <f t="shared" si="58"/>
        <v>0</v>
      </c>
      <c r="FQ82" s="109">
        <f t="shared" ref="FQ82:FQ145" si="138">IF($B82="","",FP82-FR82)</f>
        <v>0</v>
      </c>
      <c r="FR82" s="109">
        <f t="shared" si="59"/>
        <v>0</v>
      </c>
      <c r="FS82" s="110">
        <f t="shared" ref="FS82:FS108" si="139">IF($B82="","",FS81-FQ82)</f>
        <v>0</v>
      </c>
      <c r="FU82" s="108">
        <f t="shared" ref="FU82:FU145" si="140">IF($B82="","",IF(OR($F$10="ანუიტეტური",$F$10="სამომხმარებლო"),FU81,IF(AND($F$10="საშეღავათო",$B82&lt;=$G$12),FV82+FW82,IF(AND($F$10="საშეღავათო",$B82&gt;$G$12),FK82+FP82,IF(AND($F$10="ნულოვანი საშეღავათო",$B82&lt;=$G$12),FV82+FW82,IF(AND($F$10="ნულოვანი საშეღავათო",$B82&gt;$G$12,CU82&gt;ROUND(-PMT($H$22/$I$20,$H$20-$G$12,$CS$80),2)),CU82,FK82+FP82))))))</f>
        <v>107.60000000000001</v>
      </c>
      <c r="FV82" s="109">
        <f t="shared" ref="FV82:FV145" si="141">IF($B82="","",IF(OR($F$10="ანუიტეტური",$F$10="სამომხმარებლო"),FU82-FW82,IF(AND($F$10="საშეღავათო",$B82&gt;$G$12),FU82-FW82,IF(AND($F$10="საშეღავათო",$B82&lt;=$G$12),0,IF(AND($F$10="ნულოვანი საშეღავათო",$B82&gt;$G$12),FU82-FW82,IF(AND($F$10="ნულოვანი საშეღავათო",$B82&lt;=$G$12),0))))))</f>
        <v>67.97</v>
      </c>
      <c r="FW82" s="109">
        <f t="shared" si="60"/>
        <v>39.630000000000003</v>
      </c>
      <c r="FX82" s="110">
        <f>IF($B82="","",FX81-FV82)</f>
        <v>1371.24</v>
      </c>
      <c r="FZ82" s="108">
        <f t="shared" si="61"/>
        <v>0</v>
      </c>
      <c r="GA82" s="109">
        <f t="shared" ref="GA82:GA145" si="142">IF($B82="","",FZ82-GB82)</f>
        <v>0</v>
      </c>
      <c r="GB82" s="109">
        <f t="shared" si="62"/>
        <v>0</v>
      </c>
      <c r="GC82" s="110">
        <f t="shared" ref="GC82:GC108" si="143">IF($B82="","",GC81-GA82)</f>
        <v>0</v>
      </c>
      <c r="GE82" s="108">
        <f t="shared" ref="GE82:GE145" si="144">IF($B82="","",IF($B82=$H$20,GF82+GG82,IF(OR($F$10="ანუიტეტური",$F$10="სამომხმარებლო"),GE81,IF(AND($F$10="საშეღავათო",$B82&lt;=$G$12),GF82+GG82,IF(AND($F$10="საშეღავათო",$B82&gt;$G$12),FU82+FZ82,IF(AND($F$10="ნულოვანი საშეღავათო",$B82&lt;=$G$12),GF82+GG82,IF(AND($F$10="ნულოვანი საშეღავათო",$B82&gt;$G$12,CU82&gt;ROUND(-PMT($H$22/$I$20,$H$20-$G$12,$CS$80),2)),CU82,FU82+FZ82)))))))</f>
        <v>107.60000000000001</v>
      </c>
      <c r="GF82" s="109">
        <f t="shared" ref="GF82:GF145" si="145">IF($B82="","",IF($B82=$H$20,GH81,IF(OR($F$10="ანუიტეტური",$F$10="სამომხმარებლო"),GE82-GG82,IF(AND($F$10="საშეღავათო",$B82&gt;$G$12),GE82-GG82,IF(AND($F$10="საშეღავათო",$B82&lt;=$G$12),0,IF(AND($F$10="ნულოვანი საშეღავათო",$B82&gt;$G$12),GE82-GG82,IF(AND($F$10="ნულოვანი საშეღავათო",$B82&lt;=$G$12),0)))))))</f>
        <v>67.97</v>
      </c>
      <c r="GG82" s="109">
        <f t="shared" ref="GG82:GG145" si="146">IF($B82="","",IF(OR($F$10="ანუიტეტური",$F$10="სამომხმარებლო"),ROUND($H$22/$I$22*($C82-$C81)*GH81,2),IF($F$10="საშეღავათო",ROUND($H$22/$I$22*($C82-$C81)*GH81,2),IF(AND($F$10="ნულოვანი საშეღავათო",$B82&lt;=$G$12),0,IF(AND($F$10="ნულოვანი საშეღავათო",$B82=$G$12+1),ROUND($H$22/$I$22*($C82-$C$80)*GH81,2),IF(AND($F$10="ნულოვანი საშეღავათო",$B82&gt;$G$12),ROUND($H$22/$I$22*($C82-$C81)*GH81,2)))))))</f>
        <v>39.630000000000003</v>
      </c>
      <c r="GH82" s="110">
        <f>IF($B82="","",GH81-GF82)</f>
        <v>1371.24</v>
      </c>
      <c r="GL82" s="108">
        <f t="shared" si="63"/>
        <v>193.01</v>
      </c>
      <c r="GM82" s="109">
        <f t="shared" si="64"/>
        <v>193.01</v>
      </c>
      <c r="GN82" s="109">
        <f t="shared" si="65"/>
        <v>0</v>
      </c>
      <c r="GO82" s="110">
        <f t="shared" si="66"/>
        <v>1613.98</v>
      </c>
      <c r="GP82" s="51"/>
      <c r="GQ82" s="108">
        <f t="shared" si="67"/>
        <v>0</v>
      </c>
      <c r="GR82" s="109">
        <f t="shared" ref="GR82:GR145" si="147">IF($K82="","",GQ82-GS82)</f>
        <v>0</v>
      </c>
      <c r="GS82" s="109">
        <f t="shared" si="68"/>
        <v>0</v>
      </c>
      <c r="GT82" s="110">
        <f t="shared" si="69"/>
        <v>0</v>
      </c>
      <c r="GU82" s="51"/>
      <c r="GV82" s="108">
        <f t="shared" ref="GV82:GV145" si="148">IF($K82="","",IF(OR($O$28="ანუიტეტური",$O$28="სამომხმარებლო"),GV81,IF(AND($O$28="საშეღავათო",$K82&lt;=$Q$30),GW82+GX82,IF(AND($O$28="საშეღავათო",$K82&gt;$Q$30),GL82+GQ82,IF(AND($O$28="ნულოვანი საშეღავათო",$K82&lt;=$Q$30),GW82+GX82,IF(AND($O$28="ნულოვანი საშეღავათო",$K82&gt;$Q$30,GN82&gt;ROUND(-PMT($P$34/$I$20,$R$32-$Q$30,$GL$80),2)),GN82,GL82+GQ82))))))</f>
        <v>193.01</v>
      </c>
      <c r="GW82" s="109">
        <f t="shared" ref="GW82:GW145" si="149">IF($K82="","",IF(OR($O$28="ანუიტეტური",$O$28="სამომხმარებლო"),GV82-GX82,IF(AND($O$28="საშეღავათო",$K82&gt;$Q$30),GV82-GX82,IF(AND($O$28="საშეღავათო",$K82&lt;=$Q$30),0,IF(AND($O$28="ნულოვანი საშეღავათო",$K82&gt;$Q$30),GV82-GX82,IF(AND($O$28="ნულოვანი საშეღავათო",$K82&lt;=$Q$30),0))))))</f>
        <v>193.01</v>
      </c>
      <c r="GX82" s="109">
        <f t="shared" si="70"/>
        <v>0</v>
      </c>
      <c r="GY82" s="110">
        <f t="shared" ref="GY82:GY145" si="150">IF($K82="","",GY81-GW82)</f>
        <v>1613.98</v>
      </c>
      <c r="GZ82" s="51"/>
      <c r="HA82" s="108">
        <f t="shared" si="71"/>
        <v>0</v>
      </c>
      <c r="HB82" s="109">
        <f t="shared" ref="HB82:HB145" si="151">IF($K82="","",HA82-HC82)</f>
        <v>0</v>
      </c>
      <c r="HC82" s="109">
        <f t="shared" si="72"/>
        <v>0</v>
      </c>
      <c r="HD82" s="110">
        <f>IF($K82="","",HD81-HB82)</f>
        <v>0</v>
      </c>
      <c r="HE82" s="51"/>
      <c r="HF82" s="108">
        <f t="shared" ref="HF82:HF145" si="152">IF($K82="","",IF(OR($O$28="ანუიტეტური",$O$28="სამომხმარებლო"),HF81,IF(AND($O$28="საშეღავათო",$K82&lt;=$Q$30),HG82+HH82,IF(AND($O$28="საშეღავათო",$K82&gt;$Q$30),GV82+HA82,IF(AND($O$28="ნულოვანი საშეღავათო",$K82&lt;=$Q$30),HG82+HH82,IF(AND($O$28="ნულოვანი საშეღავათო",$K82&gt;$Q$30,GX82&gt;ROUND(-PMT($P$34/$I$20,$R$32-$Q$30,$GL$80),2)),GX82,GV82+HA82))))))</f>
        <v>193.01</v>
      </c>
      <c r="HG82" s="109">
        <f t="shared" ref="HG82:HG145" si="153">IF($K82="","",IF(OR($O$28="ანუიტეტური",$O$28="სამომხმარებლო"),HF82-HH82,IF(AND($O$28="საშეღავათო",$K82&gt;$Q$30),HF82-HH82,IF(AND($O$28="საშეღავათო",$K82&lt;=$Q$30),0,IF(AND($O$28="ნულოვანი საშეღავათო",$K82&gt;$Q$30),HF82-HH82,IF(AND($O$28="ნულოვანი საშეღავათო",$K82&lt;=$Q$30),0))))))</f>
        <v>193.01</v>
      </c>
      <c r="HH82" s="109">
        <f t="shared" si="73"/>
        <v>0</v>
      </c>
      <c r="HI82" s="110">
        <f t="shared" ref="HI82:HI145" si="154">IF($K82="","",HI81-HG82)</f>
        <v>1613.98</v>
      </c>
      <c r="HJ82" s="51"/>
      <c r="HK82" s="108">
        <f t="shared" si="74"/>
        <v>0</v>
      </c>
      <c r="HL82" s="109">
        <f t="shared" ref="HL82:HL145" si="155">IF($K82="","",HK82-HM82)</f>
        <v>0</v>
      </c>
      <c r="HM82" s="109">
        <f t="shared" si="75"/>
        <v>0</v>
      </c>
      <c r="HN82" s="110">
        <f>IF($K82="","",HN81-HL82)</f>
        <v>0</v>
      </c>
      <c r="HO82" s="51"/>
      <c r="HP82" s="108">
        <f t="shared" ref="HP82:HP145" si="156">IF($K82="","",IF(OR($O$28="ანუიტეტური",$O$28="სამომხმარებლო"),HP81,IF(AND($O$28="საშეღავათო",$K82&lt;=$Q$30),HQ82+HR82,IF(AND($O$28="საშეღავათო",$K82&gt;$Q$30),HF82+HK82,IF(AND($O$28="ნულოვანი საშეღავათო",$K82&lt;=$Q$30),HQ82+HR82,IF(AND($O$28="ნულოვანი საშეღავათო",$K82&gt;$Q$30,HH82&gt;ROUND(-PMT($P$34/$I$20,$R$32-$Q$30,$GL$80),2)),HH82,HF82+HK82))))))</f>
        <v>193.01</v>
      </c>
      <c r="HQ82" s="109">
        <f t="shared" ref="HQ82:HQ145" si="157">IF($K82="","",IF(OR($O$28="ანუიტეტური",$O$28="სამომხმარებლო"),HP82-HR82,IF(AND($O$28="საშეღავათო",$K82&gt;$Q$30),HP82-HR82,IF(AND($O$28="საშეღავათო",$K82&lt;=$Q$30),0,IF(AND($O$28="ნულოვანი საშეღავათო",$K82&gt;$Q$30),HP82-HR82,IF(AND($O$28="ნულოვანი საშეღავათო",$K82&lt;=$Q$30),0))))))</f>
        <v>193.01</v>
      </c>
      <c r="HR82" s="109">
        <f t="shared" si="76"/>
        <v>0</v>
      </c>
      <c r="HS82" s="110">
        <f t="shared" ref="HS82:HS145" si="158">IF($K82="","",HS81-HQ82)</f>
        <v>1613.98</v>
      </c>
      <c r="HT82" s="51"/>
      <c r="HU82" s="108">
        <f t="shared" si="77"/>
        <v>0</v>
      </c>
      <c r="HV82" s="109">
        <f t="shared" ref="HV82:HV145" si="159">IF($K82="","",HU82-HW82)</f>
        <v>0</v>
      </c>
      <c r="HW82" s="109">
        <f t="shared" si="78"/>
        <v>0</v>
      </c>
      <c r="HX82" s="110">
        <f>IF($K82="","",HX81-HV82)</f>
        <v>0</v>
      </c>
      <c r="HY82" s="51"/>
      <c r="HZ82" s="108">
        <f t="shared" ref="HZ82:HZ145" si="160">IF($K82="","",IF(OR($O$28="ანუიტეტური",$O$28="სამომხმარებლო"),HZ81,IF(AND($O$28="საშეღავათო",$K82&lt;=$Q$30),IA82+IB82,IF(AND($O$28="საშეღავათო",$K82&gt;$Q$30),HP82+HU82,IF(AND($O$28="ნულოვანი საშეღავათო",$K82&lt;=$Q$30),IA82+IB82,IF(AND($O$28="ნულოვანი საშეღავათო",$K82&gt;$Q$30,HR82&gt;ROUND(-PMT($P$34/$I$20,$R$32-$Q$30,$GL$80),2)),HR82,HP82+HU82))))))</f>
        <v>193.01</v>
      </c>
      <c r="IA82" s="109">
        <f t="shared" ref="IA82:IA145" si="161">IF($K82="","",IF(OR($O$28="ანუიტეტური",$O$28="სამომხმარებლო"),HZ82-IB82,IF(AND($O$28="საშეღავათო",$K82&gt;$Q$30),HZ82-IB82,IF(AND($O$28="საშეღავათო",$K82&lt;=$Q$30),0,IF(AND($O$28="ნულოვანი საშეღავათო",$K82&gt;$Q$30),HZ82-IB82,IF(AND($O$28="ნულოვანი საშეღავათო",$K82&lt;=$Q$30),0))))))</f>
        <v>193.01</v>
      </c>
      <c r="IB82" s="109">
        <f t="shared" si="79"/>
        <v>0</v>
      </c>
      <c r="IC82" s="110">
        <f t="shared" ref="IC82:IC145" si="162">IF($K82="","",IC81-IA82)</f>
        <v>1613.98</v>
      </c>
      <c r="ID82" s="51"/>
      <c r="IE82" s="108">
        <f t="shared" si="80"/>
        <v>0</v>
      </c>
      <c r="IF82" s="109">
        <f t="shared" ref="IF82:IF145" si="163">IF($K82="","",IE82-IG82)</f>
        <v>0</v>
      </c>
      <c r="IG82" s="109">
        <f t="shared" si="81"/>
        <v>0</v>
      </c>
      <c r="IH82" s="110">
        <f>IF($K82="","",IH81-IF82)</f>
        <v>0</v>
      </c>
      <c r="II82" s="51"/>
      <c r="IJ82" s="108">
        <f t="shared" ref="IJ82:IJ145" si="164">IF($K82="","",IF(OR($O$28="ანუიტეტური",$O$28="სამომხმარებლო"),IJ81,IF(AND($O$28="საშეღავათო",$K82&lt;=$Q$30),IK82+IL82,IF(AND($O$28="საშეღავათო",$K82&gt;$Q$30),HZ82+IE82,IF(AND($O$28="ნულოვანი საშეღავათო",$K82&lt;=$Q$30),IK82+IL82,IF(AND($O$28="ნულოვანი საშეღავათო",$K82&gt;$Q$30,IB82&gt;ROUND(-PMT($P$34/$I$20,$R$32-$Q$30,$GL$80),2)),IB82,HZ82+IE82))))))</f>
        <v>193.01</v>
      </c>
      <c r="IK82" s="109">
        <f t="shared" ref="IK82:IK145" si="165">IF($K82="","",IF(OR($O$28="ანუიტეტური",$O$28="სამომხმარებლო"),IJ82-IL82,IF(AND($O$28="საშეღავათო",$K82&gt;$Q$30),IJ82-IL82,IF(AND($O$28="საშეღავათო",$K82&lt;=$Q$30),0,IF(AND($O$28="ნულოვანი საშეღავათო",$K82&gt;$Q$30),IJ82-IL82,IF(AND($O$28="ნულოვანი საშეღავათო",$K82&lt;=$Q$30),0))))))</f>
        <v>193.01</v>
      </c>
      <c r="IL82" s="109">
        <f t="shared" si="82"/>
        <v>0</v>
      </c>
      <c r="IM82" s="110">
        <f t="shared" ref="IM82:IM145" si="166">IF($K82="","",IM81-IK82)</f>
        <v>1613.98</v>
      </c>
      <c r="IN82" s="51"/>
      <c r="IO82" s="108">
        <f t="shared" si="83"/>
        <v>0</v>
      </c>
      <c r="IP82" s="109">
        <f t="shared" ref="IP82:IP145" si="167">IF($K82="","",IO82-IQ82)</f>
        <v>0</v>
      </c>
      <c r="IQ82" s="109">
        <f t="shared" si="84"/>
        <v>0</v>
      </c>
      <c r="IR82" s="110">
        <f>IF($K82="","",IR81-IP82)</f>
        <v>0</v>
      </c>
      <c r="IS82" s="51"/>
      <c r="IT82" s="108">
        <f t="shared" ref="IT82:IT145" si="168">IF($K82="","",IF(OR($O$28="ანუიტეტური",$O$28="სამომხმარებლო"),IT81,IF(AND($O$28="საშეღავათო",$K82&lt;=$Q$30),IU82+IV82,IF(AND($O$28="საშეღავათო",$K82&gt;$Q$30),IJ82+IO82,IF(AND($O$28="ნულოვანი საშეღავათო",$K82&lt;=$Q$30),IU82+IV82,IF(AND($O$28="ნულოვანი საშეღავათო",$K82&gt;$Q$30,IL82&gt;ROUND(-PMT($P$34/$I$20,$R$32-$Q$30,$GL$80),2)),IL82,IJ82+IO82))))))</f>
        <v>193.01</v>
      </c>
      <c r="IU82" s="109">
        <f t="shared" ref="IU82:IU145" si="169">IF($K82="","",IF(OR($O$28="ანუიტეტური",$O$28="სამომხმარებლო"),IT82-IV82,IF(AND($O$28="საშეღავათო",$K82&gt;$Q$30),IT82-IV82,IF(AND($O$28="საშეღავათო",$K82&lt;=$Q$30),0,IF(AND($O$28="ნულოვანი საშეღავათო",$K82&gt;$Q$30),IT82-IV82,IF(AND($O$28="ნულოვანი საშეღავათო",$K82&lt;=$Q$30),0))))))</f>
        <v>193.01</v>
      </c>
      <c r="IV82" s="109">
        <f t="shared" si="85"/>
        <v>0</v>
      </c>
      <c r="IW82" s="110">
        <f t="shared" ref="IW82:IW145" si="170">IF($K82="","",IW81-IU82)</f>
        <v>1613.98</v>
      </c>
      <c r="IX82" s="51"/>
      <c r="IY82" s="108">
        <f t="shared" si="86"/>
        <v>0</v>
      </c>
      <c r="IZ82" s="109">
        <f t="shared" ref="IZ82:IZ145" si="171">IF($K82="","",IY82-JA82)</f>
        <v>0</v>
      </c>
      <c r="JA82" s="109">
        <f t="shared" si="87"/>
        <v>0</v>
      </c>
      <c r="JB82" s="110">
        <f>IF($K82="","",JB81-IZ82)</f>
        <v>0</v>
      </c>
      <c r="JC82" s="51"/>
      <c r="JD82" s="108">
        <f t="shared" ref="JD82:JD145" si="172">IF($K82="","",IF(OR($O$28="ანუიტეტური",$O$28="სამომხმარებლო"),JD81,IF(AND($O$28="საშეღავათო",$K82&lt;=$Q$30),JE82+JF82,IF(AND($O$28="საშეღავათო",$K82&gt;$Q$30),IT82+IY82,IF(AND($O$28="ნულოვანი საშეღავათო",$K82&lt;=$Q$30),JE82+JF82,IF(AND($O$28="ნულოვანი საშეღავათო",$K82&gt;$Q$30,IV82&gt;ROUND(-PMT($P$34/$I$20,$R$32-$Q$30,$GL$80),2)),IV82,IT82+IY82))))))</f>
        <v>193.01</v>
      </c>
      <c r="JE82" s="109">
        <f t="shared" ref="JE82:JE145" si="173">IF($K82="","",IF(OR($O$28="ანუიტეტური",$O$28="სამომხმარებლო"),JD82-JF82,IF(AND($O$28="საშეღავათო",$K82&gt;$Q$30),JD82-JF82,IF(AND($O$28="საშეღავათო",$K82&lt;=$Q$30),0,IF(AND($O$28="ნულოვანი საშეღავათო",$K82&gt;$Q$30),JD82-JF82,IF(AND($O$28="ნულოვანი საშეღავათო",$K82&lt;=$Q$30),0))))))</f>
        <v>193.01</v>
      </c>
      <c r="JF82" s="109">
        <f t="shared" si="88"/>
        <v>0</v>
      </c>
      <c r="JG82" s="110">
        <f t="shared" ref="JG82:JG145" si="174">IF($K82="","",JG81-JE82)</f>
        <v>1613.98</v>
      </c>
      <c r="JH82" s="51"/>
      <c r="JI82" s="108">
        <f t="shared" si="89"/>
        <v>0</v>
      </c>
      <c r="JJ82" s="109">
        <f t="shared" ref="JJ82:JJ145" si="175">IF($K82="","",JI82-JK82)</f>
        <v>0</v>
      </c>
      <c r="JK82" s="109">
        <f t="shared" si="90"/>
        <v>0</v>
      </c>
      <c r="JL82" s="110">
        <f>IF($K82="","",JL81-JJ82)</f>
        <v>0</v>
      </c>
      <c r="JM82" s="51"/>
      <c r="JN82" s="108">
        <f t="shared" ref="JN82:JN145" si="176">IF($K82="","",IF(OR($O$28="ანუიტეტური",$O$28="სამომხმარებლო"),JN81,IF(AND($O$28="საშეღავათო",$K82&lt;=$Q$30),JO82+JP82,IF(AND($O$28="საშეღავათო",$K82&gt;$Q$30),JD82+JI82,IF(AND($O$28="ნულოვანი საშეღავათო",$K82&lt;=$Q$30),JO82+JP82,IF(AND($O$28="ნულოვანი საშეღავათო",$K82&gt;$Q$30,JF82&gt;ROUND(-PMT($P$34/$I$20,$R$32-$Q$30,$GL$80),2)),JF82,JD82+JI82))))))</f>
        <v>193.01</v>
      </c>
      <c r="JO82" s="109">
        <f t="shared" ref="JO82:JO145" si="177">IF($K82="","",IF(OR($O$28="ანუიტეტური",$O$28="სამომხმარებლო"),JN82-JP82,IF(AND($O$28="საშეღავათო",$K82&gt;$Q$30),JN82-JP82,IF(AND($O$28="საშეღავათო",$K82&lt;=$Q$30),0,IF(AND($O$28="ნულოვანი საშეღავათო",$K82&gt;$Q$30),JN82-JP82,IF(AND($O$28="ნულოვანი საშეღავათო",$K82&lt;=$Q$30),0))))))</f>
        <v>193.01</v>
      </c>
      <c r="JP82" s="109">
        <f t="shared" si="91"/>
        <v>0</v>
      </c>
      <c r="JQ82" s="110">
        <f t="shared" ref="JQ82:JQ145" si="178">IF($K82="","",JQ81-JO82)</f>
        <v>1613.98</v>
      </c>
      <c r="JR82" s="51"/>
      <c r="JS82" s="108">
        <f t="shared" si="92"/>
        <v>0</v>
      </c>
      <c r="JT82" s="109">
        <f t="shared" ref="JT82:JT145" si="179">IF($K82="","",JS82-JU82)</f>
        <v>0</v>
      </c>
      <c r="JU82" s="109">
        <f t="shared" si="93"/>
        <v>0</v>
      </c>
      <c r="JV82" s="110">
        <f>IF($K82="","",JV81-JT82)</f>
        <v>0</v>
      </c>
      <c r="JW82" s="51"/>
      <c r="JX82" s="108">
        <f t="shared" ref="JX82:JX145" si="180">IF($K82="","",IF($K82=$R$32,JY82+JZ82,IF(OR($O$28="ანუიტეტური",$O$28="სამომხმარებლო"),JX81,IF(AND($O$28="საშეღავათო",$K82&lt;=$Q$30),JY82+JZ82,IF(AND($O$28="საშეღავათო",$K82&gt;$Q$30),JN82+JS82,IF(AND($O$28="ნულოვანი საშეღავათო",$K82&lt;=$Q$30),JY82+JZ82,IF(AND($O$28="ნულოვანი საშეღავათო",$K82&gt;$Q$30,GN82&gt;ROUND(-PMT($P$34/$I$20,$R$32-$Q$30,$CS$80),2)),GN82,JN82+JS82)))))))</f>
        <v>193.01</v>
      </c>
      <c r="JY82" s="109">
        <f t="shared" ref="JY82:JY145" si="181">IF($K82="","",IF($K82=$R$32,KA81,IF(OR($O$28="ანუიტეტური",$O$28="სამომხმარებლო"),JX82-JZ82,IF(AND($O$28="საშეღავათო",$K82&gt;$Q$30),JX82-JZ82,IF(AND($O$28="საშეღავათო",$K82&lt;=$Q$30),0,IF(AND($O$28="ნულოვანი საშეღავათო",$K82&gt;$Q$30),JX82-JZ82,IF(AND($O$28="ნულოვანი საშეღავათო",$K82&lt;=$Q$30),0)))))))</f>
        <v>193.01</v>
      </c>
      <c r="JZ82" s="109">
        <f t="shared" si="94"/>
        <v>0</v>
      </c>
      <c r="KA82" s="110">
        <f t="shared" si="95"/>
        <v>1613.98</v>
      </c>
    </row>
    <row r="83" spans="1:287" ht="12" customHeight="1">
      <c r="A83" s="105">
        <f t="array" ref="A83">MAX(IF($J$80:J82&gt;0,$C$80:C82,0))</f>
        <v>43536</v>
      </c>
      <c r="B83" s="81">
        <f t="shared" si="4"/>
        <v>3</v>
      </c>
      <c r="C83" s="82">
        <f t="shared" ref="C83:C146" si="182">IF(B83="",0,IF(OR($F$36="ფიქსირებული",AND($F$36="თვის ბოლო",B83=$H$20)),IF(OR(WEEKDAY(EDATE(DATE($F$32,$G$32,$H$36),B83-$B$82),2)=6,WEEKDAY(EDATE(DATE($F$32,$G$32,$H$36),B83-$B$82),2)=7,IF(EDATE(DATE($F$32,$G$32,$H$36),B83-$B$82)=IFERROR(VLOOKUP(EDATE(DATE($F$32,$G$32,$H$36),B83-$B$82),$BK$80:$BK$624,1,FALSE),0),1,0)=1),WORKDAY(EDATE(DATE($F$32,$G$32,$H$36),B83-$B$82),1,$BK$80:$BK$624),EDATE(DATE($F$32,$G$32,$H$36),B83-$B$82)),IF(OR(WEEKDAY(EOMONTH(DATE($F$28,$G$28,$H$28),B83),2)=6,WEEKDAY(EOMONTH(DATE($F$28,$G$28,$H$28),B83),2)=7,IF(EOMONTH(DATE($F$28,$G$28,$H$28),B83)=IFERROR(VLOOKUP(EOMONTH(DATE($F$28,$G$28,$H$28),B83),$BK$80:$BK$624,1,FALSE),0),1,0)=1),WORKDAY(EOMONTH(DATE($F$28,$G$28,$H$28),B83),1,$BK$80:$BK$624),EOMONTH(DATE($F$28,$G$28,$H$28),B83))))</f>
        <v>43633</v>
      </c>
      <c r="D83" s="83">
        <f t="shared" si="5"/>
        <v>108.34</v>
      </c>
      <c r="E83" s="83">
        <f t="shared" si="96"/>
        <v>0.74</v>
      </c>
      <c r="F83" s="83">
        <f t="shared" si="6"/>
        <v>66.070000000000007</v>
      </c>
      <c r="G83" s="83">
        <f t="shared" si="7"/>
        <v>41.53</v>
      </c>
      <c r="H83" s="83">
        <f t="shared" si="8"/>
        <v>1305.17</v>
      </c>
      <c r="I83" s="105">
        <f t="array" ref="I83">MAX(IF($R$80:R82&gt;0,$L$80:L82,0))</f>
        <v>0</v>
      </c>
      <c r="J83" s="106"/>
      <c r="K83" s="69">
        <f t="shared" si="9"/>
        <v>3</v>
      </c>
      <c r="L83" s="82">
        <f t="shared" ref="L83:L146" si="183">IFERROR(IF(K83="",0,IF(OR($F$52="ფიქსირებული",AND($F$52="თვის ბოლო",K83=$R$32)),IF(OR(WEEKDAY(EDATE(DATE($F$50,$G$50,$H$52),K83-$K$82),2)=6,WEEKDAY(EDATE(DATE($F$50,$G$50,$H$52),K83-$K$82),2)=7,IF(EDATE(DATE($F$50,$G$50,$H$52),K83-$K$82)=IFERROR(VLOOKUP(EDATE(DATE($F$50,$G$50,$H$52),K83-$K$82),$BK$80:$BK$624,1,FALSE),0),1,0)=1),WORKDAY(EDATE(DATE($F$50,$G$50,$H$52),K83-$K$82),1,$BK$80:$BK$624),EDATE(DATE($F$50,$G$50,$H$52),K83-$K$82)),IF(OR(WEEKDAY(EOMONTH(DATE($F$46,$G$46,$H$46),K83),2)=6,WEEKDAY(EOMONTH(DATE($F$46,$G$46,$H$46),K83),2)=7,IF(EOMONTH(DATE($F$46,$G$46,$H$46),K83)=IFERROR(VLOOKUP(EOMONTH(DATE($F$46,$G$46,$H$46),K83),$BK$80:$BK$624,1,FALSE),0),1,0)=1),WORKDAY(EOMONTH(DATE($F$46,$G$46,$H$46),K83),1,$BK$80:$BK$624),EOMONTH(DATE($F$46,$G$46,$H$46),K83)))),0)</f>
        <v>0</v>
      </c>
      <c r="M83" s="83">
        <f t="shared" si="97"/>
        <v>193.01</v>
      </c>
      <c r="N83" s="83">
        <f t="shared" si="10"/>
        <v>0</v>
      </c>
      <c r="O83" s="83" t="str">
        <f t="shared" si="11"/>
        <v/>
      </c>
      <c r="P83" s="83">
        <f t="shared" si="12"/>
        <v>0</v>
      </c>
      <c r="Q83" s="83">
        <f t="shared" si="13"/>
        <v>1420.97</v>
      </c>
      <c r="R83" s="106"/>
      <c r="S83" s="66"/>
      <c r="U83" s="85" t="e">
        <f t="shared" si="0"/>
        <v>#NUM!</v>
      </c>
      <c r="V83" s="86" t="e">
        <f t="shared" si="98"/>
        <v>#NUM!</v>
      </c>
      <c r="W83" s="87" t="e">
        <f t="shared" si="14"/>
        <v>#NUM!</v>
      </c>
      <c r="X83" s="87" t="e">
        <f t="shared" si="15"/>
        <v>#NUM!</v>
      </c>
      <c r="Y83" s="87" t="e">
        <f t="shared" si="16"/>
        <v>#NUM!</v>
      </c>
      <c r="Z83" s="88" t="e">
        <f t="shared" si="1"/>
        <v>#NUM!</v>
      </c>
      <c r="AB83" s="89">
        <f t="shared" si="99"/>
        <v>108.34</v>
      </c>
      <c r="AC83" s="87">
        <f t="shared" si="100"/>
        <v>112.82</v>
      </c>
      <c r="AD83" s="87" t="str">
        <f t="shared" si="17"/>
        <v/>
      </c>
      <c r="AE83" s="87" t="str">
        <f t="shared" si="18"/>
        <v/>
      </c>
      <c r="AF83" s="86">
        <f t="shared" si="101"/>
        <v>43628</v>
      </c>
      <c r="AG83" s="87">
        <f t="shared" si="2"/>
        <v>1.5</v>
      </c>
      <c r="AH83" s="87">
        <f t="shared" si="102"/>
        <v>0.74</v>
      </c>
      <c r="AI83" s="90"/>
      <c r="AJ83" s="87" t="e">
        <f t="shared" si="19"/>
        <v>#NUM!</v>
      </c>
      <c r="AK83" s="87" t="e">
        <f t="shared" si="103"/>
        <v>#NUM!</v>
      </c>
      <c r="AL83" s="87" t="e">
        <f t="shared" si="104"/>
        <v>#NUM!</v>
      </c>
      <c r="AM83" s="87" t="e">
        <f t="shared" si="105"/>
        <v>#NUM!</v>
      </c>
      <c r="AN83" s="86">
        <f t="shared" si="20"/>
        <v>0</v>
      </c>
      <c r="AO83" s="87">
        <f t="shared" si="21"/>
        <v>0</v>
      </c>
      <c r="AP83" s="88">
        <f t="shared" si="22"/>
        <v>0</v>
      </c>
      <c r="AQ83" s="51"/>
      <c r="AR83" s="89">
        <f t="shared" si="23"/>
        <v>108.34</v>
      </c>
      <c r="AS83" s="87">
        <f t="shared" si="24"/>
        <v>112.82</v>
      </c>
      <c r="AT83" s="87" t="str">
        <f t="shared" si="25"/>
        <v/>
      </c>
      <c r="AU83" s="87" t="str">
        <f t="shared" si="26"/>
        <v/>
      </c>
      <c r="AV83" s="86">
        <f t="shared" si="106"/>
        <v>43628</v>
      </c>
      <c r="AW83" s="87">
        <f t="shared" si="107"/>
        <v>1.5</v>
      </c>
      <c r="AX83" s="87">
        <f t="shared" si="108"/>
        <v>0.74</v>
      </c>
      <c r="AY83" s="93"/>
      <c r="AZ83" s="87">
        <f>IFERROR(IF(OR($F$46="",DATE($F$34,$G$34,$H$34)&lt;=DATE($F$46,$G$46,$H$46)),0,IF(M83&lt;&gt;"",IF($P$32="GEL",M83,M83*$Q$32),0)),0)</f>
        <v>0</v>
      </c>
      <c r="BA83" s="87">
        <f t="shared" si="109"/>
        <v>0</v>
      </c>
      <c r="BB83" s="87">
        <f t="shared" si="110"/>
        <v>0</v>
      </c>
      <c r="BC83" s="87">
        <f t="shared" ref="BC83:BC146" si="184">IFERROR(IF(OR($F$46="",DATE($F$34,$G$34,$H$34)&lt;=DATE($F$46,$G$46,$H$46)),0,IF(OR($O$28="ბიზნეს ოვერდრაფტი",$O$28="საკრედიტო ბარათი"),IF(M83&lt;&gt;"",(IF($P$32="GEL",M83,M83*$Q$32)*($BJ$81+(L83-$L$80)*$BJ$82)),0),"")),0)</f>
        <v>0</v>
      </c>
      <c r="BD83" s="86" t="e">
        <f t="shared" si="27"/>
        <v>#NUM!</v>
      </c>
      <c r="BE83" s="87" t="e">
        <f t="shared" si="3"/>
        <v>#NUM!</v>
      </c>
      <c r="BF83" s="88">
        <f t="shared" si="111"/>
        <v>0</v>
      </c>
      <c r="BH83" s="87" t="e">
        <f t="shared" si="28"/>
        <v>#NUM!</v>
      </c>
      <c r="BI83" s="51"/>
      <c r="BK83" s="95">
        <v>39510</v>
      </c>
      <c r="BL83" s="96">
        <v>4</v>
      </c>
      <c r="BM83" s="96">
        <v>4</v>
      </c>
      <c r="BP83" t="s">
        <v>267</v>
      </c>
      <c r="BT83">
        <v>0</v>
      </c>
      <c r="BU83">
        <v>999.99</v>
      </c>
      <c r="BV83" s="30" t="str">
        <f>CONCATENATE(BT83,"-",BU83)</f>
        <v>0-999.99</v>
      </c>
      <c r="BW83" s="30" t="s">
        <v>497</v>
      </c>
      <c r="BX83" s="30" t="s">
        <v>497</v>
      </c>
      <c r="BY83" s="30" t="s">
        <v>497</v>
      </c>
      <c r="BZ83" s="30" t="s">
        <v>497</v>
      </c>
      <c r="CA83" s="30" t="s">
        <v>497</v>
      </c>
      <c r="CB83" s="30" t="s">
        <v>497</v>
      </c>
      <c r="CC83" s="30" t="s">
        <v>497</v>
      </c>
      <c r="CD83" s="30" t="s">
        <v>497</v>
      </c>
      <c r="CE83" s="30" t="s">
        <v>497</v>
      </c>
      <c r="CF83" s="30" t="s">
        <v>497</v>
      </c>
      <c r="CG83" s="30" t="s">
        <v>497</v>
      </c>
      <c r="CI83" s="100" t="s">
        <v>183</v>
      </c>
      <c r="CJ83" s="100"/>
      <c r="CK83" s="30">
        <v>0</v>
      </c>
      <c r="CL83">
        <v>0</v>
      </c>
      <c r="CN83" s="101" t="s">
        <v>269</v>
      </c>
      <c r="CO83">
        <v>731</v>
      </c>
      <c r="CP83">
        <v>10000000</v>
      </c>
      <c r="CQ83" s="30">
        <v>0.02</v>
      </c>
      <c r="CS83" s="108">
        <f t="shared" si="29"/>
        <v>107.15</v>
      </c>
      <c r="CT83" s="109">
        <f t="shared" si="30"/>
        <v>65.59</v>
      </c>
      <c r="CU83" s="109">
        <f t="shared" si="31"/>
        <v>41.56</v>
      </c>
      <c r="CV83" s="110">
        <f t="shared" si="32"/>
        <v>1306.5600000000002</v>
      </c>
      <c r="CX83" s="108">
        <f t="shared" si="33"/>
        <v>0.75</v>
      </c>
      <c r="CY83" s="109">
        <f t="shared" si="113"/>
        <v>0.46</v>
      </c>
      <c r="CZ83" s="109">
        <f t="shared" si="34"/>
        <v>0.28999999999999998</v>
      </c>
      <c r="DA83" s="110">
        <f t="shared" si="35"/>
        <v>9.1400000000003487</v>
      </c>
      <c r="DC83" s="108">
        <f t="shared" si="114"/>
        <v>107.57000000000001</v>
      </c>
      <c r="DD83" s="109">
        <f t="shared" si="115"/>
        <v>66.040000000000006</v>
      </c>
      <c r="DE83" s="109">
        <f t="shared" si="36"/>
        <v>41.53</v>
      </c>
      <c r="DF83" s="110">
        <f t="shared" si="37"/>
        <v>1305.26</v>
      </c>
      <c r="DH83" s="108">
        <f t="shared" si="38"/>
        <v>0.06</v>
      </c>
      <c r="DI83" s="109">
        <f t="shared" si="39"/>
        <v>3.9999999999999994E-2</v>
      </c>
      <c r="DJ83" s="109">
        <f t="shared" si="40"/>
        <v>0.02</v>
      </c>
      <c r="DK83" s="110">
        <f t="shared" si="41"/>
        <v>0.66999999999992088</v>
      </c>
      <c r="DM83" s="108">
        <f t="shared" si="116"/>
        <v>107.61000000000001</v>
      </c>
      <c r="DN83" s="109">
        <f t="shared" si="117"/>
        <v>66.080000000000013</v>
      </c>
      <c r="DO83" s="109">
        <f t="shared" si="42"/>
        <v>41.53</v>
      </c>
      <c r="DP83" s="110">
        <f t="shared" ref="DP83:DP108" si="185">IF($B83="","",DP82-DN83)</f>
        <v>1305.1400000000001</v>
      </c>
      <c r="DR83" s="108">
        <f t="shared" si="43"/>
        <v>-0.01</v>
      </c>
      <c r="DS83" s="109">
        <f t="shared" si="118"/>
        <v>-0.01</v>
      </c>
      <c r="DT83" s="109">
        <f t="shared" si="44"/>
        <v>0</v>
      </c>
      <c r="DU83" s="110">
        <f t="shared" si="119"/>
        <v>-8.0000000000013657E-2</v>
      </c>
      <c r="DW83" s="108">
        <f t="shared" si="120"/>
        <v>107.60000000000001</v>
      </c>
      <c r="DX83" s="109">
        <f t="shared" si="121"/>
        <v>66.070000000000007</v>
      </c>
      <c r="DY83" s="109">
        <f t="shared" si="45"/>
        <v>41.53</v>
      </c>
      <c r="DZ83" s="110">
        <f t="shared" ref="DZ83:DZ108" si="186">IF($B83="","",DZ82-DX83)</f>
        <v>1305.17</v>
      </c>
      <c r="EB83" s="108">
        <f t="shared" si="46"/>
        <v>0</v>
      </c>
      <c r="EC83" s="109">
        <f t="shared" si="122"/>
        <v>0</v>
      </c>
      <c r="ED83" s="109">
        <f t="shared" si="47"/>
        <v>0</v>
      </c>
      <c r="EE83" s="110">
        <f t="shared" si="123"/>
        <v>0</v>
      </c>
      <c r="EG83" s="108">
        <f t="shared" si="124"/>
        <v>107.60000000000001</v>
      </c>
      <c r="EH83" s="109">
        <f t="shared" si="125"/>
        <v>66.070000000000007</v>
      </c>
      <c r="EI83" s="109">
        <f t="shared" si="48"/>
        <v>41.53</v>
      </c>
      <c r="EJ83" s="110">
        <f t="shared" ref="EJ83:EJ108" si="187">IF($B83="","",EJ82-EH83)</f>
        <v>1305.17</v>
      </c>
      <c r="EL83" s="108">
        <f t="shared" si="49"/>
        <v>0</v>
      </c>
      <c r="EM83" s="109">
        <f t="shared" si="126"/>
        <v>0</v>
      </c>
      <c r="EN83" s="109">
        <f t="shared" si="50"/>
        <v>0</v>
      </c>
      <c r="EO83" s="110">
        <f t="shared" si="127"/>
        <v>0</v>
      </c>
      <c r="EQ83" s="108">
        <f t="shared" si="128"/>
        <v>107.60000000000001</v>
      </c>
      <c r="ER83" s="109">
        <f t="shared" si="129"/>
        <v>66.070000000000007</v>
      </c>
      <c r="ES83" s="109">
        <f t="shared" si="51"/>
        <v>41.53</v>
      </c>
      <c r="ET83" s="110">
        <f t="shared" ref="ET83:ET108" si="188">IF($B83="","",ET82-ER83)</f>
        <v>1305.17</v>
      </c>
      <c r="EV83" s="108">
        <f t="shared" si="52"/>
        <v>0</v>
      </c>
      <c r="EW83" s="109">
        <f t="shared" si="130"/>
        <v>0</v>
      </c>
      <c r="EX83" s="109">
        <f t="shared" si="53"/>
        <v>0</v>
      </c>
      <c r="EY83" s="110">
        <f t="shared" si="131"/>
        <v>0</v>
      </c>
      <c r="FA83" s="108">
        <f t="shared" si="132"/>
        <v>107.60000000000001</v>
      </c>
      <c r="FB83" s="109">
        <f t="shared" si="133"/>
        <v>66.070000000000007</v>
      </c>
      <c r="FC83" s="109">
        <f t="shared" si="54"/>
        <v>41.53</v>
      </c>
      <c r="FD83" s="110">
        <f t="shared" ref="FD83:FD108" si="189">IF($B83="","",FD82-FB83)</f>
        <v>1305.17</v>
      </c>
      <c r="FF83" s="108">
        <f t="shared" si="55"/>
        <v>0</v>
      </c>
      <c r="FG83" s="109">
        <f t="shared" si="134"/>
        <v>0</v>
      </c>
      <c r="FH83" s="109">
        <f t="shared" si="56"/>
        <v>0</v>
      </c>
      <c r="FI83" s="110">
        <f t="shared" si="135"/>
        <v>0</v>
      </c>
      <c r="FK83" s="108">
        <f t="shared" si="136"/>
        <v>107.60000000000001</v>
      </c>
      <c r="FL83" s="109">
        <f t="shared" si="137"/>
        <v>66.070000000000007</v>
      </c>
      <c r="FM83" s="109">
        <f t="shared" si="57"/>
        <v>41.53</v>
      </c>
      <c r="FN83" s="110">
        <f t="shared" ref="FN83:FN108" si="190">IF($B83="","",FN82-FL83)</f>
        <v>1305.17</v>
      </c>
      <c r="FP83" s="108">
        <f t="shared" si="58"/>
        <v>0</v>
      </c>
      <c r="FQ83" s="109">
        <f t="shared" si="138"/>
        <v>0</v>
      </c>
      <c r="FR83" s="109">
        <f t="shared" si="59"/>
        <v>0</v>
      </c>
      <c r="FS83" s="110">
        <f t="shared" si="139"/>
        <v>0</v>
      </c>
      <c r="FU83" s="108">
        <f t="shared" si="140"/>
        <v>107.60000000000001</v>
      </c>
      <c r="FV83" s="109">
        <f t="shared" si="141"/>
        <v>66.070000000000007</v>
      </c>
      <c r="FW83" s="109">
        <f t="shared" si="60"/>
        <v>41.53</v>
      </c>
      <c r="FX83" s="110">
        <f t="shared" ref="FX83:FX108" si="191">IF($B83="","",FX82-FV83)</f>
        <v>1305.17</v>
      </c>
      <c r="FZ83" s="108">
        <f t="shared" si="61"/>
        <v>0</v>
      </c>
      <c r="GA83" s="109">
        <f t="shared" si="142"/>
        <v>0</v>
      </c>
      <c r="GB83" s="109">
        <f t="shared" si="62"/>
        <v>0</v>
      </c>
      <c r="GC83" s="110">
        <f t="shared" si="143"/>
        <v>0</v>
      </c>
      <c r="GE83" s="108">
        <f t="shared" si="144"/>
        <v>107.60000000000001</v>
      </c>
      <c r="GF83" s="109">
        <f t="shared" si="145"/>
        <v>66.070000000000007</v>
      </c>
      <c r="GG83" s="109">
        <f t="shared" si="146"/>
        <v>41.53</v>
      </c>
      <c r="GH83" s="110">
        <f t="shared" ref="GH83:GH108" si="192">IF($B83="","",GH82-GF83)</f>
        <v>1305.17</v>
      </c>
      <c r="GL83" s="108">
        <f t="shared" si="63"/>
        <v>193.01</v>
      </c>
      <c r="GM83" s="109">
        <f t="shared" si="64"/>
        <v>193.01</v>
      </c>
      <c r="GN83" s="109">
        <f t="shared" si="65"/>
        <v>0</v>
      </c>
      <c r="GO83" s="110">
        <f t="shared" si="66"/>
        <v>1420.97</v>
      </c>
      <c r="GP83" s="51"/>
      <c r="GQ83" s="108">
        <f t="shared" si="67"/>
        <v>0</v>
      </c>
      <c r="GR83" s="109">
        <f t="shared" si="147"/>
        <v>0</v>
      </c>
      <c r="GS83" s="109">
        <f t="shared" si="68"/>
        <v>0</v>
      </c>
      <c r="GT83" s="110">
        <f t="shared" si="69"/>
        <v>0</v>
      </c>
      <c r="GU83" s="51"/>
      <c r="GV83" s="108">
        <f t="shared" si="148"/>
        <v>193.01</v>
      </c>
      <c r="GW83" s="109">
        <f t="shared" si="149"/>
        <v>193.01</v>
      </c>
      <c r="GX83" s="109">
        <f t="shared" si="70"/>
        <v>0</v>
      </c>
      <c r="GY83" s="110">
        <f t="shared" si="150"/>
        <v>1420.97</v>
      </c>
      <c r="GZ83" s="51"/>
      <c r="HA83" s="108">
        <f t="shared" si="71"/>
        <v>0</v>
      </c>
      <c r="HB83" s="109">
        <f t="shared" si="151"/>
        <v>0</v>
      </c>
      <c r="HC83" s="109">
        <f t="shared" si="72"/>
        <v>0</v>
      </c>
      <c r="HD83" s="110">
        <f t="shared" ref="HD83:HD146" si="193">IF($K83="","",HD82-HB83)</f>
        <v>0</v>
      </c>
      <c r="HE83" s="51"/>
      <c r="HF83" s="108">
        <f t="shared" si="152"/>
        <v>193.01</v>
      </c>
      <c r="HG83" s="109">
        <f t="shared" si="153"/>
        <v>193.01</v>
      </c>
      <c r="HH83" s="109">
        <f t="shared" si="73"/>
        <v>0</v>
      </c>
      <c r="HI83" s="110">
        <f t="shared" si="154"/>
        <v>1420.97</v>
      </c>
      <c r="HJ83" s="51"/>
      <c r="HK83" s="108">
        <f t="shared" si="74"/>
        <v>0</v>
      </c>
      <c r="HL83" s="109">
        <f t="shared" si="155"/>
        <v>0</v>
      </c>
      <c r="HM83" s="109">
        <f t="shared" si="75"/>
        <v>0</v>
      </c>
      <c r="HN83" s="110">
        <f t="shared" ref="HN83:HN146" si="194">IF($K83="","",HN82-HL83)</f>
        <v>0</v>
      </c>
      <c r="HO83" s="51"/>
      <c r="HP83" s="108">
        <f t="shared" si="156"/>
        <v>193.01</v>
      </c>
      <c r="HQ83" s="109">
        <f t="shared" si="157"/>
        <v>193.01</v>
      </c>
      <c r="HR83" s="109">
        <f t="shared" si="76"/>
        <v>0</v>
      </c>
      <c r="HS83" s="110">
        <f t="shared" si="158"/>
        <v>1420.97</v>
      </c>
      <c r="HT83" s="51"/>
      <c r="HU83" s="108">
        <f t="shared" si="77"/>
        <v>0</v>
      </c>
      <c r="HV83" s="109">
        <f t="shared" si="159"/>
        <v>0</v>
      </c>
      <c r="HW83" s="109">
        <f t="shared" si="78"/>
        <v>0</v>
      </c>
      <c r="HX83" s="110">
        <f t="shared" ref="HX83:HX146" si="195">IF($K83="","",HX82-HV83)</f>
        <v>0</v>
      </c>
      <c r="HY83" s="51"/>
      <c r="HZ83" s="108">
        <f t="shared" si="160"/>
        <v>193.01</v>
      </c>
      <c r="IA83" s="109">
        <f t="shared" si="161"/>
        <v>193.01</v>
      </c>
      <c r="IB83" s="109">
        <f t="shared" si="79"/>
        <v>0</v>
      </c>
      <c r="IC83" s="110">
        <f t="shared" si="162"/>
        <v>1420.97</v>
      </c>
      <c r="ID83" s="51"/>
      <c r="IE83" s="108">
        <f t="shared" si="80"/>
        <v>0</v>
      </c>
      <c r="IF83" s="109">
        <f t="shared" si="163"/>
        <v>0</v>
      </c>
      <c r="IG83" s="109">
        <f t="shared" si="81"/>
        <v>0</v>
      </c>
      <c r="IH83" s="110">
        <f t="shared" ref="IH83:IH146" si="196">IF($K83="","",IH82-IF83)</f>
        <v>0</v>
      </c>
      <c r="II83" s="51"/>
      <c r="IJ83" s="108">
        <f t="shared" si="164"/>
        <v>193.01</v>
      </c>
      <c r="IK83" s="109">
        <f t="shared" si="165"/>
        <v>193.01</v>
      </c>
      <c r="IL83" s="109">
        <f t="shared" si="82"/>
        <v>0</v>
      </c>
      <c r="IM83" s="110">
        <f t="shared" si="166"/>
        <v>1420.97</v>
      </c>
      <c r="IN83" s="51"/>
      <c r="IO83" s="108">
        <f t="shared" si="83"/>
        <v>0</v>
      </c>
      <c r="IP83" s="109">
        <f t="shared" si="167"/>
        <v>0</v>
      </c>
      <c r="IQ83" s="109">
        <f t="shared" si="84"/>
        <v>0</v>
      </c>
      <c r="IR83" s="110">
        <f t="shared" ref="IR83:IR146" si="197">IF($K83="","",IR82-IP83)</f>
        <v>0</v>
      </c>
      <c r="IS83" s="51"/>
      <c r="IT83" s="108">
        <f t="shared" si="168"/>
        <v>193.01</v>
      </c>
      <c r="IU83" s="109">
        <f t="shared" si="169"/>
        <v>193.01</v>
      </c>
      <c r="IV83" s="109">
        <f t="shared" si="85"/>
        <v>0</v>
      </c>
      <c r="IW83" s="110">
        <f t="shared" si="170"/>
        <v>1420.97</v>
      </c>
      <c r="IX83" s="51"/>
      <c r="IY83" s="108">
        <f t="shared" si="86"/>
        <v>0</v>
      </c>
      <c r="IZ83" s="109">
        <f t="shared" si="171"/>
        <v>0</v>
      </c>
      <c r="JA83" s="109">
        <f t="shared" si="87"/>
        <v>0</v>
      </c>
      <c r="JB83" s="110">
        <f t="shared" ref="JB83:JB146" si="198">IF($K83="","",JB82-IZ83)</f>
        <v>0</v>
      </c>
      <c r="JC83" s="51"/>
      <c r="JD83" s="108">
        <f t="shared" si="172"/>
        <v>193.01</v>
      </c>
      <c r="JE83" s="109">
        <f t="shared" si="173"/>
        <v>193.01</v>
      </c>
      <c r="JF83" s="109">
        <f t="shared" si="88"/>
        <v>0</v>
      </c>
      <c r="JG83" s="110">
        <f t="shared" si="174"/>
        <v>1420.97</v>
      </c>
      <c r="JH83" s="51"/>
      <c r="JI83" s="108">
        <f t="shared" si="89"/>
        <v>0</v>
      </c>
      <c r="JJ83" s="109">
        <f t="shared" si="175"/>
        <v>0</v>
      </c>
      <c r="JK83" s="109">
        <f t="shared" si="90"/>
        <v>0</v>
      </c>
      <c r="JL83" s="110">
        <f t="shared" ref="JL83:JL146" si="199">IF($K83="","",JL82-JJ83)</f>
        <v>0</v>
      </c>
      <c r="JM83" s="51"/>
      <c r="JN83" s="108">
        <f t="shared" si="176"/>
        <v>193.01</v>
      </c>
      <c r="JO83" s="109">
        <f t="shared" si="177"/>
        <v>193.01</v>
      </c>
      <c r="JP83" s="109">
        <f t="shared" si="91"/>
        <v>0</v>
      </c>
      <c r="JQ83" s="110">
        <f t="shared" si="178"/>
        <v>1420.97</v>
      </c>
      <c r="JR83" s="51"/>
      <c r="JS83" s="108">
        <f t="shared" si="92"/>
        <v>0</v>
      </c>
      <c r="JT83" s="109">
        <f t="shared" si="179"/>
        <v>0</v>
      </c>
      <c r="JU83" s="109">
        <f t="shared" si="93"/>
        <v>0</v>
      </c>
      <c r="JV83" s="110">
        <f t="shared" ref="JV83:JV146" si="200">IF($K83="","",JV82-JT83)</f>
        <v>0</v>
      </c>
      <c r="JW83" s="51"/>
      <c r="JX83" s="108">
        <f t="shared" si="180"/>
        <v>193.01</v>
      </c>
      <c r="JY83" s="109">
        <f t="shared" si="181"/>
        <v>193.01</v>
      </c>
      <c r="JZ83" s="109">
        <f t="shared" si="94"/>
        <v>0</v>
      </c>
      <c r="KA83" s="110">
        <f t="shared" si="95"/>
        <v>1420.97</v>
      </c>
    </row>
    <row r="84" spans="1:287" ht="12" customHeight="1">
      <c r="A84" s="105">
        <f t="array" ref="A84">MAX(IF($J$80:J83&gt;0,$C$80:C83,0))</f>
        <v>43536</v>
      </c>
      <c r="B84" s="81">
        <f t="shared" si="4"/>
        <v>4</v>
      </c>
      <c r="C84" s="82">
        <f t="shared" si="182"/>
        <v>43661</v>
      </c>
      <c r="D84" s="83">
        <f t="shared" si="5"/>
        <v>108.2</v>
      </c>
      <c r="E84" s="83">
        <f t="shared" si="96"/>
        <v>0.6</v>
      </c>
      <c r="F84" s="83">
        <f t="shared" si="6"/>
        <v>74.06</v>
      </c>
      <c r="G84" s="83">
        <f t="shared" si="7"/>
        <v>33.54</v>
      </c>
      <c r="H84" s="83">
        <f t="shared" si="8"/>
        <v>1231.1100000000001</v>
      </c>
      <c r="I84" s="105">
        <f t="array" ref="I84">MAX(IF($R$80:R83&gt;0,$L$80:L83,0))</f>
        <v>0</v>
      </c>
      <c r="J84" s="106"/>
      <c r="K84" s="69">
        <f t="shared" si="9"/>
        <v>4</v>
      </c>
      <c r="L84" s="82">
        <f t="shared" si="183"/>
        <v>0</v>
      </c>
      <c r="M84" s="83">
        <f t="shared" si="97"/>
        <v>193.01</v>
      </c>
      <c r="N84" s="83">
        <f t="shared" si="10"/>
        <v>0</v>
      </c>
      <c r="O84" s="83" t="str">
        <f t="shared" si="11"/>
        <v/>
      </c>
      <c r="P84" s="83">
        <f t="shared" si="12"/>
        <v>0</v>
      </c>
      <c r="Q84" s="83">
        <f t="shared" si="13"/>
        <v>1227.96</v>
      </c>
      <c r="R84" s="106"/>
      <c r="S84" s="66"/>
      <c r="U84" s="85" t="e">
        <f t="shared" si="0"/>
        <v>#NUM!</v>
      </c>
      <c r="V84" s="86" t="e">
        <f t="shared" si="98"/>
        <v>#NUM!</v>
      </c>
      <c r="W84" s="87" t="e">
        <f t="shared" si="14"/>
        <v>#NUM!</v>
      </c>
      <c r="X84" s="87" t="e">
        <f t="shared" si="15"/>
        <v>#NUM!</v>
      </c>
      <c r="Y84" s="87" t="e">
        <f t="shared" si="16"/>
        <v>#NUM!</v>
      </c>
      <c r="Z84" s="88" t="e">
        <f t="shared" si="1"/>
        <v>#NUM!</v>
      </c>
      <c r="AB84" s="89">
        <f t="shared" si="99"/>
        <v>108.2</v>
      </c>
      <c r="AC84" s="87">
        <f t="shared" si="100"/>
        <v>113.97</v>
      </c>
      <c r="AD84" s="87" t="str">
        <f t="shared" si="17"/>
        <v/>
      </c>
      <c r="AE84" s="87" t="str">
        <f t="shared" si="18"/>
        <v/>
      </c>
      <c r="AF84" s="86">
        <f t="shared" si="101"/>
        <v>43658</v>
      </c>
      <c r="AG84" s="87">
        <f t="shared" si="2"/>
        <v>1.5</v>
      </c>
      <c r="AH84" s="87">
        <f t="shared" si="102"/>
        <v>0.6</v>
      </c>
      <c r="AI84" s="90"/>
      <c r="AJ84" s="87" t="e">
        <f t="shared" si="19"/>
        <v>#NUM!</v>
      </c>
      <c r="AK84" s="87" t="e">
        <f t="shared" si="103"/>
        <v>#NUM!</v>
      </c>
      <c r="AL84" s="87" t="e">
        <f t="shared" si="104"/>
        <v>#NUM!</v>
      </c>
      <c r="AM84" s="87" t="e">
        <f t="shared" si="105"/>
        <v>#NUM!</v>
      </c>
      <c r="AN84" s="86">
        <f t="shared" si="20"/>
        <v>0</v>
      </c>
      <c r="AO84" s="87">
        <f t="shared" si="21"/>
        <v>0</v>
      </c>
      <c r="AP84" s="88">
        <f t="shared" si="22"/>
        <v>0</v>
      </c>
      <c r="AR84" s="89">
        <f t="shared" si="23"/>
        <v>108.2</v>
      </c>
      <c r="AS84" s="87">
        <f t="shared" si="24"/>
        <v>113.97</v>
      </c>
      <c r="AT84" s="87" t="str">
        <f t="shared" si="25"/>
        <v/>
      </c>
      <c r="AU84" s="87" t="str">
        <f t="shared" si="26"/>
        <v/>
      </c>
      <c r="AV84" s="86">
        <f t="shared" si="106"/>
        <v>43658</v>
      </c>
      <c r="AW84" s="87">
        <f t="shared" si="107"/>
        <v>1.5</v>
      </c>
      <c r="AX84" s="87">
        <f t="shared" si="108"/>
        <v>0.6</v>
      </c>
      <c r="AY84" s="93"/>
      <c r="AZ84" s="87">
        <f t="shared" ref="AZ84:AZ147" si="201">IFERROR(IF(OR($F$46="",DATE($F$34,$G$34,$H$34)&lt;=DATE($F$46,$G$46,$H$46)),0,IF(M84&lt;&gt;"",IF($P$32="GEL",M84,M84*$Q$32),0)),0)</f>
        <v>0</v>
      </c>
      <c r="BA84" s="87">
        <f t="shared" si="109"/>
        <v>0</v>
      </c>
      <c r="BB84" s="87">
        <f t="shared" si="110"/>
        <v>0</v>
      </c>
      <c r="BC84" s="87">
        <f t="shared" si="184"/>
        <v>0</v>
      </c>
      <c r="BD84" s="86" t="e">
        <f t="shared" si="27"/>
        <v>#NUM!</v>
      </c>
      <c r="BE84" s="87" t="e">
        <f t="shared" si="3"/>
        <v>#NUM!</v>
      </c>
      <c r="BF84" s="88">
        <f t="shared" si="111"/>
        <v>0</v>
      </c>
      <c r="BH84" s="87" t="e">
        <f t="shared" si="28"/>
        <v>#NUM!</v>
      </c>
      <c r="BI84" s="51"/>
      <c r="BK84" s="95">
        <v>39515</v>
      </c>
      <c r="BL84" s="96">
        <v>5</v>
      </c>
      <c r="BM84" s="96">
        <v>5</v>
      </c>
      <c r="BP84" t="s">
        <v>270</v>
      </c>
      <c r="BT84" s="51">
        <v>1000</v>
      </c>
      <c r="BU84" s="51">
        <v>4000</v>
      </c>
      <c r="BV84" s="30" t="str">
        <f t="shared" ref="BV84:BV90" si="202">CONCATENATE(BT84,"-",BU84)</f>
        <v>1000-4000</v>
      </c>
      <c r="BW84" s="30" t="s">
        <v>497</v>
      </c>
      <c r="BX84" s="30" t="s">
        <v>497</v>
      </c>
      <c r="BY84" s="107">
        <v>0.28000000000000003</v>
      </c>
      <c r="BZ84" s="107">
        <v>0.28000000000000003</v>
      </c>
      <c r="CA84" s="107">
        <v>0.28000000000000003</v>
      </c>
      <c r="CB84" s="107">
        <v>0.28000000000000003</v>
      </c>
      <c r="CC84" s="30" t="s">
        <v>497</v>
      </c>
      <c r="CD84" s="30" t="s">
        <v>497</v>
      </c>
      <c r="CE84" s="30" t="s">
        <v>497</v>
      </c>
      <c r="CF84" s="107">
        <v>0.01</v>
      </c>
      <c r="CG84" s="107">
        <v>6.0000000000000001E-3</v>
      </c>
      <c r="CI84" s="100" t="s">
        <v>183</v>
      </c>
      <c r="CJ84" s="100">
        <v>3.5</v>
      </c>
      <c r="CK84" s="30">
        <v>4.0000000000000001E-3</v>
      </c>
      <c r="CL84">
        <v>0.2</v>
      </c>
      <c r="CS84" s="108">
        <f t="shared" si="29"/>
        <v>107.15</v>
      </c>
      <c r="CT84" s="109">
        <f t="shared" si="30"/>
        <v>73.570000000000007</v>
      </c>
      <c r="CU84" s="109">
        <f t="shared" si="31"/>
        <v>33.58</v>
      </c>
      <c r="CV84" s="110">
        <f t="shared" si="32"/>
        <v>1232.9900000000002</v>
      </c>
      <c r="CX84" s="108">
        <f t="shared" si="33"/>
        <v>0.75</v>
      </c>
      <c r="CY84" s="109">
        <f t="shared" si="113"/>
        <v>0.52</v>
      </c>
      <c r="CZ84" s="109">
        <f t="shared" si="34"/>
        <v>0.23</v>
      </c>
      <c r="DA84" s="110">
        <f t="shared" si="35"/>
        <v>8.6200000000003492</v>
      </c>
      <c r="DC84" s="108">
        <f t="shared" si="114"/>
        <v>107.57000000000001</v>
      </c>
      <c r="DD84" s="109">
        <f t="shared" si="115"/>
        <v>74.03</v>
      </c>
      <c r="DE84" s="109">
        <f t="shared" si="36"/>
        <v>33.54</v>
      </c>
      <c r="DF84" s="110">
        <f t="shared" si="37"/>
        <v>1231.23</v>
      </c>
      <c r="DH84" s="108">
        <f t="shared" si="38"/>
        <v>0.06</v>
      </c>
      <c r="DI84" s="109">
        <f t="shared" si="39"/>
        <v>3.9999999999999994E-2</v>
      </c>
      <c r="DJ84" s="109">
        <f t="shared" si="40"/>
        <v>0.02</v>
      </c>
      <c r="DK84" s="110">
        <f t="shared" si="41"/>
        <v>0.62999999999992085</v>
      </c>
      <c r="DM84" s="108">
        <f t="shared" si="116"/>
        <v>107.61000000000001</v>
      </c>
      <c r="DN84" s="109">
        <f t="shared" si="117"/>
        <v>74.070000000000022</v>
      </c>
      <c r="DO84" s="109">
        <f t="shared" si="42"/>
        <v>33.54</v>
      </c>
      <c r="DP84" s="110">
        <f t="shared" si="185"/>
        <v>1231.0700000000002</v>
      </c>
      <c r="DR84" s="108">
        <f t="shared" si="43"/>
        <v>-0.01</v>
      </c>
      <c r="DS84" s="109">
        <f t="shared" si="118"/>
        <v>-0.01</v>
      </c>
      <c r="DT84" s="109">
        <f t="shared" si="44"/>
        <v>0</v>
      </c>
      <c r="DU84" s="110">
        <f t="shared" si="119"/>
        <v>-7.0000000000013662E-2</v>
      </c>
      <c r="DW84" s="108">
        <f t="shared" si="120"/>
        <v>107.60000000000001</v>
      </c>
      <c r="DX84" s="109">
        <f t="shared" si="121"/>
        <v>74.06</v>
      </c>
      <c r="DY84" s="109">
        <f t="shared" si="45"/>
        <v>33.54</v>
      </c>
      <c r="DZ84" s="110">
        <f t="shared" si="186"/>
        <v>1231.1100000000001</v>
      </c>
      <c r="EB84" s="108">
        <f t="shared" si="46"/>
        <v>0</v>
      </c>
      <c r="EC84" s="109">
        <f t="shared" si="122"/>
        <v>0</v>
      </c>
      <c r="ED84" s="109">
        <f t="shared" si="47"/>
        <v>0</v>
      </c>
      <c r="EE84" s="110">
        <f t="shared" si="123"/>
        <v>0</v>
      </c>
      <c r="EG84" s="108">
        <f t="shared" si="124"/>
        <v>107.60000000000001</v>
      </c>
      <c r="EH84" s="109">
        <f t="shared" si="125"/>
        <v>74.06</v>
      </c>
      <c r="EI84" s="109">
        <f t="shared" si="48"/>
        <v>33.54</v>
      </c>
      <c r="EJ84" s="110">
        <f t="shared" si="187"/>
        <v>1231.1100000000001</v>
      </c>
      <c r="EL84" s="108">
        <f t="shared" si="49"/>
        <v>0</v>
      </c>
      <c r="EM84" s="109">
        <f t="shared" si="126"/>
        <v>0</v>
      </c>
      <c r="EN84" s="109">
        <f t="shared" si="50"/>
        <v>0</v>
      </c>
      <c r="EO84" s="110">
        <f t="shared" si="127"/>
        <v>0</v>
      </c>
      <c r="EQ84" s="108">
        <f t="shared" si="128"/>
        <v>107.60000000000001</v>
      </c>
      <c r="ER84" s="109">
        <f t="shared" si="129"/>
        <v>74.06</v>
      </c>
      <c r="ES84" s="109">
        <f t="shared" si="51"/>
        <v>33.54</v>
      </c>
      <c r="ET84" s="110">
        <f t="shared" si="188"/>
        <v>1231.1100000000001</v>
      </c>
      <c r="EV84" s="108">
        <f t="shared" si="52"/>
        <v>0</v>
      </c>
      <c r="EW84" s="109">
        <f t="shared" si="130"/>
        <v>0</v>
      </c>
      <c r="EX84" s="109">
        <f t="shared" si="53"/>
        <v>0</v>
      </c>
      <c r="EY84" s="110">
        <f t="shared" si="131"/>
        <v>0</v>
      </c>
      <c r="FA84" s="108">
        <f t="shared" si="132"/>
        <v>107.60000000000001</v>
      </c>
      <c r="FB84" s="109">
        <f t="shared" si="133"/>
        <v>74.06</v>
      </c>
      <c r="FC84" s="109">
        <f t="shared" si="54"/>
        <v>33.54</v>
      </c>
      <c r="FD84" s="110">
        <f t="shared" si="189"/>
        <v>1231.1100000000001</v>
      </c>
      <c r="FF84" s="108">
        <f t="shared" si="55"/>
        <v>0</v>
      </c>
      <c r="FG84" s="109">
        <f t="shared" si="134"/>
        <v>0</v>
      </c>
      <c r="FH84" s="109">
        <f t="shared" si="56"/>
        <v>0</v>
      </c>
      <c r="FI84" s="110">
        <f t="shared" si="135"/>
        <v>0</v>
      </c>
      <c r="FK84" s="108">
        <f t="shared" si="136"/>
        <v>107.60000000000001</v>
      </c>
      <c r="FL84" s="109">
        <f t="shared" si="137"/>
        <v>74.06</v>
      </c>
      <c r="FM84" s="109">
        <f t="shared" si="57"/>
        <v>33.54</v>
      </c>
      <c r="FN84" s="110">
        <f t="shared" si="190"/>
        <v>1231.1100000000001</v>
      </c>
      <c r="FP84" s="108">
        <f t="shared" si="58"/>
        <v>0</v>
      </c>
      <c r="FQ84" s="109">
        <f t="shared" si="138"/>
        <v>0</v>
      </c>
      <c r="FR84" s="109">
        <f t="shared" si="59"/>
        <v>0</v>
      </c>
      <c r="FS84" s="110">
        <f t="shared" si="139"/>
        <v>0</v>
      </c>
      <c r="FU84" s="108">
        <f t="shared" si="140"/>
        <v>107.60000000000001</v>
      </c>
      <c r="FV84" s="109">
        <f t="shared" si="141"/>
        <v>74.06</v>
      </c>
      <c r="FW84" s="109">
        <f t="shared" si="60"/>
        <v>33.54</v>
      </c>
      <c r="FX84" s="110">
        <f t="shared" si="191"/>
        <v>1231.1100000000001</v>
      </c>
      <c r="FZ84" s="108">
        <f t="shared" si="61"/>
        <v>0</v>
      </c>
      <c r="GA84" s="109">
        <f t="shared" si="142"/>
        <v>0</v>
      </c>
      <c r="GB84" s="109">
        <f t="shared" si="62"/>
        <v>0</v>
      </c>
      <c r="GC84" s="110">
        <f t="shared" si="143"/>
        <v>0</v>
      </c>
      <c r="GE84" s="108">
        <f t="shared" si="144"/>
        <v>107.60000000000001</v>
      </c>
      <c r="GF84" s="109">
        <f t="shared" si="145"/>
        <v>74.06</v>
      </c>
      <c r="GG84" s="109">
        <f t="shared" si="146"/>
        <v>33.54</v>
      </c>
      <c r="GH84" s="110">
        <f t="shared" si="192"/>
        <v>1231.1100000000001</v>
      </c>
      <c r="GL84" s="108">
        <f t="shared" si="63"/>
        <v>193.01</v>
      </c>
      <c r="GM84" s="109">
        <f t="shared" si="64"/>
        <v>193.01</v>
      </c>
      <c r="GN84" s="109">
        <f t="shared" si="65"/>
        <v>0</v>
      </c>
      <c r="GO84" s="110">
        <f t="shared" si="66"/>
        <v>1227.96</v>
      </c>
      <c r="GP84" s="51"/>
      <c r="GQ84" s="108">
        <f t="shared" si="67"/>
        <v>0</v>
      </c>
      <c r="GR84" s="109">
        <f t="shared" si="147"/>
        <v>0</v>
      </c>
      <c r="GS84" s="109">
        <f t="shared" si="68"/>
        <v>0</v>
      </c>
      <c r="GT84" s="110">
        <f t="shared" si="69"/>
        <v>0</v>
      </c>
      <c r="GU84" s="51"/>
      <c r="GV84" s="108">
        <f t="shared" si="148"/>
        <v>193.01</v>
      </c>
      <c r="GW84" s="109">
        <f t="shared" si="149"/>
        <v>193.01</v>
      </c>
      <c r="GX84" s="109">
        <f t="shared" si="70"/>
        <v>0</v>
      </c>
      <c r="GY84" s="110">
        <f t="shared" si="150"/>
        <v>1227.96</v>
      </c>
      <c r="GZ84" s="51"/>
      <c r="HA84" s="108">
        <f t="shared" si="71"/>
        <v>0</v>
      </c>
      <c r="HB84" s="109">
        <f t="shared" si="151"/>
        <v>0</v>
      </c>
      <c r="HC84" s="109">
        <f t="shared" si="72"/>
        <v>0</v>
      </c>
      <c r="HD84" s="110">
        <f t="shared" si="193"/>
        <v>0</v>
      </c>
      <c r="HE84" s="51"/>
      <c r="HF84" s="108">
        <f t="shared" si="152"/>
        <v>193.01</v>
      </c>
      <c r="HG84" s="109">
        <f t="shared" si="153"/>
        <v>193.01</v>
      </c>
      <c r="HH84" s="109">
        <f t="shared" si="73"/>
        <v>0</v>
      </c>
      <c r="HI84" s="110">
        <f t="shared" si="154"/>
        <v>1227.96</v>
      </c>
      <c r="HJ84" s="51"/>
      <c r="HK84" s="108">
        <f t="shared" si="74"/>
        <v>0</v>
      </c>
      <c r="HL84" s="109">
        <f t="shared" si="155"/>
        <v>0</v>
      </c>
      <c r="HM84" s="109">
        <f t="shared" si="75"/>
        <v>0</v>
      </c>
      <c r="HN84" s="110">
        <f t="shared" si="194"/>
        <v>0</v>
      </c>
      <c r="HO84" s="51"/>
      <c r="HP84" s="108">
        <f t="shared" si="156"/>
        <v>193.01</v>
      </c>
      <c r="HQ84" s="109">
        <f t="shared" si="157"/>
        <v>193.01</v>
      </c>
      <c r="HR84" s="109">
        <f t="shared" si="76"/>
        <v>0</v>
      </c>
      <c r="HS84" s="110">
        <f t="shared" si="158"/>
        <v>1227.96</v>
      </c>
      <c r="HT84" s="51"/>
      <c r="HU84" s="108">
        <f t="shared" si="77"/>
        <v>0</v>
      </c>
      <c r="HV84" s="109">
        <f t="shared" si="159"/>
        <v>0</v>
      </c>
      <c r="HW84" s="109">
        <f t="shared" si="78"/>
        <v>0</v>
      </c>
      <c r="HX84" s="110">
        <f t="shared" si="195"/>
        <v>0</v>
      </c>
      <c r="HY84" s="51"/>
      <c r="HZ84" s="108">
        <f t="shared" si="160"/>
        <v>193.01</v>
      </c>
      <c r="IA84" s="109">
        <f t="shared" si="161"/>
        <v>193.01</v>
      </c>
      <c r="IB84" s="109">
        <f t="shared" si="79"/>
        <v>0</v>
      </c>
      <c r="IC84" s="110">
        <f t="shared" si="162"/>
        <v>1227.96</v>
      </c>
      <c r="ID84" s="51"/>
      <c r="IE84" s="108">
        <f t="shared" si="80"/>
        <v>0</v>
      </c>
      <c r="IF84" s="109">
        <f t="shared" si="163"/>
        <v>0</v>
      </c>
      <c r="IG84" s="109">
        <f t="shared" si="81"/>
        <v>0</v>
      </c>
      <c r="IH84" s="110">
        <f t="shared" si="196"/>
        <v>0</v>
      </c>
      <c r="II84" s="51"/>
      <c r="IJ84" s="108">
        <f t="shared" si="164"/>
        <v>193.01</v>
      </c>
      <c r="IK84" s="109">
        <f t="shared" si="165"/>
        <v>193.01</v>
      </c>
      <c r="IL84" s="109">
        <f t="shared" si="82"/>
        <v>0</v>
      </c>
      <c r="IM84" s="110">
        <f t="shared" si="166"/>
        <v>1227.96</v>
      </c>
      <c r="IN84" s="51"/>
      <c r="IO84" s="108">
        <f t="shared" si="83"/>
        <v>0</v>
      </c>
      <c r="IP84" s="109">
        <f t="shared" si="167"/>
        <v>0</v>
      </c>
      <c r="IQ84" s="109">
        <f t="shared" si="84"/>
        <v>0</v>
      </c>
      <c r="IR84" s="110">
        <f t="shared" si="197"/>
        <v>0</v>
      </c>
      <c r="IS84" s="51"/>
      <c r="IT84" s="108">
        <f t="shared" si="168"/>
        <v>193.01</v>
      </c>
      <c r="IU84" s="109">
        <f t="shared" si="169"/>
        <v>193.01</v>
      </c>
      <c r="IV84" s="109">
        <f t="shared" si="85"/>
        <v>0</v>
      </c>
      <c r="IW84" s="110">
        <f t="shared" si="170"/>
        <v>1227.96</v>
      </c>
      <c r="IX84" s="51"/>
      <c r="IY84" s="108">
        <f t="shared" si="86"/>
        <v>0</v>
      </c>
      <c r="IZ84" s="109">
        <f t="shared" si="171"/>
        <v>0</v>
      </c>
      <c r="JA84" s="109">
        <f t="shared" si="87"/>
        <v>0</v>
      </c>
      <c r="JB84" s="110">
        <f t="shared" si="198"/>
        <v>0</v>
      </c>
      <c r="JC84" s="51"/>
      <c r="JD84" s="108">
        <f t="shared" si="172"/>
        <v>193.01</v>
      </c>
      <c r="JE84" s="109">
        <f t="shared" si="173"/>
        <v>193.01</v>
      </c>
      <c r="JF84" s="109">
        <f t="shared" si="88"/>
        <v>0</v>
      </c>
      <c r="JG84" s="110">
        <f t="shared" si="174"/>
        <v>1227.96</v>
      </c>
      <c r="JH84" s="51"/>
      <c r="JI84" s="108">
        <f t="shared" si="89"/>
        <v>0</v>
      </c>
      <c r="JJ84" s="109">
        <f t="shared" si="175"/>
        <v>0</v>
      </c>
      <c r="JK84" s="109">
        <f t="shared" si="90"/>
        <v>0</v>
      </c>
      <c r="JL84" s="110">
        <f t="shared" si="199"/>
        <v>0</v>
      </c>
      <c r="JM84" s="51"/>
      <c r="JN84" s="108">
        <f t="shared" si="176"/>
        <v>193.01</v>
      </c>
      <c r="JO84" s="109">
        <f t="shared" si="177"/>
        <v>193.01</v>
      </c>
      <c r="JP84" s="109">
        <f t="shared" si="91"/>
        <v>0</v>
      </c>
      <c r="JQ84" s="110">
        <f t="shared" si="178"/>
        <v>1227.96</v>
      </c>
      <c r="JR84" s="51"/>
      <c r="JS84" s="108">
        <f t="shared" si="92"/>
        <v>0</v>
      </c>
      <c r="JT84" s="109">
        <f t="shared" si="179"/>
        <v>0</v>
      </c>
      <c r="JU84" s="109">
        <f t="shared" si="93"/>
        <v>0</v>
      </c>
      <c r="JV84" s="110">
        <f t="shared" si="200"/>
        <v>0</v>
      </c>
      <c r="JW84" s="51"/>
      <c r="JX84" s="108">
        <f t="shared" si="180"/>
        <v>193.01</v>
      </c>
      <c r="JY84" s="109">
        <f t="shared" si="181"/>
        <v>193.01</v>
      </c>
      <c r="JZ84" s="109">
        <f t="shared" si="94"/>
        <v>0</v>
      </c>
      <c r="KA84" s="110">
        <f t="shared" si="95"/>
        <v>1227.96</v>
      </c>
    </row>
    <row r="85" spans="1:287" ht="12" customHeight="1">
      <c r="A85" s="105">
        <f t="array" ref="A85">MAX(IF($J$80:J84&gt;0,$C$80:C84,0))</f>
        <v>43536</v>
      </c>
      <c r="B85" s="81">
        <f t="shared" si="4"/>
        <v>5</v>
      </c>
      <c r="C85" s="82">
        <f t="shared" si="182"/>
        <v>43692</v>
      </c>
      <c r="D85" s="83">
        <f t="shared" si="5"/>
        <v>108.23</v>
      </c>
      <c r="E85" s="83">
        <f t="shared" si="96"/>
        <v>0.63</v>
      </c>
      <c r="F85" s="83">
        <f t="shared" si="6"/>
        <v>72.570000000000007</v>
      </c>
      <c r="G85" s="83">
        <f t="shared" si="7"/>
        <v>35.03</v>
      </c>
      <c r="H85" s="83">
        <f t="shared" si="8"/>
        <v>1158.5400000000002</v>
      </c>
      <c r="I85" s="105">
        <f t="array" ref="I85">MAX(IF($R$80:R84&gt;0,$L$80:L84,0))</f>
        <v>0</v>
      </c>
      <c r="J85" s="106"/>
      <c r="K85" s="69">
        <f t="shared" si="9"/>
        <v>5</v>
      </c>
      <c r="L85" s="82">
        <f t="shared" si="183"/>
        <v>0</v>
      </c>
      <c r="M85" s="83">
        <f t="shared" si="97"/>
        <v>193.01</v>
      </c>
      <c r="N85" s="83">
        <f t="shared" si="10"/>
        <v>0</v>
      </c>
      <c r="O85" s="83" t="str">
        <f t="shared" si="11"/>
        <v/>
      </c>
      <c r="P85" s="83">
        <f t="shared" si="12"/>
        <v>0</v>
      </c>
      <c r="Q85" s="83">
        <f t="shared" si="13"/>
        <v>1034.95</v>
      </c>
      <c r="R85" s="106"/>
      <c r="S85" s="66"/>
      <c r="U85" s="85" t="e">
        <f t="shared" si="0"/>
        <v>#NUM!</v>
      </c>
      <c r="V85" s="86" t="e">
        <f t="shared" si="98"/>
        <v>#NUM!</v>
      </c>
      <c r="W85" s="87" t="e">
        <f t="shared" si="14"/>
        <v>#NUM!</v>
      </c>
      <c r="X85" s="87" t="e">
        <f t="shared" si="15"/>
        <v>#NUM!</v>
      </c>
      <c r="Y85" s="87" t="e">
        <f t="shared" si="16"/>
        <v>#NUM!</v>
      </c>
      <c r="Z85" s="88" t="e">
        <f t="shared" si="1"/>
        <v>#NUM!</v>
      </c>
      <c r="AB85" s="89">
        <f t="shared" si="99"/>
        <v>108.23</v>
      </c>
      <c r="AC85" s="87">
        <f t="shared" si="100"/>
        <v>115.43</v>
      </c>
      <c r="AD85" s="87" t="str">
        <f t="shared" si="17"/>
        <v/>
      </c>
      <c r="AE85" s="87" t="str">
        <f t="shared" si="18"/>
        <v/>
      </c>
      <c r="AF85" s="86">
        <f t="shared" si="101"/>
        <v>43689</v>
      </c>
      <c r="AG85" s="87">
        <f t="shared" si="2"/>
        <v>1.5</v>
      </c>
      <c r="AH85" s="87">
        <f t="shared" si="102"/>
        <v>0.63</v>
      </c>
      <c r="AI85" s="90"/>
      <c r="AJ85" s="87" t="e">
        <f t="shared" si="19"/>
        <v>#NUM!</v>
      </c>
      <c r="AK85" s="87" t="e">
        <f t="shared" si="103"/>
        <v>#NUM!</v>
      </c>
      <c r="AL85" s="87" t="e">
        <f t="shared" si="104"/>
        <v>#NUM!</v>
      </c>
      <c r="AM85" s="87" t="e">
        <f t="shared" si="105"/>
        <v>#NUM!</v>
      </c>
      <c r="AN85" s="86">
        <f t="shared" si="20"/>
        <v>0</v>
      </c>
      <c r="AO85" s="87">
        <f t="shared" si="21"/>
        <v>0</v>
      </c>
      <c r="AP85" s="88">
        <f t="shared" si="22"/>
        <v>0</v>
      </c>
      <c r="AR85" s="89">
        <f t="shared" si="23"/>
        <v>108.23</v>
      </c>
      <c r="AS85" s="87">
        <f t="shared" si="24"/>
        <v>115.43</v>
      </c>
      <c r="AT85" s="87" t="str">
        <f t="shared" si="25"/>
        <v/>
      </c>
      <c r="AU85" s="87" t="str">
        <f t="shared" si="26"/>
        <v/>
      </c>
      <c r="AV85" s="86">
        <f t="shared" si="106"/>
        <v>43689</v>
      </c>
      <c r="AW85" s="87">
        <f t="shared" si="107"/>
        <v>1.5</v>
      </c>
      <c r="AX85" s="87">
        <f t="shared" si="108"/>
        <v>0.63</v>
      </c>
      <c r="AY85" s="93"/>
      <c r="AZ85" s="87">
        <f t="shared" si="201"/>
        <v>0</v>
      </c>
      <c r="BA85" s="87">
        <f t="shared" si="109"/>
        <v>0</v>
      </c>
      <c r="BB85" s="87">
        <f t="shared" si="110"/>
        <v>0</v>
      </c>
      <c r="BC85" s="87">
        <f t="shared" si="184"/>
        <v>0</v>
      </c>
      <c r="BD85" s="86" t="e">
        <f t="shared" si="27"/>
        <v>#NUM!</v>
      </c>
      <c r="BE85" s="87" t="e">
        <f t="shared" si="3"/>
        <v>#NUM!</v>
      </c>
      <c r="BF85" s="88">
        <f t="shared" si="111"/>
        <v>0</v>
      </c>
      <c r="BH85" s="87" t="e">
        <f t="shared" si="28"/>
        <v>#NUM!</v>
      </c>
      <c r="BI85" s="51"/>
      <c r="BK85" s="95">
        <v>39547</v>
      </c>
      <c r="BL85" s="96">
        <v>6</v>
      </c>
      <c r="BM85" s="96">
        <v>6</v>
      </c>
      <c r="BP85" t="s">
        <v>225</v>
      </c>
      <c r="BT85" s="51">
        <v>4000.01</v>
      </c>
      <c r="BU85" s="51">
        <v>10000</v>
      </c>
      <c r="BV85" s="30" t="str">
        <f t="shared" si="202"/>
        <v>4000.01-10000</v>
      </c>
      <c r="BW85" s="30" t="s">
        <v>497</v>
      </c>
      <c r="BX85" s="30" t="s">
        <v>497</v>
      </c>
      <c r="BY85" s="107">
        <v>0.28000000000000003</v>
      </c>
      <c r="BZ85" s="107">
        <v>0.28000000000000003</v>
      </c>
      <c r="CA85" s="107">
        <v>0.28000000000000003</v>
      </c>
      <c r="CB85" s="107">
        <v>0.28000000000000003</v>
      </c>
      <c r="CC85" s="30" t="s">
        <v>497</v>
      </c>
      <c r="CD85" s="30" t="s">
        <v>497</v>
      </c>
      <c r="CE85" s="30" t="s">
        <v>497</v>
      </c>
      <c r="CF85" s="107">
        <v>0.03</v>
      </c>
      <c r="CG85" s="107">
        <v>0.02</v>
      </c>
      <c r="CI85" s="100" t="s">
        <v>183</v>
      </c>
      <c r="CJ85" s="100">
        <v>1.5</v>
      </c>
      <c r="CK85" s="30">
        <v>5.0000000000000001E-3</v>
      </c>
      <c r="CL85">
        <v>0.2</v>
      </c>
      <c r="CS85" s="108">
        <f t="shared" si="29"/>
        <v>107.15</v>
      </c>
      <c r="CT85" s="109">
        <f t="shared" si="30"/>
        <v>72.070000000000007</v>
      </c>
      <c r="CU85" s="109">
        <f t="shared" si="31"/>
        <v>35.08</v>
      </c>
      <c r="CV85" s="110">
        <f t="shared" si="32"/>
        <v>1160.9200000000003</v>
      </c>
      <c r="CX85" s="108">
        <f t="shared" si="33"/>
        <v>0.75</v>
      </c>
      <c r="CY85" s="109">
        <f t="shared" si="113"/>
        <v>0.5</v>
      </c>
      <c r="CZ85" s="109">
        <f t="shared" si="34"/>
        <v>0.25</v>
      </c>
      <c r="DA85" s="110">
        <f t="shared" si="35"/>
        <v>8.1200000000003492</v>
      </c>
      <c r="DC85" s="108">
        <f t="shared" si="114"/>
        <v>107.57000000000001</v>
      </c>
      <c r="DD85" s="109">
        <f t="shared" si="115"/>
        <v>72.540000000000006</v>
      </c>
      <c r="DE85" s="109">
        <f t="shared" si="36"/>
        <v>35.03</v>
      </c>
      <c r="DF85" s="110">
        <f t="shared" si="37"/>
        <v>1158.69</v>
      </c>
      <c r="DH85" s="108">
        <f t="shared" si="38"/>
        <v>0.06</v>
      </c>
      <c r="DI85" s="109">
        <f t="shared" si="39"/>
        <v>3.9999999999999994E-2</v>
      </c>
      <c r="DJ85" s="109">
        <f t="shared" si="40"/>
        <v>0.02</v>
      </c>
      <c r="DK85" s="110">
        <f t="shared" si="41"/>
        <v>0.58999999999992081</v>
      </c>
      <c r="DM85" s="108">
        <f t="shared" si="116"/>
        <v>107.61000000000001</v>
      </c>
      <c r="DN85" s="109">
        <f t="shared" si="117"/>
        <v>72.580000000000013</v>
      </c>
      <c r="DO85" s="109">
        <f t="shared" si="42"/>
        <v>35.03</v>
      </c>
      <c r="DP85" s="110">
        <f t="shared" si="185"/>
        <v>1158.4900000000002</v>
      </c>
      <c r="DR85" s="108">
        <f t="shared" si="43"/>
        <v>-0.01</v>
      </c>
      <c r="DS85" s="109">
        <f t="shared" si="118"/>
        <v>-0.01</v>
      </c>
      <c r="DT85" s="109">
        <f t="shared" si="44"/>
        <v>0</v>
      </c>
      <c r="DU85" s="110">
        <f t="shared" si="119"/>
        <v>-6.000000000001366E-2</v>
      </c>
      <c r="DW85" s="108">
        <f t="shared" si="120"/>
        <v>107.60000000000001</v>
      </c>
      <c r="DX85" s="109">
        <f t="shared" si="121"/>
        <v>72.570000000000007</v>
      </c>
      <c r="DY85" s="109">
        <f t="shared" si="45"/>
        <v>35.03</v>
      </c>
      <c r="DZ85" s="110">
        <f t="shared" si="186"/>
        <v>1158.5400000000002</v>
      </c>
      <c r="EB85" s="108">
        <f t="shared" si="46"/>
        <v>0</v>
      </c>
      <c r="EC85" s="109">
        <f t="shared" si="122"/>
        <v>0</v>
      </c>
      <c r="ED85" s="109">
        <f t="shared" si="47"/>
        <v>0</v>
      </c>
      <c r="EE85" s="110">
        <f t="shared" si="123"/>
        <v>0</v>
      </c>
      <c r="EG85" s="108">
        <f t="shared" si="124"/>
        <v>107.60000000000001</v>
      </c>
      <c r="EH85" s="109">
        <f t="shared" si="125"/>
        <v>72.570000000000007</v>
      </c>
      <c r="EI85" s="109">
        <f t="shared" si="48"/>
        <v>35.03</v>
      </c>
      <c r="EJ85" s="110">
        <f t="shared" si="187"/>
        <v>1158.5400000000002</v>
      </c>
      <c r="EL85" s="108">
        <f t="shared" si="49"/>
        <v>0</v>
      </c>
      <c r="EM85" s="109">
        <f t="shared" si="126"/>
        <v>0</v>
      </c>
      <c r="EN85" s="109">
        <f t="shared" si="50"/>
        <v>0</v>
      </c>
      <c r="EO85" s="110">
        <f t="shared" si="127"/>
        <v>0</v>
      </c>
      <c r="EQ85" s="108">
        <f t="shared" si="128"/>
        <v>107.60000000000001</v>
      </c>
      <c r="ER85" s="109">
        <f t="shared" si="129"/>
        <v>72.570000000000007</v>
      </c>
      <c r="ES85" s="109">
        <f t="shared" si="51"/>
        <v>35.03</v>
      </c>
      <c r="ET85" s="110">
        <f t="shared" si="188"/>
        <v>1158.5400000000002</v>
      </c>
      <c r="EV85" s="108">
        <f t="shared" si="52"/>
        <v>0</v>
      </c>
      <c r="EW85" s="109">
        <f t="shared" si="130"/>
        <v>0</v>
      </c>
      <c r="EX85" s="109">
        <f t="shared" si="53"/>
        <v>0</v>
      </c>
      <c r="EY85" s="110">
        <f t="shared" si="131"/>
        <v>0</v>
      </c>
      <c r="FA85" s="108">
        <f t="shared" si="132"/>
        <v>107.60000000000001</v>
      </c>
      <c r="FB85" s="109">
        <f t="shared" si="133"/>
        <v>72.570000000000007</v>
      </c>
      <c r="FC85" s="109">
        <f t="shared" si="54"/>
        <v>35.03</v>
      </c>
      <c r="FD85" s="110">
        <f t="shared" si="189"/>
        <v>1158.5400000000002</v>
      </c>
      <c r="FF85" s="108">
        <f t="shared" si="55"/>
        <v>0</v>
      </c>
      <c r="FG85" s="109">
        <f t="shared" si="134"/>
        <v>0</v>
      </c>
      <c r="FH85" s="109">
        <f t="shared" si="56"/>
        <v>0</v>
      </c>
      <c r="FI85" s="110">
        <f t="shared" si="135"/>
        <v>0</v>
      </c>
      <c r="FK85" s="108">
        <f t="shared" si="136"/>
        <v>107.60000000000001</v>
      </c>
      <c r="FL85" s="109">
        <f t="shared" si="137"/>
        <v>72.570000000000007</v>
      </c>
      <c r="FM85" s="109">
        <f t="shared" si="57"/>
        <v>35.03</v>
      </c>
      <c r="FN85" s="110">
        <f t="shared" si="190"/>
        <v>1158.5400000000002</v>
      </c>
      <c r="FP85" s="108">
        <f t="shared" si="58"/>
        <v>0</v>
      </c>
      <c r="FQ85" s="109">
        <f t="shared" si="138"/>
        <v>0</v>
      </c>
      <c r="FR85" s="109">
        <f t="shared" si="59"/>
        <v>0</v>
      </c>
      <c r="FS85" s="110">
        <f t="shared" si="139"/>
        <v>0</v>
      </c>
      <c r="FU85" s="108">
        <f t="shared" si="140"/>
        <v>107.60000000000001</v>
      </c>
      <c r="FV85" s="109">
        <f t="shared" si="141"/>
        <v>72.570000000000007</v>
      </c>
      <c r="FW85" s="109">
        <f t="shared" si="60"/>
        <v>35.03</v>
      </c>
      <c r="FX85" s="110">
        <f t="shared" si="191"/>
        <v>1158.5400000000002</v>
      </c>
      <c r="FZ85" s="108">
        <f t="shared" si="61"/>
        <v>0</v>
      </c>
      <c r="GA85" s="109">
        <f t="shared" si="142"/>
        <v>0</v>
      </c>
      <c r="GB85" s="109">
        <f t="shared" si="62"/>
        <v>0</v>
      </c>
      <c r="GC85" s="110">
        <f t="shared" si="143"/>
        <v>0</v>
      </c>
      <c r="GE85" s="108">
        <f t="shared" si="144"/>
        <v>107.60000000000001</v>
      </c>
      <c r="GF85" s="109">
        <f t="shared" si="145"/>
        <v>72.570000000000007</v>
      </c>
      <c r="GG85" s="109">
        <f t="shared" si="146"/>
        <v>35.03</v>
      </c>
      <c r="GH85" s="110">
        <f t="shared" si="192"/>
        <v>1158.5400000000002</v>
      </c>
      <c r="GL85" s="108">
        <f t="shared" si="63"/>
        <v>193.01</v>
      </c>
      <c r="GM85" s="109">
        <f t="shared" si="64"/>
        <v>193.01</v>
      </c>
      <c r="GN85" s="109">
        <f t="shared" si="65"/>
        <v>0</v>
      </c>
      <c r="GO85" s="110">
        <f t="shared" si="66"/>
        <v>1034.95</v>
      </c>
      <c r="GP85" s="51"/>
      <c r="GQ85" s="108">
        <f t="shared" si="67"/>
        <v>0</v>
      </c>
      <c r="GR85" s="109">
        <f t="shared" si="147"/>
        <v>0</v>
      </c>
      <c r="GS85" s="109">
        <f t="shared" si="68"/>
        <v>0</v>
      </c>
      <c r="GT85" s="110">
        <f t="shared" si="69"/>
        <v>0</v>
      </c>
      <c r="GU85" s="51"/>
      <c r="GV85" s="108">
        <f t="shared" si="148"/>
        <v>193.01</v>
      </c>
      <c r="GW85" s="109">
        <f t="shared" si="149"/>
        <v>193.01</v>
      </c>
      <c r="GX85" s="109">
        <f t="shared" si="70"/>
        <v>0</v>
      </c>
      <c r="GY85" s="110">
        <f t="shared" si="150"/>
        <v>1034.95</v>
      </c>
      <c r="GZ85" s="51"/>
      <c r="HA85" s="108">
        <f t="shared" si="71"/>
        <v>0</v>
      </c>
      <c r="HB85" s="109">
        <f t="shared" si="151"/>
        <v>0</v>
      </c>
      <c r="HC85" s="109">
        <f t="shared" si="72"/>
        <v>0</v>
      </c>
      <c r="HD85" s="110">
        <f t="shared" si="193"/>
        <v>0</v>
      </c>
      <c r="HE85" s="51"/>
      <c r="HF85" s="108">
        <f t="shared" si="152"/>
        <v>193.01</v>
      </c>
      <c r="HG85" s="109">
        <f t="shared" si="153"/>
        <v>193.01</v>
      </c>
      <c r="HH85" s="109">
        <f t="shared" si="73"/>
        <v>0</v>
      </c>
      <c r="HI85" s="110">
        <f t="shared" si="154"/>
        <v>1034.95</v>
      </c>
      <c r="HJ85" s="51"/>
      <c r="HK85" s="108">
        <f t="shared" si="74"/>
        <v>0</v>
      </c>
      <c r="HL85" s="109">
        <f t="shared" si="155"/>
        <v>0</v>
      </c>
      <c r="HM85" s="109">
        <f t="shared" si="75"/>
        <v>0</v>
      </c>
      <c r="HN85" s="110">
        <f t="shared" si="194"/>
        <v>0</v>
      </c>
      <c r="HO85" s="51"/>
      <c r="HP85" s="108">
        <f t="shared" si="156"/>
        <v>193.01</v>
      </c>
      <c r="HQ85" s="109">
        <f t="shared" si="157"/>
        <v>193.01</v>
      </c>
      <c r="HR85" s="109">
        <f t="shared" si="76"/>
        <v>0</v>
      </c>
      <c r="HS85" s="110">
        <f t="shared" si="158"/>
        <v>1034.95</v>
      </c>
      <c r="HT85" s="51"/>
      <c r="HU85" s="108">
        <f t="shared" si="77"/>
        <v>0</v>
      </c>
      <c r="HV85" s="109">
        <f t="shared" si="159"/>
        <v>0</v>
      </c>
      <c r="HW85" s="109">
        <f t="shared" si="78"/>
        <v>0</v>
      </c>
      <c r="HX85" s="110">
        <f t="shared" si="195"/>
        <v>0</v>
      </c>
      <c r="HY85" s="51"/>
      <c r="HZ85" s="108">
        <f t="shared" si="160"/>
        <v>193.01</v>
      </c>
      <c r="IA85" s="109">
        <f t="shared" si="161"/>
        <v>193.01</v>
      </c>
      <c r="IB85" s="109">
        <f t="shared" si="79"/>
        <v>0</v>
      </c>
      <c r="IC85" s="110">
        <f t="shared" si="162"/>
        <v>1034.95</v>
      </c>
      <c r="ID85" s="51"/>
      <c r="IE85" s="108">
        <f t="shared" si="80"/>
        <v>0</v>
      </c>
      <c r="IF85" s="109">
        <f t="shared" si="163"/>
        <v>0</v>
      </c>
      <c r="IG85" s="109">
        <f t="shared" si="81"/>
        <v>0</v>
      </c>
      <c r="IH85" s="110">
        <f t="shared" si="196"/>
        <v>0</v>
      </c>
      <c r="II85" s="51"/>
      <c r="IJ85" s="108">
        <f t="shared" si="164"/>
        <v>193.01</v>
      </c>
      <c r="IK85" s="109">
        <f t="shared" si="165"/>
        <v>193.01</v>
      </c>
      <c r="IL85" s="109">
        <f t="shared" si="82"/>
        <v>0</v>
      </c>
      <c r="IM85" s="110">
        <f t="shared" si="166"/>
        <v>1034.95</v>
      </c>
      <c r="IN85" s="51"/>
      <c r="IO85" s="108">
        <f t="shared" si="83"/>
        <v>0</v>
      </c>
      <c r="IP85" s="109">
        <f t="shared" si="167"/>
        <v>0</v>
      </c>
      <c r="IQ85" s="109">
        <f t="shared" si="84"/>
        <v>0</v>
      </c>
      <c r="IR85" s="110">
        <f t="shared" si="197"/>
        <v>0</v>
      </c>
      <c r="IS85" s="51"/>
      <c r="IT85" s="108">
        <f t="shared" si="168"/>
        <v>193.01</v>
      </c>
      <c r="IU85" s="109">
        <f t="shared" si="169"/>
        <v>193.01</v>
      </c>
      <c r="IV85" s="109">
        <f t="shared" si="85"/>
        <v>0</v>
      </c>
      <c r="IW85" s="110">
        <f t="shared" si="170"/>
        <v>1034.95</v>
      </c>
      <c r="IX85" s="51"/>
      <c r="IY85" s="108">
        <f t="shared" si="86"/>
        <v>0</v>
      </c>
      <c r="IZ85" s="109">
        <f t="shared" si="171"/>
        <v>0</v>
      </c>
      <c r="JA85" s="109">
        <f t="shared" si="87"/>
        <v>0</v>
      </c>
      <c r="JB85" s="110">
        <f t="shared" si="198"/>
        <v>0</v>
      </c>
      <c r="JC85" s="51"/>
      <c r="JD85" s="108">
        <f t="shared" si="172"/>
        <v>193.01</v>
      </c>
      <c r="JE85" s="109">
        <f t="shared" si="173"/>
        <v>193.01</v>
      </c>
      <c r="JF85" s="109">
        <f t="shared" si="88"/>
        <v>0</v>
      </c>
      <c r="JG85" s="110">
        <f t="shared" si="174"/>
        <v>1034.95</v>
      </c>
      <c r="JH85" s="51"/>
      <c r="JI85" s="108">
        <f t="shared" si="89"/>
        <v>0</v>
      </c>
      <c r="JJ85" s="109">
        <f t="shared" si="175"/>
        <v>0</v>
      </c>
      <c r="JK85" s="109">
        <f t="shared" si="90"/>
        <v>0</v>
      </c>
      <c r="JL85" s="110">
        <f t="shared" si="199"/>
        <v>0</v>
      </c>
      <c r="JM85" s="51"/>
      <c r="JN85" s="108">
        <f t="shared" si="176"/>
        <v>193.01</v>
      </c>
      <c r="JO85" s="109">
        <f t="shared" si="177"/>
        <v>193.01</v>
      </c>
      <c r="JP85" s="109">
        <f t="shared" si="91"/>
        <v>0</v>
      </c>
      <c r="JQ85" s="110">
        <f t="shared" si="178"/>
        <v>1034.95</v>
      </c>
      <c r="JR85" s="51"/>
      <c r="JS85" s="108">
        <f t="shared" si="92"/>
        <v>0</v>
      </c>
      <c r="JT85" s="109">
        <f t="shared" si="179"/>
        <v>0</v>
      </c>
      <c r="JU85" s="109">
        <f t="shared" si="93"/>
        <v>0</v>
      </c>
      <c r="JV85" s="110">
        <f t="shared" si="200"/>
        <v>0</v>
      </c>
      <c r="JW85" s="51"/>
      <c r="JX85" s="108">
        <f t="shared" si="180"/>
        <v>193.01</v>
      </c>
      <c r="JY85" s="109">
        <f t="shared" si="181"/>
        <v>193.01</v>
      </c>
      <c r="JZ85" s="109">
        <f t="shared" si="94"/>
        <v>0</v>
      </c>
      <c r="KA85" s="110">
        <f t="shared" si="95"/>
        <v>1034.95</v>
      </c>
    </row>
    <row r="86" spans="1:287" ht="12" customHeight="1">
      <c r="A86" s="105">
        <f t="array" ref="A86">MAX(IF($J$80:J85&gt;0,$C$80:C85,0))</f>
        <v>43536</v>
      </c>
      <c r="B86" s="81">
        <f t="shared" si="4"/>
        <v>6</v>
      </c>
      <c r="C86" s="82">
        <f t="shared" si="182"/>
        <v>43724</v>
      </c>
      <c r="D86" s="83">
        <f t="shared" si="5"/>
        <v>108.21000000000001</v>
      </c>
      <c r="E86" s="83">
        <f t="shared" si="96"/>
        <v>0.61</v>
      </c>
      <c r="F86" s="83">
        <f t="shared" si="6"/>
        <v>73.570000000000007</v>
      </c>
      <c r="G86" s="83">
        <f t="shared" si="7"/>
        <v>34.03</v>
      </c>
      <c r="H86" s="83">
        <f t="shared" si="8"/>
        <v>1084.9700000000003</v>
      </c>
      <c r="I86" s="105">
        <f t="array" ref="I86">MAX(IF($R$80:R85&gt;0,$L$80:L85,0))</f>
        <v>0</v>
      </c>
      <c r="J86" s="106"/>
      <c r="K86" s="69">
        <f t="shared" si="9"/>
        <v>6</v>
      </c>
      <c r="L86" s="82">
        <f t="shared" si="183"/>
        <v>0</v>
      </c>
      <c r="M86" s="83">
        <f t="shared" si="97"/>
        <v>193.01</v>
      </c>
      <c r="N86" s="83">
        <f t="shared" si="10"/>
        <v>0</v>
      </c>
      <c r="O86" s="83" t="str">
        <f t="shared" si="11"/>
        <v/>
      </c>
      <c r="P86" s="83">
        <f t="shared" si="12"/>
        <v>0</v>
      </c>
      <c r="Q86" s="83">
        <f t="shared" si="13"/>
        <v>841.94</v>
      </c>
      <c r="R86" s="106"/>
      <c r="S86" s="66"/>
      <c r="U86" s="85" t="e">
        <f t="shared" si="0"/>
        <v>#NUM!</v>
      </c>
      <c r="V86" s="86" t="e">
        <f t="shared" si="98"/>
        <v>#NUM!</v>
      </c>
      <c r="W86" s="87" t="e">
        <f t="shared" si="14"/>
        <v>#NUM!</v>
      </c>
      <c r="X86" s="87" t="e">
        <f t="shared" si="15"/>
        <v>#NUM!</v>
      </c>
      <c r="Y86" s="87" t="e">
        <f t="shared" si="16"/>
        <v>#NUM!</v>
      </c>
      <c r="Z86" s="88" t="e">
        <f t="shared" si="1"/>
        <v>#NUM!</v>
      </c>
      <c r="AB86" s="89">
        <f t="shared" si="99"/>
        <v>108.21000000000001</v>
      </c>
      <c r="AC86" s="87">
        <f t="shared" si="100"/>
        <v>116.89</v>
      </c>
      <c r="AD86" s="87" t="str">
        <f t="shared" si="17"/>
        <v/>
      </c>
      <c r="AE86" s="87" t="str">
        <f t="shared" si="18"/>
        <v/>
      </c>
      <c r="AF86" s="86">
        <f t="shared" si="101"/>
        <v>43720</v>
      </c>
      <c r="AG86" s="87">
        <f t="shared" si="2"/>
        <v>1.5</v>
      </c>
      <c r="AH86" s="87">
        <f t="shared" si="102"/>
        <v>0.61</v>
      </c>
      <c r="AI86" s="90"/>
      <c r="AJ86" s="87" t="e">
        <f t="shared" si="19"/>
        <v>#NUM!</v>
      </c>
      <c r="AK86" s="87" t="e">
        <f t="shared" si="103"/>
        <v>#NUM!</v>
      </c>
      <c r="AL86" s="87" t="e">
        <f t="shared" si="104"/>
        <v>#NUM!</v>
      </c>
      <c r="AM86" s="87" t="e">
        <f t="shared" si="105"/>
        <v>#NUM!</v>
      </c>
      <c r="AN86" s="86">
        <f t="shared" si="20"/>
        <v>0</v>
      </c>
      <c r="AO86" s="87">
        <f t="shared" si="21"/>
        <v>0</v>
      </c>
      <c r="AP86" s="88">
        <f t="shared" si="22"/>
        <v>0</v>
      </c>
      <c r="AR86" s="89">
        <f t="shared" si="23"/>
        <v>108.21000000000001</v>
      </c>
      <c r="AS86" s="87">
        <f t="shared" si="24"/>
        <v>116.89</v>
      </c>
      <c r="AT86" s="87" t="str">
        <f t="shared" si="25"/>
        <v/>
      </c>
      <c r="AU86" s="87" t="str">
        <f t="shared" si="26"/>
        <v/>
      </c>
      <c r="AV86" s="86">
        <f t="shared" si="106"/>
        <v>43720</v>
      </c>
      <c r="AW86" s="87">
        <f t="shared" si="107"/>
        <v>1.5</v>
      </c>
      <c r="AX86" s="87">
        <f t="shared" si="108"/>
        <v>0.61</v>
      </c>
      <c r="AY86" s="93"/>
      <c r="AZ86" s="87">
        <f t="shared" si="201"/>
        <v>0</v>
      </c>
      <c r="BA86" s="87">
        <f t="shared" si="109"/>
        <v>0</v>
      </c>
      <c r="BB86" s="87">
        <f t="shared" si="110"/>
        <v>0</v>
      </c>
      <c r="BC86" s="87">
        <f t="shared" si="184"/>
        <v>0</v>
      </c>
      <c r="BD86" s="86" t="e">
        <f t="shared" si="27"/>
        <v>#NUM!</v>
      </c>
      <c r="BE86" s="87" t="e">
        <f t="shared" si="3"/>
        <v>#NUM!</v>
      </c>
      <c r="BF86" s="88">
        <f t="shared" si="111"/>
        <v>0</v>
      </c>
      <c r="BH86" s="87" t="e">
        <f t="shared" si="28"/>
        <v>#NUM!</v>
      </c>
      <c r="BI86" s="51"/>
      <c r="BK86" s="95">
        <v>39566</v>
      </c>
      <c r="BL86" s="96">
        <v>7</v>
      </c>
      <c r="BM86" s="96">
        <v>7</v>
      </c>
      <c r="BP86" t="s">
        <v>226</v>
      </c>
      <c r="BT86" s="51">
        <v>10000.01</v>
      </c>
      <c r="BU86" s="51">
        <v>20000</v>
      </c>
      <c r="BV86" s="30" t="str">
        <f t="shared" si="202"/>
        <v>10000.01-20000</v>
      </c>
      <c r="BW86" s="30" t="s">
        <v>497</v>
      </c>
      <c r="BX86" s="107">
        <v>0.20500000000000002</v>
      </c>
      <c r="BY86" s="107">
        <v>0.20500000000000002</v>
      </c>
      <c r="BZ86" s="107">
        <v>0.20499999999999999</v>
      </c>
      <c r="CA86" s="107">
        <v>0.20499999999999999</v>
      </c>
      <c r="CB86" s="107">
        <v>0.20499999999999999</v>
      </c>
      <c r="CC86" s="107">
        <v>0.20499999999999999</v>
      </c>
      <c r="CD86" s="107">
        <v>0.20499999999999999</v>
      </c>
      <c r="CE86" s="30" t="s">
        <v>497</v>
      </c>
      <c r="CF86" s="107">
        <v>2.5000000000000001E-2</v>
      </c>
      <c r="CG86" s="107">
        <v>2.1000000000000001E-2</v>
      </c>
      <c r="CS86" s="108">
        <f t="shared" si="29"/>
        <v>107.15</v>
      </c>
      <c r="CT86" s="109">
        <f t="shared" si="30"/>
        <v>73.050000000000011</v>
      </c>
      <c r="CU86" s="109">
        <f t="shared" si="31"/>
        <v>34.1</v>
      </c>
      <c r="CV86" s="110">
        <f t="shared" si="32"/>
        <v>1087.8700000000003</v>
      </c>
      <c r="CX86" s="108">
        <f t="shared" si="33"/>
        <v>0.75</v>
      </c>
      <c r="CY86" s="109">
        <f t="shared" si="113"/>
        <v>0.51</v>
      </c>
      <c r="CZ86" s="109">
        <f t="shared" si="34"/>
        <v>0.24</v>
      </c>
      <c r="DA86" s="110">
        <f t="shared" si="35"/>
        <v>7.6100000000003494</v>
      </c>
      <c r="DC86" s="108">
        <f t="shared" si="114"/>
        <v>107.57000000000001</v>
      </c>
      <c r="DD86" s="109">
        <f t="shared" si="115"/>
        <v>73.540000000000006</v>
      </c>
      <c r="DE86" s="109">
        <f t="shared" si="36"/>
        <v>34.03</v>
      </c>
      <c r="DF86" s="110">
        <f t="shared" si="37"/>
        <v>1085.1500000000001</v>
      </c>
      <c r="DH86" s="108">
        <f t="shared" si="38"/>
        <v>0.06</v>
      </c>
      <c r="DI86" s="109">
        <f t="shared" si="39"/>
        <v>3.9999999999999994E-2</v>
      </c>
      <c r="DJ86" s="109">
        <f t="shared" si="40"/>
        <v>0.02</v>
      </c>
      <c r="DK86" s="110">
        <f t="shared" si="41"/>
        <v>0.54999999999992077</v>
      </c>
      <c r="DM86" s="108">
        <f t="shared" si="116"/>
        <v>107.61000000000001</v>
      </c>
      <c r="DN86" s="109">
        <f t="shared" si="117"/>
        <v>73.59</v>
      </c>
      <c r="DO86" s="109">
        <f t="shared" si="42"/>
        <v>34.020000000000003</v>
      </c>
      <c r="DP86" s="110">
        <f t="shared" si="185"/>
        <v>1084.9000000000003</v>
      </c>
      <c r="DR86" s="108">
        <f t="shared" si="43"/>
        <v>-0.01</v>
      </c>
      <c r="DS86" s="109">
        <f t="shared" si="118"/>
        <v>-0.01</v>
      </c>
      <c r="DT86" s="109">
        <f t="shared" si="44"/>
        <v>0</v>
      </c>
      <c r="DU86" s="110">
        <f t="shared" si="119"/>
        <v>-5.0000000000013659E-2</v>
      </c>
      <c r="DW86" s="108">
        <f t="shared" si="120"/>
        <v>107.60000000000001</v>
      </c>
      <c r="DX86" s="109">
        <f t="shared" si="121"/>
        <v>73.570000000000007</v>
      </c>
      <c r="DY86" s="109">
        <f t="shared" si="45"/>
        <v>34.03</v>
      </c>
      <c r="DZ86" s="110">
        <f t="shared" si="186"/>
        <v>1084.9700000000003</v>
      </c>
      <c r="EB86" s="108">
        <f t="shared" si="46"/>
        <v>0</v>
      </c>
      <c r="EC86" s="109">
        <f t="shared" si="122"/>
        <v>0</v>
      </c>
      <c r="ED86" s="109">
        <f t="shared" si="47"/>
        <v>0</v>
      </c>
      <c r="EE86" s="110">
        <f t="shared" si="123"/>
        <v>0</v>
      </c>
      <c r="EG86" s="108">
        <f t="shared" si="124"/>
        <v>107.60000000000001</v>
      </c>
      <c r="EH86" s="109">
        <f t="shared" si="125"/>
        <v>73.570000000000007</v>
      </c>
      <c r="EI86" s="109">
        <f t="shared" si="48"/>
        <v>34.03</v>
      </c>
      <c r="EJ86" s="110">
        <f t="shared" si="187"/>
        <v>1084.9700000000003</v>
      </c>
      <c r="EL86" s="108">
        <f t="shared" si="49"/>
        <v>0</v>
      </c>
      <c r="EM86" s="109">
        <f t="shared" si="126"/>
        <v>0</v>
      </c>
      <c r="EN86" s="109">
        <f t="shared" si="50"/>
        <v>0</v>
      </c>
      <c r="EO86" s="110">
        <f t="shared" si="127"/>
        <v>0</v>
      </c>
      <c r="EQ86" s="108">
        <f t="shared" si="128"/>
        <v>107.60000000000001</v>
      </c>
      <c r="ER86" s="109">
        <f t="shared" si="129"/>
        <v>73.570000000000007</v>
      </c>
      <c r="ES86" s="109">
        <f t="shared" si="51"/>
        <v>34.03</v>
      </c>
      <c r="ET86" s="110">
        <f t="shared" si="188"/>
        <v>1084.9700000000003</v>
      </c>
      <c r="EV86" s="108">
        <f t="shared" si="52"/>
        <v>0</v>
      </c>
      <c r="EW86" s="109">
        <f t="shared" si="130"/>
        <v>0</v>
      </c>
      <c r="EX86" s="109">
        <f t="shared" si="53"/>
        <v>0</v>
      </c>
      <c r="EY86" s="110">
        <f t="shared" si="131"/>
        <v>0</v>
      </c>
      <c r="FA86" s="108">
        <f t="shared" si="132"/>
        <v>107.60000000000001</v>
      </c>
      <c r="FB86" s="109">
        <f t="shared" si="133"/>
        <v>73.570000000000007</v>
      </c>
      <c r="FC86" s="109">
        <f t="shared" si="54"/>
        <v>34.03</v>
      </c>
      <c r="FD86" s="110">
        <f t="shared" si="189"/>
        <v>1084.9700000000003</v>
      </c>
      <c r="FF86" s="108">
        <f t="shared" si="55"/>
        <v>0</v>
      </c>
      <c r="FG86" s="109">
        <f t="shared" si="134"/>
        <v>0</v>
      </c>
      <c r="FH86" s="109">
        <f t="shared" si="56"/>
        <v>0</v>
      </c>
      <c r="FI86" s="110">
        <f t="shared" si="135"/>
        <v>0</v>
      </c>
      <c r="FK86" s="108">
        <f t="shared" si="136"/>
        <v>107.60000000000001</v>
      </c>
      <c r="FL86" s="109">
        <f t="shared" si="137"/>
        <v>73.570000000000007</v>
      </c>
      <c r="FM86" s="109">
        <f t="shared" si="57"/>
        <v>34.03</v>
      </c>
      <c r="FN86" s="110">
        <f t="shared" si="190"/>
        <v>1084.9700000000003</v>
      </c>
      <c r="FP86" s="108">
        <f t="shared" si="58"/>
        <v>0</v>
      </c>
      <c r="FQ86" s="109">
        <f t="shared" si="138"/>
        <v>0</v>
      </c>
      <c r="FR86" s="109">
        <f t="shared" si="59"/>
        <v>0</v>
      </c>
      <c r="FS86" s="110">
        <f t="shared" si="139"/>
        <v>0</v>
      </c>
      <c r="FU86" s="108">
        <f t="shared" si="140"/>
        <v>107.60000000000001</v>
      </c>
      <c r="FV86" s="109">
        <f t="shared" si="141"/>
        <v>73.570000000000007</v>
      </c>
      <c r="FW86" s="109">
        <f t="shared" si="60"/>
        <v>34.03</v>
      </c>
      <c r="FX86" s="110">
        <f t="shared" si="191"/>
        <v>1084.9700000000003</v>
      </c>
      <c r="FZ86" s="108">
        <f t="shared" si="61"/>
        <v>0</v>
      </c>
      <c r="GA86" s="109">
        <f t="shared" si="142"/>
        <v>0</v>
      </c>
      <c r="GB86" s="109">
        <f t="shared" si="62"/>
        <v>0</v>
      </c>
      <c r="GC86" s="110">
        <f t="shared" si="143"/>
        <v>0</v>
      </c>
      <c r="GE86" s="108">
        <f t="shared" si="144"/>
        <v>107.60000000000001</v>
      </c>
      <c r="GF86" s="109">
        <f t="shared" si="145"/>
        <v>73.570000000000007</v>
      </c>
      <c r="GG86" s="109">
        <f t="shared" si="146"/>
        <v>34.03</v>
      </c>
      <c r="GH86" s="110">
        <f t="shared" si="192"/>
        <v>1084.9700000000003</v>
      </c>
      <c r="GL86" s="108">
        <f t="shared" si="63"/>
        <v>193.01</v>
      </c>
      <c r="GM86" s="109">
        <f t="shared" si="64"/>
        <v>193.01</v>
      </c>
      <c r="GN86" s="109">
        <f t="shared" si="65"/>
        <v>0</v>
      </c>
      <c r="GO86" s="110">
        <f t="shared" si="66"/>
        <v>841.94</v>
      </c>
      <c r="GP86" s="51"/>
      <c r="GQ86" s="108">
        <f t="shared" si="67"/>
        <v>0</v>
      </c>
      <c r="GR86" s="109">
        <f t="shared" si="147"/>
        <v>0</v>
      </c>
      <c r="GS86" s="109">
        <f t="shared" si="68"/>
        <v>0</v>
      </c>
      <c r="GT86" s="110">
        <f t="shared" si="69"/>
        <v>0</v>
      </c>
      <c r="GU86" s="51"/>
      <c r="GV86" s="108">
        <f t="shared" si="148"/>
        <v>193.01</v>
      </c>
      <c r="GW86" s="109">
        <f t="shared" si="149"/>
        <v>193.01</v>
      </c>
      <c r="GX86" s="109">
        <f t="shared" si="70"/>
        <v>0</v>
      </c>
      <c r="GY86" s="110">
        <f t="shared" si="150"/>
        <v>841.94</v>
      </c>
      <c r="GZ86" s="51"/>
      <c r="HA86" s="108">
        <f t="shared" si="71"/>
        <v>0</v>
      </c>
      <c r="HB86" s="109">
        <f t="shared" si="151"/>
        <v>0</v>
      </c>
      <c r="HC86" s="109">
        <f t="shared" si="72"/>
        <v>0</v>
      </c>
      <c r="HD86" s="110">
        <f t="shared" si="193"/>
        <v>0</v>
      </c>
      <c r="HE86" s="51"/>
      <c r="HF86" s="108">
        <f t="shared" si="152"/>
        <v>193.01</v>
      </c>
      <c r="HG86" s="109">
        <f t="shared" si="153"/>
        <v>193.01</v>
      </c>
      <c r="HH86" s="109">
        <f t="shared" si="73"/>
        <v>0</v>
      </c>
      <c r="HI86" s="110">
        <f t="shared" si="154"/>
        <v>841.94</v>
      </c>
      <c r="HJ86" s="51"/>
      <c r="HK86" s="108">
        <f t="shared" si="74"/>
        <v>0</v>
      </c>
      <c r="HL86" s="109">
        <f t="shared" si="155"/>
        <v>0</v>
      </c>
      <c r="HM86" s="109">
        <f t="shared" si="75"/>
        <v>0</v>
      </c>
      <c r="HN86" s="110">
        <f t="shared" si="194"/>
        <v>0</v>
      </c>
      <c r="HO86" s="51"/>
      <c r="HP86" s="108">
        <f t="shared" si="156"/>
        <v>193.01</v>
      </c>
      <c r="HQ86" s="109">
        <f t="shared" si="157"/>
        <v>193.01</v>
      </c>
      <c r="HR86" s="109">
        <f t="shared" si="76"/>
        <v>0</v>
      </c>
      <c r="HS86" s="110">
        <f t="shared" si="158"/>
        <v>841.94</v>
      </c>
      <c r="HT86" s="51"/>
      <c r="HU86" s="108">
        <f t="shared" si="77"/>
        <v>0</v>
      </c>
      <c r="HV86" s="109">
        <f t="shared" si="159"/>
        <v>0</v>
      </c>
      <c r="HW86" s="109">
        <f t="shared" si="78"/>
        <v>0</v>
      </c>
      <c r="HX86" s="110">
        <f t="shared" si="195"/>
        <v>0</v>
      </c>
      <c r="HY86" s="51"/>
      <c r="HZ86" s="108">
        <f t="shared" si="160"/>
        <v>193.01</v>
      </c>
      <c r="IA86" s="109">
        <f t="shared" si="161"/>
        <v>193.01</v>
      </c>
      <c r="IB86" s="109">
        <f t="shared" si="79"/>
        <v>0</v>
      </c>
      <c r="IC86" s="110">
        <f t="shared" si="162"/>
        <v>841.94</v>
      </c>
      <c r="ID86" s="51"/>
      <c r="IE86" s="108">
        <f t="shared" si="80"/>
        <v>0</v>
      </c>
      <c r="IF86" s="109">
        <f t="shared" si="163"/>
        <v>0</v>
      </c>
      <c r="IG86" s="109">
        <f t="shared" si="81"/>
        <v>0</v>
      </c>
      <c r="IH86" s="110">
        <f t="shared" si="196"/>
        <v>0</v>
      </c>
      <c r="II86" s="51"/>
      <c r="IJ86" s="108">
        <f t="shared" si="164"/>
        <v>193.01</v>
      </c>
      <c r="IK86" s="109">
        <f t="shared" si="165"/>
        <v>193.01</v>
      </c>
      <c r="IL86" s="109">
        <f t="shared" si="82"/>
        <v>0</v>
      </c>
      <c r="IM86" s="110">
        <f t="shared" si="166"/>
        <v>841.94</v>
      </c>
      <c r="IN86" s="51"/>
      <c r="IO86" s="108">
        <f t="shared" si="83"/>
        <v>0</v>
      </c>
      <c r="IP86" s="109">
        <f t="shared" si="167"/>
        <v>0</v>
      </c>
      <c r="IQ86" s="109">
        <f t="shared" si="84"/>
        <v>0</v>
      </c>
      <c r="IR86" s="110">
        <f t="shared" si="197"/>
        <v>0</v>
      </c>
      <c r="IS86" s="51"/>
      <c r="IT86" s="108">
        <f t="shared" si="168"/>
        <v>193.01</v>
      </c>
      <c r="IU86" s="109">
        <f t="shared" si="169"/>
        <v>193.01</v>
      </c>
      <c r="IV86" s="109">
        <f t="shared" si="85"/>
        <v>0</v>
      </c>
      <c r="IW86" s="110">
        <f t="shared" si="170"/>
        <v>841.94</v>
      </c>
      <c r="IX86" s="51"/>
      <c r="IY86" s="108">
        <f t="shared" si="86"/>
        <v>0</v>
      </c>
      <c r="IZ86" s="109">
        <f t="shared" si="171"/>
        <v>0</v>
      </c>
      <c r="JA86" s="109">
        <f t="shared" si="87"/>
        <v>0</v>
      </c>
      <c r="JB86" s="110">
        <f t="shared" si="198"/>
        <v>0</v>
      </c>
      <c r="JC86" s="51"/>
      <c r="JD86" s="108">
        <f t="shared" si="172"/>
        <v>193.01</v>
      </c>
      <c r="JE86" s="109">
        <f t="shared" si="173"/>
        <v>193.01</v>
      </c>
      <c r="JF86" s="109">
        <f t="shared" si="88"/>
        <v>0</v>
      </c>
      <c r="JG86" s="110">
        <f t="shared" si="174"/>
        <v>841.94</v>
      </c>
      <c r="JH86" s="51"/>
      <c r="JI86" s="108">
        <f t="shared" si="89"/>
        <v>0</v>
      </c>
      <c r="JJ86" s="109">
        <f t="shared" si="175"/>
        <v>0</v>
      </c>
      <c r="JK86" s="109">
        <f t="shared" si="90"/>
        <v>0</v>
      </c>
      <c r="JL86" s="110">
        <f t="shared" si="199"/>
        <v>0</v>
      </c>
      <c r="JM86" s="51"/>
      <c r="JN86" s="108">
        <f t="shared" si="176"/>
        <v>193.01</v>
      </c>
      <c r="JO86" s="109">
        <f t="shared" si="177"/>
        <v>193.01</v>
      </c>
      <c r="JP86" s="109">
        <f t="shared" si="91"/>
        <v>0</v>
      </c>
      <c r="JQ86" s="110">
        <f t="shared" si="178"/>
        <v>841.94</v>
      </c>
      <c r="JR86" s="51"/>
      <c r="JS86" s="108">
        <f t="shared" si="92"/>
        <v>0</v>
      </c>
      <c r="JT86" s="109">
        <f t="shared" si="179"/>
        <v>0</v>
      </c>
      <c r="JU86" s="109">
        <f t="shared" si="93"/>
        <v>0</v>
      </c>
      <c r="JV86" s="110">
        <f t="shared" si="200"/>
        <v>0</v>
      </c>
      <c r="JW86" s="51"/>
      <c r="JX86" s="108">
        <f t="shared" si="180"/>
        <v>193.01</v>
      </c>
      <c r="JY86" s="109">
        <f t="shared" si="181"/>
        <v>193.01</v>
      </c>
      <c r="JZ86" s="109">
        <f t="shared" si="94"/>
        <v>0</v>
      </c>
      <c r="KA86" s="110">
        <f t="shared" si="95"/>
        <v>841.94</v>
      </c>
    </row>
    <row r="87" spans="1:287" ht="12" customHeight="1">
      <c r="A87" s="105">
        <f t="array" ref="A87">MAX(IF($J$80:J86&gt;0,$C$80:C86,0))</f>
        <v>43536</v>
      </c>
      <c r="B87" s="81">
        <f t="shared" si="4"/>
        <v>7</v>
      </c>
      <c r="C87" s="82">
        <f t="shared" si="182"/>
        <v>43753</v>
      </c>
      <c r="D87" s="83">
        <f t="shared" si="5"/>
        <v>108.12</v>
      </c>
      <c r="E87" s="83">
        <f t="shared" si="96"/>
        <v>0.52</v>
      </c>
      <c r="F87" s="83">
        <f t="shared" si="6"/>
        <v>78.720000000000013</v>
      </c>
      <c r="G87" s="83">
        <f t="shared" si="7"/>
        <v>28.88</v>
      </c>
      <c r="H87" s="83">
        <f t="shared" si="8"/>
        <v>1006.2500000000002</v>
      </c>
      <c r="I87" s="105">
        <f t="array" ref="I87">MAX(IF($R$80:R86&gt;0,$L$80:L86,0))</f>
        <v>0</v>
      </c>
      <c r="J87" s="106"/>
      <c r="K87" s="69">
        <f t="shared" si="9"/>
        <v>7</v>
      </c>
      <c r="L87" s="82">
        <f t="shared" si="183"/>
        <v>0</v>
      </c>
      <c r="M87" s="83">
        <f t="shared" si="97"/>
        <v>193.01</v>
      </c>
      <c r="N87" s="83">
        <f t="shared" si="10"/>
        <v>0</v>
      </c>
      <c r="O87" s="83" t="str">
        <f t="shared" si="11"/>
        <v/>
      </c>
      <c r="P87" s="83">
        <f t="shared" si="12"/>
        <v>0</v>
      </c>
      <c r="Q87" s="83">
        <f t="shared" si="13"/>
        <v>648.93000000000006</v>
      </c>
      <c r="R87" s="106"/>
      <c r="S87" s="66"/>
      <c r="U87" s="85" t="e">
        <f t="shared" si="0"/>
        <v>#NUM!</v>
      </c>
      <c r="V87" s="86" t="e">
        <f t="shared" si="98"/>
        <v>#NUM!</v>
      </c>
      <c r="W87" s="87" t="e">
        <f t="shared" si="14"/>
        <v>#NUM!</v>
      </c>
      <c r="X87" s="87" t="e">
        <f t="shared" si="15"/>
        <v>#NUM!</v>
      </c>
      <c r="Y87" s="87" t="e">
        <f t="shared" si="16"/>
        <v>#NUM!</v>
      </c>
      <c r="Z87" s="88" t="e">
        <f t="shared" si="1"/>
        <v>#NUM!</v>
      </c>
      <c r="AB87" s="89">
        <f t="shared" si="99"/>
        <v>108.12</v>
      </c>
      <c r="AC87" s="87">
        <f t="shared" si="100"/>
        <v>118.13</v>
      </c>
      <c r="AD87" s="87" t="str">
        <f t="shared" si="17"/>
        <v/>
      </c>
      <c r="AE87" s="87" t="str">
        <f t="shared" si="18"/>
        <v/>
      </c>
      <c r="AF87" s="86">
        <f t="shared" si="101"/>
        <v>43750</v>
      </c>
      <c r="AG87" s="87">
        <f t="shared" si="2"/>
        <v>1.5</v>
      </c>
      <c r="AH87" s="87">
        <f t="shared" si="102"/>
        <v>0.52</v>
      </c>
      <c r="AI87" s="90"/>
      <c r="AJ87" s="87" t="e">
        <f t="shared" si="19"/>
        <v>#NUM!</v>
      </c>
      <c r="AK87" s="87" t="e">
        <f t="shared" si="103"/>
        <v>#NUM!</v>
      </c>
      <c r="AL87" s="87" t="e">
        <f t="shared" si="104"/>
        <v>#NUM!</v>
      </c>
      <c r="AM87" s="87" t="e">
        <f t="shared" si="105"/>
        <v>#NUM!</v>
      </c>
      <c r="AN87" s="86">
        <f t="shared" si="20"/>
        <v>0</v>
      </c>
      <c r="AO87" s="87">
        <f t="shared" si="21"/>
        <v>0</v>
      </c>
      <c r="AP87" s="88">
        <f t="shared" si="22"/>
        <v>0</v>
      </c>
      <c r="AR87" s="89">
        <f t="shared" si="23"/>
        <v>108.12</v>
      </c>
      <c r="AS87" s="87">
        <f t="shared" si="24"/>
        <v>118.13</v>
      </c>
      <c r="AT87" s="87" t="str">
        <f t="shared" si="25"/>
        <v/>
      </c>
      <c r="AU87" s="87" t="str">
        <f t="shared" si="26"/>
        <v/>
      </c>
      <c r="AV87" s="86">
        <f t="shared" si="106"/>
        <v>43750</v>
      </c>
      <c r="AW87" s="87">
        <f t="shared" si="107"/>
        <v>1.5</v>
      </c>
      <c r="AX87" s="87">
        <f t="shared" si="108"/>
        <v>0.52</v>
      </c>
      <c r="AY87" s="93"/>
      <c r="AZ87" s="87">
        <f t="shared" si="201"/>
        <v>0</v>
      </c>
      <c r="BA87" s="87">
        <f t="shared" si="109"/>
        <v>0</v>
      </c>
      <c r="BB87" s="87">
        <f t="shared" si="110"/>
        <v>0</v>
      </c>
      <c r="BC87" s="87">
        <f t="shared" si="184"/>
        <v>0</v>
      </c>
      <c r="BD87" s="86" t="e">
        <f t="shared" si="27"/>
        <v>#NUM!</v>
      </c>
      <c r="BE87" s="87" t="e">
        <f t="shared" si="3"/>
        <v>#NUM!</v>
      </c>
      <c r="BF87" s="88">
        <f t="shared" si="111"/>
        <v>0</v>
      </c>
      <c r="BH87" s="87" t="e">
        <f t="shared" si="28"/>
        <v>#NUM!</v>
      </c>
      <c r="BI87" s="51"/>
      <c r="BK87" s="95">
        <v>39577</v>
      </c>
      <c r="BL87" s="96">
        <v>8</v>
      </c>
      <c r="BM87" s="96">
        <v>8</v>
      </c>
      <c r="BP87" t="s">
        <v>274</v>
      </c>
      <c r="BT87" s="51">
        <v>20000.009999999998</v>
      </c>
      <c r="BU87" s="51">
        <v>30000</v>
      </c>
      <c r="BV87" s="30" t="str">
        <f t="shared" si="202"/>
        <v>20000.01-30000</v>
      </c>
      <c r="BW87" s="30" t="s">
        <v>497</v>
      </c>
      <c r="BX87" s="30">
        <v>0.2</v>
      </c>
      <c r="BY87" s="107">
        <v>0.2</v>
      </c>
      <c r="BZ87" s="107">
        <v>0.2</v>
      </c>
      <c r="CA87" s="107">
        <v>0.23499999999999999</v>
      </c>
      <c r="CB87" s="107">
        <v>0.24</v>
      </c>
      <c r="CC87" s="107">
        <v>0.245</v>
      </c>
      <c r="CD87" s="107">
        <v>0.25</v>
      </c>
      <c r="CE87" s="30" t="s">
        <v>497</v>
      </c>
      <c r="CF87" s="107">
        <v>2.5000000000000001E-2</v>
      </c>
      <c r="CG87" s="107">
        <v>1.6E-2</v>
      </c>
      <c r="CS87" s="108">
        <f t="shared" si="29"/>
        <v>107.15</v>
      </c>
      <c r="CT87" s="109">
        <f t="shared" si="30"/>
        <v>78.19</v>
      </c>
      <c r="CU87" s="109">
        <f t="shared" si="31"/>
        <v>28.96</v>
      </c>
      <c r="CV87" s="110">
        <f t="shared" si="32"/>
        <v>1009.6800000000003</v>
      </c>
      <c r="CX87" s="108">
        <f t="shared" si="33"/>
        <v>0.75</v>
      </c>
      <c r="CY87" s="109">
        <f t="shared" si="113"/>
        <v>0.55000000000000004</v>
      </c>
      <c r="CZ87" s="109">
        <f t="shared" si="34"/>
        <v>0.2</v>
      </c>
      <c r="DA87" s="110">
        <f t="shared" si="35"/>
        <v>7.0600000000003496</v>
      </c>
      <c r="DC87" s="108">
        <f t="shared" si="114"/>
        <v>107.57000000000001</v>
      </c>
      <c r="DD87" s="109">
        <f t="shared" si="115"/>
        <v>78.690000000000012</v>
      </c>
      <c r="DE87" s="109">
        <f t="shared" si="36"/>
        <v>28.88</v>
      </c>
      <c r="DF87" s="110">
        <f t="shared" si="37"/>
        <v>1006.46</v>
      </c>
      <c r="DH87" s="108">
        <f t="shared" si="38"/>
        <v>0.06</v>
      </c>
      <c r="DI87" s="109">
        <f t="shared" si="39"/>
        <v>4.9999999999999996E-2</v>
      </c>
      <c r="DJ87" s="109">
        <f t="shared" si="40"/>
        <v>0.01</v>
      </c>
      <c r="DK87" s="110">
        <f t="shared" si="41"/>
        <v>0.49999999999992079</v>
      </c>
      <c r="DM87" s="108">
        <f t="shared" si="116"/>
        <v>107.61000000000001</v>
      </c>
      <c r="DN87" s="109">
        <f t="shared" si="117"/>
        <v>78.730000000000018</v>
      </c>
      <c r="DO87" s="109">
        <f t="shared" si="42"/>
        <v>28.88</v>
      </c>
      <c r="DP87" s="110">
        <f t="shared" si="185"/>
        <v>1006.1700000000003</v>
      </c>
      <c r="DR87" s="108">
        <f t="shared" si="43"/>
        <v>-0.01</v>
      </c>
      <c r="DS87" s="109">
        <f t="shared" si="118"/>
        <v>-0.01</v>
      </c>
      <c r="DT87" s="109">
        <f t="shared" si="44"/>
        <v>0</v>
      </c>
      <c r="DU87" s="110">
        <f t="shared" si="119"/>
        <v>-4.0000000000013657E-2</v>
      </c>
      <c r="DW87" s="108">
        <f t="shared" si="120"/>
        <v>107.60000000000001</v>
      </c>
      <c r="DX87" s="109">
        <f t="shared" si="121"/>
        <v>78.720000000000013</v>
      </c>
      <c r="DY87" s="109">
        <f t="shared" si="45"/>
        <v>28.88</v>
      </c>
      <c r="DZ87" s="110">
        <f t="shared" si="186"/>
        <v>1006.2500000000002</v>
      </c>
      <c r="EB87" s="108">
        <f t="shared" si="46"/>
        <v>0</v>
      </c>
      <c r="EC87" s="109">
        <f t="shared" si="122"/>
        <v>0</v>
      </c>
      <c r="ED87" s="109">
        <f t="shared" si="47"/>
        <v>0</v>
      </c>
      <c r="EE87" s="110">
        <f t="shared" si="123"/>
        <v>0</v>
      </c>
      <c r="EG87" s="108">
        <f t="shared" si="124"/>
        <v>107.60000000000001</v>
      </c>
      <c r="EH87" s="109">
        <f t="shared" si="125"/>
        <v>78.720000000000013</v>
      </c>
      <c r="EI87" s="109">
        <f t="shared" si="48"/>
        <v>28.88</v>
      </c>
      <c r="EJ87" s="110">
        <f t="shared" si="187"/>
        <v>1006.2500000000002</v>
      </c>
      <c r="EL87" s="108">
        <f t="shared" si="49"/>
        <v>0</v>
      </c>
      <c r="EM87" s="109">
        <f t="shared" si="126"/>
        <v>0</v>
      </c>
      <c r="EN87" s="109">
        <f t="shared" si="50"/>
        <v>0</v>
      </c>
      <c r="EO87" s="110">
        <f t="shared" si="127"/>
        <v>0</v>
      </c>
      <c r="EQ87" s="108">
        <f t="shared" si="128"/>
        <v>107.60000000000001</v>
      </c>
      <c r="ER87" s="109">
        <f t="shared" si="129"/>
        <v>78.720000000000013</v>
      </c>
      <c r="ES87" s="109">
        <f t="shared" si="51"/>
        <v>28.88</v>
      </c>
      <c r="ET87" s="110">
        <f t="shared" si="188"/>
        <v>1006.2500000000002</v>
      </c>
      <c r="EV87" s="108">
        <f t="shared" si="52"/>
        <v>0</v>
      </c>
      <c r="EW87" s="109">
        <f t="shared" si="130"/>
        <v>0</v>
      </c>
      <c r="EX87" s="109">
        <f t="shared" si="53"/>
        <v>0</v>
      </c>
      <c r="EY87" s="110">
        <f t="shared" si="131"/>
        <v>0</v>
      </c>
      <c r="FA87" s="108">
        <f t="shared" si="132"/>
        <v>107.60000000000001</v>
      </c>
      <c r="FB87" s="109">
        <f t="shared" si="133"/>
        <v>78.720000000000013</v>
      </c>
      <c r="FC87" s="109">
        <f t="shared" si="54"/>
        <v>28.88</v>
      </c>
      <c r="FD87" s="110">
        <f t="shared" si="189"/>
        <v>1006.2500000000002</v>
      </c>
      <c r="FF87" s="108">
        <f t="shared" si="55"/>
        <v>0</v>
      </c>
      <c r="FG87" s="109">
        <f t="shared" si="134"/>
        <v>0</v>
      </c>
      <c r="FH87" s="109">
        <f t="shared" si="56"/>
        <v>0</v>
      </c>
      <c r="FI87" s="110">
        <f t="shared" si="135"/>
        <v>0</v>
      </c>
      <c r="FK87" s="108">
        <f t="shared" si="136"/>
        <v>107.60000000000001</v>
      </c>
      <c r="FL87" s="109">
        <f t="shared" si="137"/>
        <v>78.720000000000013</v>
      </c>
      <c r="FM87" s="109">
        <f t="shared" si="57"/>
        <v>28.88</v>
      </c>
      <c r="FN87" s="110">
        <f t="shared" si="190"/>
        <v>1006.2500000000002</v>
      </c>
      <c r="FP87" s="108">
        <f t="shared" si="58"/>
        <v>0</v>
      </c>
      <c r="FQ87" s="109">
        <f t="shared" si="138"/>
        <v>0</v>
      </c>
      <c r="FR87" s="109">
        <f t="shared" si="59"/>
        <v>0</v>
      </c>
      <c r="FS87" s="110">
        <f t="shared" si="139"/>
        <v>0</v>
      </c>
      <c r="FU87" s="108">
        <f t="shared" si="140"/>
        <v>107.60000000000001</v>
      </c>
      <c r="FV87" s="109">
        <f t="shared" si="141"/>
        <v>78.720000000000013</v>
      </c>
      <c r="FW87" s="109">
        <f t="shared" si="60"/>
        <v>28.88</v>
      </c>
      <c r="FX87" s="110">
        <f t="shared" si="191"/>
        <v>1006.2500000000002</v>
      </c>
      <c r="FZ87" s="108">
        <f t="shared" si="61"/>
        <v>0</v>
      </c>
      <c r="GA87" s="109">
        <f t="shared" si="142"/>
        <v>0</v>
      </c>
      <c r="GB87" s="109">
        <f t="shared" si="62"/>
        <v>0</v>
      </c>
      <c r="GC87" s="110">
        <f t="shared" si="143"/>
        <v>0</v>
      </c>
      <c r="GE87" s="108">
        <f t="shared" si="144"/>
        <v>107.60000000000001</v>
      </c>
      <c r="GF87" s="109">
        <f t="shared" si="145"/>
        <v>78.720000000000013</v>
      </c>
      <c r="GG87" s="109">
        <f t="shared" si="146"/>
        <v>28.88</v>
      </c>
      <c r="GH87" s="110">
        <f t="shared" si="192"/>
        <v>1006.2500000000002</v>
      </c>
      <c r="GL87" s="108">
        <f t="shared" si="63"/>
        <v>193.01</v>
      </c>
      <c r="GM87" s="109">
        <f t="shared" si="64"/>
        <v>193.01</v>
      </c>
      <c r="GN87" s="109">
        <f t="shared" si="65"/>
        <v>0</v>
      </c>
      <c r="GO87" s="110">
        <f t="shared" si="66"/>
        <v>648.93000000000006</v>
      </c>
      <c r="GP87" s="51"/>
      <c r="GQ87" s="108">
        <f t="shared" si="67"/>
        <v>0</v>
      </c>
      <c r="GR87" s="109">
        <f t="shared" si="147"/>
        <v>0</v>
      </c>
      <c r="GS87" s="109">
        <f t="shared" si="68"/>
        <v>0</v>
      </c>
      <c r="GT87" s="110">
        <f t="shared" si="69"/>
        <v>0</v>
      </c>
      <c r="GU87" s="51"/>
      <c r="GV87" s="108">
        <f t="shared" si="148"/>
        <v>193.01</v>
      </c>
      <c r="GW87" s="109">
        <f t="shared" si="149"/>
        <v>193.01</v>
      </c>
      <c r="GX87" s="109">
        <f t="shared" si="70"/>
        <v>0</v>
      </c>
      <c r="GY87" s="110">
        <f t="shared" si="150"/>
        <v>648.93000000000006</v>
      </c>
      <c r="GZ87" s="51"/>
      <c r="HA87" s="108">
        <f t="shared" si="71"/>
        <v>0</v>
      </c>
      <c r="HB87" s="109">
        <f t="shared" si="151"/>
        <v>0</v>
      </c>
      <c r="HC87" s="109">
        <f t="shared" si="72"/>
        <v>0</v>
      </c>
      <c r="HD87" s="110">
        <f t="shared" si="193"/>
        <v>0</v>
      </c>
      <c r="HE87" s="51"/>
      <c r="HF87" s="108">
        <f t="shared" si="152"/>
        <v>193.01</v>
      </c>
      <c r="HG87" s="109">
        <f t="shared" si="153"/>
        <v>193.01</v>
      </c>
      <c r="HH87" s="109">
        <f t="shared" si="73"/>
        <v>0</v>
      </c>
      <c r="HI87" s="110">
        <f t="shared" si="154"/>
        <v>648.93000000000006</v>
      </c>
      <c r="HJ87" s="51"/>
      <c r="HK87" s="108">
        <f t="shared" si="74"/>
        <v>0</v>
      </c>
      <c r="HL87" s="109">
        <f t="shared" si="155"/>
        <v>0</v>
      </c>
      <c r="HM87" s="109">
        <f t="shared" si="75"/>
        <v>0</v>
      </c>
      <c r="HN87" s="110">
        <f t="shared" si="194"/>
        <v>0</v>
      </c>
      <c r="HO87" s="51"/>
      <c r="HP87" s="108">
        <f t="shared" si="156"/>
        <v>193.01</v>
      </c>
      <c r="HQ87" s="109">
        <f t="shared" si="157"/>
        <v>193.01</v>
      </c>
      <c r="HR87" s="109">
        <f t="shared" si="76"/>
        <v>0</v>
      </c>
      <c r="HS87" s="110">
        <f t="shared" si="158"/>
        <v>648.93000000000006</v>
      </c>
      <c r="HT87" s="51"/>
      <c r="HU87" s="108">
        <f t="shared" si="77"/>
        <v>0</v>
      </c>
      <c r="HV87" s="109">
        <f t="shared" si="159"/>
        <v>0</v>
      </c>
      <c r="HW87" s="109">
        <f t="shared" si="78"/>
        <v>0</v>
      </c>
      <c r="HX87" s="110">
        <f t="shared" si="195"/>
        <v>0</v>
      </c>
      <c r="HY87" s="51"/>
      <c r="HZ87" s="108">
        <f t="shared" si="160"/>
        <v>193.01</v>
      </c>
      <c r="IA87" s="109">
        <f t="shared" si="161"/>
        <v>193.01</v>
      </c>
      <c r="IB87" s="109">
        <f t="shared" si="79"/>
        <v>0</v>
      </c>
      <c r="IC87" s="110">
        <f t="shared" si="162"/>
        <v>648.93000000000006</v>
      </c>
      <c r="ID87" s="51"/>
      <c r="IE87" s="108">
        <f t="shared" si="80"/>
        <v>0</v>
      </c>
      <c r="IF87" s="109">
        <f t="shared" si="163"/>
        <v>0</v>
      </c>
      <c r="IG87" s="109">
        <f t="shared" si="81"/>
        <v>0</v>
      </c>
      <c r="IH87" s="110">
        <f t="shared" si="196"/>
        <v>0</v>
      </c>
      <c r="II87" s="51"/>
      <c r="IJ87" s="108">
        <f t="shared" si="164"/>
        <v>193.01</v>
      </c>
      <c r="IK87" s="109">
        <f t="shared" si="165"/>
        <v>193.01</v>
      </c>
      <c r="IL87" s="109">
        <f t="shared" si="82"/>
        <v>0</v>
      </c>
      <c r="IM87" s="110">
        <f t="shared" si="166"/>
        <v>648.93000000000006</v>
      </c>
      <c r="IN87" s="51"/>
      <c r="IO87" s="108">
        <f t="shared" si="83"/>
        <v>0</v>
      </c>
      <c r="IP87" s="109">
        <f t="shared" si="167"/>
        <v>0</v>
      </c>
      <c r="IQ87" s="109">
        <f t="shared" si="84"/>
        <v>0</v>
      </c>
      <c r="IR87" s="110">
        <f t="shared" si="197"/>
        <v>0</v>
      </c>
      <c r="IS87" s="51"/>
      <c r="IT87" s="108">
        <f t="shared" si="168"/>
        <v>193.01</v>
      </c>
      <c r="IU87" s="109">
        <f t="shared" si="169"/>
        <v>193.01</v>
      </c>
      <c r="IV87" s="109">
        <f t="shared" si="85"/>
        <v>0</v>
      </c>
      <c r="IW87" s="110">
        <f t="shared" si="170"/>
        <v>648.93000000000006</v>
      </c>
      <c r="IX87" s="51"/>
      <c r="IY87" s="108">
        <f t="shared" si="86"/>
        <v>0</v>
      </c>
      <c r="IZ87" s="109">
        <f t="shared" si="171"/>
        <v>0</v>
      </c>
      <c r="JA87" s="109">
        <f t="shared" si="87"/>
        <v>0</v>
      </c>
      <c r="JB87" s="110">
        <f t="shared" si="198"/>
        <v>0</v>
      </c>
      <c r="JC87" s="51"/>
      <c r="JD87" s="108">
        <f t="shared" si="172"/>
        <v>193.01</v>
      </c>
      <c r="JE87" s="109">
        <f t="shared" si="173"/>
        <v>193.01</v>
      </c>
      <c r="JF87" s="109">
        <f t="shared" si="88"/>
        <v>0</v>
      </c>
      <c r="JG87" s="110">
        <f t="shared" si="174"/>
        <v>648.93000000000006</v>
      </c>
      <c r="JH87" s="51"/>
      <c r="JI87" s="108">
        <f t="shared" si="89"/>
        <v>0</v>
      </c>
      <c r="JJ87" s="109">
        <f t="shared" si="175"/>
        <v>0</v>
      </c>
      <c r="JK87" s="109">
        <f t="shared" si="90"/>
        <v>0</v>
      </c>
      <c r="JL87" s="110">
        <f t="shared" si="199"/>
        <v>0</v>
      </c>
      <c r="JM87" s="51"/>
      <c r="JN87" s="108">
        <f t="shared" si="176"/>
        <v>193.01</v>
      </c>
      <c r="JO87" s="109">
        <f t="shared" si="177"/>
        <v>193.01</v>
      </c>
      <c r="JP87" s="109">
        <f t="shared" si="91"/>
        <v>0</v>
      </c>
      <c r="JQ87" s="110">
        <f t="shared" si="178"/>
        <v>648.93000000000006</v>
      </c>
      <c r="JR87" s="51"/>
      <c r="JS87" s="108">
        <f t="shared" si="92"/>
        <v>0</v>
      </c>
      <c r="JT87" s="109">
        <f t="shared" si="179"/>
        <v>0</v>
      </c>
      <c r="JU87" s="109">
        <f t="shared" si="93"/>
        <v>0</v>
      </c>
      <c r="JV87" s="110">
        <f t="shared" si="200"/>
        <v>0</v>
      </c>
      <c r="JW87" s="51"/>
      <c r="JX87" s="108">
        <f t="shared" si="180"/>
        <v>193.01</v>
      </c>
      <c r="JY87" s="109">
        <f t="shared" si="181"/>
        <v>193.01</v>
      </c>
      <c r="JZ87" s="109">
        <f t="shared" si="94"/>
        <v>0</v>
      </c>
      <c r="KA87" s="110">
        <f t="shared" si="95"/>
        <v>648.93000000000006</v>
      </c>
    </row>
    <row r="88" spans="1:287" ht="12" customHeight="1">
      <c r="A88" s="105">
        <f t="array" ref="A88">MAX(IF($J$80:J87&gt;0,$C$80:C87,0))</f>
        <v>43536</v>
      </c>
      <c r="B88" s="81">
        <f t="shared" si="4"/>
        <v>8</v>
      </c>
      <c r="C88" s="82">
        <f t="shared" si="182"/>
        <v>43784</v>
      </c>
      <c r="D88" s="83">
        <f t="shared" si="5"/>
        <v>108.11000000000001</v>
      </c>
      <c r="E88" s="83">
        <f t="shared" si="96"/>
        <v>0.51</v>
      </c>
      <c r="F88" s="83">
        <f t="shared" si="6"/>
        <v>78.970000000000013</v>
      </c>
      <c r="G88" s="83">
        <f t="shared" si="7"/>
        <v>28.63</v>
      </c>
      <c r="H88" s="83">
        <f t="shared" si="8"/>
        <v>927.2800000000002</v>
      </c>
      <c r="I88" s="105">
        <f t="array" ref="I88">MAX(IF($R$80:R87&gt;0,$L$80:L87,0))</f>
        <v>0</v>
      </c>
      <c r="J88" s="106"/>
      <c r="K88" s="69">
        <f t="shared" si="9"/>
        <v>8</v>
      </c>
      <c r="L88" s="82">
        <f t="shared" si="183"/>
        <v>0</v>
      </c>
      <c r="M88" s="83">
        <f t="shared" si="97"/>
        <v>193.01</v>
      </c>
      <c r="N88" s="83">
        <f t="shared" si="10"/>
        <v>0</v>
      </c>
      <c r="O88" s="83" t="str">
        <f t="shared" si="11"/>
        <v/>
      </c>
      <c r="P88" s="83">
        <f t="shared" si="12"/>
        <v>0</v>
      </c>
      <c r="Q88" s="83">
        <f t="shared" si="13"/>
        <v>455.92000000000007</v>
      </c>
      <c r="R88" s="106"/>
      <c r="S88" s="66"/>
      <c r="U88" s="85" t="e">
        <f t="shared" si="0"/>
        <v>#NUM!</v>
      </c>
      <c r="V88" s="86" t="e">
        <f t="shared" si="98"/>
        <v>#NUM!</v>
      </c>
      <c r="W88" s="87" t="e">
        <f t="shared" si="14"/>
        <v>#NUM!</v>
      </c>
      <c r="X88" s="87" t="e">
        <f t="shared" si="15"/>
        <v>#NUM!</v>
      </c>
      <c r="Y88" s="87" t="e">
        <f t="shared" si="16"/>
        <v>#NUM!</v>
      </c>
      <c r="Z88" s="88" t="e">
        <f t="shared" si="1"/>
        <v>#NUM!</v>
      </c>
      <c r="AB88" s="89">
        <f t="shared" si="99"/>
        <v>108.11000000000001</v>
      </c>
      <c r="AC88" s="87">
        <f t="shared" si="100"/>
        <v>119.54</v>
      </c>
      <c r="AD88" s="87" t="str">
        <f t="shared" si="17"/>
        <v/>
      </c>
      <c r="AE88" s="87" t="str">
        <f t="shared" si="18"/>
        <v/>
      </c>
      <c r="AF88" s="86">
        <f t="shared" si="101"/>
        <v>43781</v>
      </c>
      <c r="AG88" s="87">
        <f t="shared" si="2"/>
        <v>1.5</v>
      </c>
      <c r="AH88" s="87">
        <f t="shared" si="102"/>
        <v>0.51</v>
      </c>
      <c r="AI88" s="90"/>
      <c r="AJ88" s="87" t="e">
        <f t="shared" si="19"/>
        <v>#NUM!</v>
      </c>
      <c r="AK88" s="87" t="e">
        <f t="shared" si="103"/>
        <v>#NUM!</v>
      </c>
      <c r="AL88" s="87" t="e">
        <f t="shared" si="104"/>
        <v>#NUM!</v>
      </c>
      <c r="AM88" s="87" t="e">
        <f t="shared" si="105"/>
        <v>#NUM!</v>
      </c>
      <c r="AN88" s="86">
        <f t="shared" si="20"/>
        <v>0</v>
      </c>
      <c r="AO88" s="87">
        <f t="shared" si="21"/>
        <v>0</v>
      </c>
      <c r="AP88" s="88">
        <f t="shared" si="22"/>
        <v>0</v>
      </c>
      <c r="AR88" s="89">
        <f t="shared" si="23"/>
        <v>108.11000000000001</v>
      </c>
      <c r="AS88" s="87">
        <f t="shared" si="24"/>
        <v>119.54</v>
      </c>
      <c r="AT88" s="87" t="str">
        <f t="shared" si="25"/>
        <v/>
      </c>
      <c r="AU88" s="87" t="str">
        <f t="shared" si="26"/>
        <v/>
      </c>
      <c r="AV88" s="86">
        <f t="shared" si="106"/>
        <v>43781</v>
      </c>
      <c r="AW88" s="87">
        <f t="shared" si="107"/>
        <v>1.5</v>
      </c>
      <c r="AX88" s="87">
        <f t="shared" si="108"/>
        <v>0.51</v>
      </c>
      <c r="AY88" s="93"/>
      <c r="AZ88" s="87">
        <f t="shared" si="201"/>
        <v>0</v>
      </c>
      <c r="BA88" s="87">
        <f t="shared" si="109"/>
        <v>0</v>
      </c>
      <c r="BB88" s="87">
        <f t="shared" si="110"/>
        <v>0</v>
      </c>
      <c r="BC88" s="87">
        <f t="shared" si="184"/>
        <v>0</v>
      </c>
      <c r="BD88" s="86" t="e">
        <f t="shared" si="27"/>
        <v>#NUM!</v>
      </c>
      <c r="BE88" s="87" t="e">
        <f t="shared" si="3"/>
        <v>#NUM!</v>
      </c>
      <c r="BF88" s="88">
        <f t="shared" si="111"/>
        <v>0</v>
      </c>
      <c r="BH88" s="87" t="e">
        <f t="shared" si="28"/>
        <v>#NUM!</v>
      </c>
      <c r="BI88" s="51"/>
      <c r="BK88" s="95">
        <v>39580</v>
      </c>
      <c r="BL88" s="96">
        <v>9</v>
      </c>
      <c r="BM88" s="96">
        <v>9</v>
      </c>
      <c r="BT88" s="51">
        <v>30000.01</v>
      </c>
      <c r="BU88" s="51">
        <v>40000</v>
      </c>
      <c r="BV88" s="30" t="str">
        <f t="shared" si="202"/>
        <v>30000.01-40000</v>
      </c>
      <c r="BW88" s="30" t="s">
        <v>497</v>
      </c>
      <c r="BX88" s="30">
        <v>0.19</v>
      </c>
      <c r="BY88" s="107">
        <v>0.19</v>
      </c>
      <c r="BZ88" s="107">
        <v>0.19</v>
      </c>
      <c r="CA88" s="107">
        <v>0.21000000000000002</v>
      </c>
      <c r="CB88" s="107">
        <v>0.21500000000000002</v>
      </c>
      <c r="CC88" s="107">
        <v>0.22000000000000003</v>
      </c>
      <c r="CD88" s="107">
        <v>0.22000000000000003</v>
      </c>
      <c r="CE88" s="30" t="s">
        <v>497</v>
      </c>
      <c r="CF88" s="107">
        <v>1.4999999999999999E-2</v>
      </c>
      <c r="CG88" s="107">
        <v>1.6E-2</v>
      </c>
      <c r="CS88" s="108">
        <f t="shared" si="29"/>
        <v>107.15</v>
      </c>
      <c r="CT88" s="109">
        <f t="shared" si="30"/>
        <v>78.42</v>
      </c>
      <c r="CU88" s="109">
        <f t="shared" si="31"/>
        <v>28.73</v>
      </c>
      <c r="CV88" s="110">
        <f t="shared" si="32"/>
        <v>931.26000000000033</v>
      </c>
      <c r="CX88" s="108">
        <f t="shared" si="33"/>
        <v>0.75</v>
      </c>
      <c r="CY88" s="109">
        <f t="shared" si="113"/>
        <v>0.55000000000000004</v>
      </c>
      <c r="CZ88" s="109">
        <f t="shared" si="34"/>
        <v>0.2</v>
      </c>
      <c r="DA88" s="110">
        <f t="shared" si="35"/>
        <v>6.5100000000003497</v>
      </c>
      <c r="DC88" s="108">
        <f t="shared" si="114"/>
        <v>107.57000000000001</v>
      </c>
      <c r="DD88" s="109">
        <f t="shared" si="115"/>
        <v>78.930000000000007</v>
      </c>
      <c r="DE88" s="109">
        <f t="shared" si="36"/>
        <v>28.64</v>
      </c>
      <c r="DF88" s="110">
        <f t="shared" si="37"/>
        <v>927.53</v>
      </c>
      <c r="DH88" s="108">
        <f t="shared" si="38"/>
        <v>0.06</v>
      </c>
      <c r="DI88" s="109">
        <f t="shared" si="39"/>
        <v>4.9999999999999996E-2</v>
      </c>
      <c r="DJ88" s="109">
        <f t="shared" si="40"/>
        <v>0.01</v>
      </c>
      <c r="DK88" s="110">
        <f t="shared" si="41"/>
        <v>0.4499999999999208</v>
      </c>
      <c r="DM88" s="108">
        <f t="shared" si="116"/>
        <v>107.61000000000001</v>
      </c>
      <c r="DN88" s="109">
        <f t="shared" si="117"/>
        <v>78.980000000000018</v>
      </c>
      <c r="DO88" s="109">
        <f t="shared" si="42"/>
        <v>28.63</v>
      </c>
      <c r="DP88" s="110">
        <f t="shared" si="185"/>
        <v>927.19000000000028</v>
      </c>
      <c r="DR88" s="108">
        <f t="shared" si="43"/>
        <v>-0.01</v>
      </c>
      <c r="DS88" s="109">
        <f t="shared" si="118"/>
        <v>-0.01</v>
      </c>
      <c r="DT88" s="109">
        <f t="shared" si="44"/>
        <v>0</v>
      </c>
      <c r="DU88" s="110">
        <f t="shared" si="119"/>
        <v>-3.0000000000013655E-2</v>
      </c>
      <c r="DW88" s="108">
        <f t="shared" si="120"/>
        <v>107.60000000000001</v>
      </c>
      <c r="DX88" s="109">
        <f t="shared" si="121"/>
        <v>78.970000000000013</v>
      </c>
      <c r="DY88" s="109">
        <f t="shared" si="45"/>
        <v>28.63</v>
      </c>
      <c r="DZ88" s="110">
        <f t="shared" si="186"/>
        <v>927.2800000000002</v>
      </c>
      <c r="EB88" s="108">
        <f t="shared" si="46"/>
        <v>0</v>
      </c>
      <c r="EC88" s="109">
        <f t="shared" si="122"/>
        <v>0</v>
      </c>
      <c r="ED88" s="109">
        <f t="shared" si="47"/>
        <v>0</v>
      </c>
      <c r="EE88" s="110">
        <f t="shared" si="123"/>
        <v>0</v>
      </c>
      <c r="EG88" s="108">
        <f t="shared" si="124"/>
        <v>107.60000000000001</v>
      </c>
      <c r="EH88" s="109">
        <f t="shared" si="125"/>
        <v>78.970000000000013</v>
      </c>
      <c r="EI88" s="109">
        <f t="shared" si="48"/>
        <v>28.63</v>
      </c>
      <c r="EJ88" s="110">
        <f t="shared" si="187"/>
        <v>927.2800000000002</v>
      </c>
      <c r="EL88" s="108">
        <f t="shared" si="49"/>
        <v>0</v>
      </c>
      <c r="EM88" s="109">
        <f t="shared" si="126"/>
        <v>0</v>
      </c>
      <c r="EN88" s="109">
        <f t="shared" si="50"/>
        <v>0</v>
      </c>
      <c r="EO88" s="110">
        <f t="shared" si="127"/>
        <v>0</v>
      </c>
      <c r="EQ88" s="108">
        <f t="shared" si="128"/>
        <v>107.60000000000001</v>
      </c>
      <c r="ER88" s="109">
        <f t="shared" si="129"/>
        <v>78.970000000000013</v>
      </c>
      <c r="ES88" s="109">
        <f t="shared" si="51"/>
        <v>28.63</v>
      </c>
      <c r="ET88" s="110">
        <f t="shared" si="188"/>
        <v>927.2800000000002</v>
      </c>
      <c r="EV88" s="108">
        <f t="shared" si="52"/>
        <v>0</v>
      </c>
      <c r="EW88" s="109">
        <f t="shared" si="130"/>
        <v>0</v>
      </c>
      <c r="EX88" s="109">
        <f t="shared" si="53"/>
        <v>0</v>
      </c>
      <c r="EY88" s="110">
        <f t="shared" si="131"/>
        <v>0</v>
      </c>
      <c r="FA88" s="108">
        <f t="shared" si="132"/>
        <v>107.60000000000001</v>
      </c>
      <c r="FB88" s="109">
        <f t="shared" si="133"/>
        <v>78.970000000000013</v>
      </c>
      <c r="FC88" s="109">
        <f t="shared" si="54"/>
        <v>28.63</v>
      </c>
      <c r="FD88" s="110">
        <f t="shared" si="189"/>
        <v>927.2800000000002</v>
      </c>
      <c r="FF88" s="108">
        <f t="shared" si="55"/>
        <v>0</v>
      </c>
      <c r="FG88" s="109">
        <f t="shared" si="134"/>
        <v>0</v>
      </c>
      <c r="FH88" s="109">
        <f t="shared" si="56"/>
        <v>0</v>
      </c>
      <c r="FI88" s="110">
        <f t="shared" si="135"/>
        <v>0</v>
      </c>
      <c r="FK88" s="108">
        <f t="shared" si="136"/>
        <v>107.60000000000001</v>
      </c>
      <c r="FL88" s="109">
        <f t="shared" si="137"/>
        <v>78.970000000000013</v>
      </c>
      <c r="FM88" s="109">
        <f t="shared" si="57"/>
        <v>28.63</v>
      </c>
      <c r="FN88" s="110">
        <f t="shared" si="190"/>
        <v>927.2800000000002</v>
      </c>
      <c r="FP88" s="108">
        <f t="shared" si="58"/>
        <v>0</v>
      </c>
      <c r="FQ88" s="109">
        <f t="shared" si="138"/>
        <v>0</v>
      </c>
      <c r="FR88" s="109">
        <f t="shared" si="59"/>
        <v>0</v>
      </c>
      <c r="FS88" s="110">
        <f t="shared" si="139"/>
        <v>0</v>
      </c>
      <c r="FU88" s="108">
        <f t="shared" si="140"/>
        <v>107.60000000000001</v>
      </c>
      <c r="FV88" s="109">
        <f t="shared" si="141"/>
        <v>78.970000000000013</v>
      </c>
      <c r="FW88" s="109">
        <f t="shared" si="60"/>
        <v>28.63</v>
      </c>
      <c r="FX88" s="110">
        <f t="shared" si="191"/>
        <v>927.2800000000002</v>
      </c>
      <c r="FZ88" s="108">
        <f t="shared" si="61"/>
        <v>0</v>
      </c>
      <c r="GA88" s="109">
        <f t="shared" si="142"/>
        <v>0</v>
      </c>
      <c r="GB88" s="109">
        <f t="shared" si="62"/>
        <v>0</v>
      </c>
      <c r="GC88" s="110">
        <f t="shared" si="143"/>
        <v>0</v>
      </c>
      <c r="GE88" s="108">
        <f t="shared" si="144"/>
        <v>107.60000000000001</v>
      </c>
      <c r="GF88" s="109">
        <f t="shared" si="145"/>
        <v>78.970000000000013</v>
      </c>
      <c r="GG88" s="109">
        <f t="shared" si="146"/>
        <v>28.63</v>
      </c>
      <c r="GH88" s="110">
        <f t="shared" si="192"/>
        <v>927.2800000000002</v>
      </c>
      <c r="GL88" s="108">
        <f t="shared" si="63"/>
        <v>193.01</v>
      </c>
      <c r="GM88" s="109">
        <f t="shared" si="64"/>
        <v>193.01</v>
      </c>
      <c r="GN88" s="109">
        <f t="shared" si="65"/>
        <v>0</v>
      </c>
      <c r="GO88" s="110">
        <f t="shared" si="66"/>
        <v>455.92000000000007</v>
      </c>
      <c r="GP88" s="51"/>
      <c r="GQ88" s="108">
        <f t="shared" si="67"/>
        <v>0</v>
      </c>
      <c r="GR88" s="109">
        <f t="shared" si="147"/>
        <v>0</v>
      </c>
      <c r="GS88" s="109">
        <f t="shared" si="68"/>
        <v>0</v>
      </c>
      <c r="GT88" s="110">
        <f t="shared" si="69"/>
        <v>0</v>
      </c>
      <c r="GU88" s="51"/>
      <c r="GV88" s="108">
        <f t="shared" si="148"/>
        <v>193.01</v>
      </c>
      <c r="GW88" s="109">
        <f t="shared" si="149"/>
        <v>193.01</v>
      </c>
      <c r="GX88" s="109">
        <f t="shared" si="70"/>
        <v>0</v>
      </c>
      <c r="GY88" s="110">
        <f t="shared" si="150"/>
        <v>455.92000000000007</v>
      </c>
      <c r="GZ88" s="51"/>
      <c r="HA88" s="108">
        <f t="shared" si="71"/>
        <v>0</v>
      </c>
      <c r="HB88" s="109">
        <f t="shared" si="151"/>
        <v>0</v>
      </c>
      <c r="HC88" s="109">
        <f t="shared" si="72"/>
        <v>0</v>
      </c>
      <c r="HD88" s="110">
        <f t="shared" si="193"/>
        <v>0</v>
      </c>
      <c r="HE88" s="51"/>
      <c r="HF88" s="108">
        <f t="shared" si="152"/>
        <v>193.01</v>
      </c>
      <c r="HG88" s="109">
        <f t="shared" si="153"/>
        <v>193.01</v>
      </c>
      <c r="HH88" s="109">
        <f t="shared" si="73"/>
        <v>0</v>
      </c>
      <c r="HI88" s="110">
        <f t="shared" si="154"/>
        <v>455.92000000000007</v>
      </c>
      <c r="HJ88" s="51"/>
      <c r="HK88" s="108">
        <f t="shared" si="74"/>
        <v>0</v>
      </c>
      <c r="HL88" s="109">
        <f t="shared" si="155"/>
        <v>0</v>
      </c>
      <c r="HM88" s="109">
        <f t="shared" si="75"/>
        <v>0</v>
      </c>
      <c r="HN88" s="110">
        <f t="shared" si="194"/>
        <v>0</v>
      </c>
      <c r="HO88" s="51"/>
      <c r="HP88" s="108">
        <f t="shared" si="156"/>
        <v>193.01</v>
      </c>
      <c r="HQ88" s="109">
        <f t="shared" si="157"/>
        <v>193.01</v>
      </c>
      <c r="HR88" s="109">
        <f t="shared" si="76"/>
        <v>0</v>
      </c>
      <c r="HS88" s="110">
        <f t="shared" si="158"/>
        <v>455.92000000000007</v>
      </c>
      <c r="HT88" s="51"/>
      <c r="HU88" s="108">
        <f t="shared" si="77"/>
        <v>0</v>
      </c>
      <c r="HV88" s="109">
        <f t="shared" si="159"/>
        <v>0</v>
      </c>
      <c r="HW88" s="109">
        <f t="shared" si="78"/>
        <v>0</v>
      </c>
      <c r="HX88" s="110">
        <f t="shared" si="195"/>
        <v>0</v>
      </c>
      <c r="HY88" s="51"/>
      <c r="HZ88" s="108">
        <f t="shared" si="160"/>
        <v>193.01</v>
      </c>
      <c r="IA88" s="109">
        <f t="shared" si="161"/>
        <v>193.01</v>
      </c>
      <c r="IB88" s="109">
        <f t="shared" si="79"/>
        <v>0</v>
      </c>
      <c r="IC88" s="110">
        <f t="shared" si="162"/>
        <v>455.92000000000007</v>
      </c>
      <c r="ID88" s="51"/>
      <c r="IE88" s="108">
        <f t="shared" si="80"/>
        <v>0</v>
      </c>
      <c r="IF88" s="109">
        <f t="shared" si="163"/>
        <v>0</v>
      </c>
      <c r="IG88" s="109">
        <f t="shared" si="81"/>
        <v>0</v>
      </c>
      <c r="IH88" s="110">
        <f t="shared" si="196"/>
        <v>0</v>
      </c>
      <c r="II88" s="51"/>
      <c r="IJ88" s="108">
        <f t="shared" si="164"/>
        <v>193.01</v>
      </c>
      <c r="IK88" s="109">
        <f t="shared" si="165"/>
        <v>193.01</v>
      </c>
      <c r="IL88" s="109">
        <f t="shared" si="82"/>
        <v>0</v>
      </c>
      <c r="IM88" s="110">
        <f t="shared" si="166"/>
        <v>455.92000000000007</v>
      </c>
      <c r="IN88" s="51"/>
      <c r="IO88" s="108">
        <f t="shared" si="83"/>
        <v>0</v>
      </c>
      <c r="IP88" s="109">
        <f t="shared" si="167"/>
        <v>0</v>
      </c>
      <c r="IQ88" s="109">
        <f t="shared" si="84"/>
        <v>0</v>
      </c>
      <c r="IR88" s="110">
        <f t="shared" si="197"/>
        <v>0</v>
      </c>
      <c r="IS88" s="51"/>
      <c r="IT88" s="108">
        <f t="shared" si="168"/>
        <v>193.01</v>
      </c>
      <c r="IU88" s="109">
        <f t="shared" si="169"/>
        <v>193.01</v>
      </c>
      <c r="IV88" s="109">
        <f t="shared" si="85"/>
        <v>0</v>
      </c>
      <c r="IW88" s="110">
        <f t="shared" si="170"/>
        <v>455.92000000000007</v>
      </c>
      <c r="IX88" s="51"/>
      <c r="IY88" s="108">
        <f t="shared" si="86"/>
        <v>0</v>
      </c>
      <c r="IZ88" s="109">
        <f t="shared" si="171"/>
        <v>0</v>
      </c>
      <c r="JA88" s="109">
        <f t="shared" si="87"/>
        <v>0</v>
      </c>
      <c r="JB88" s="110">
        <f t="shared" si="198"/>
        <v>0</v>
      </c>
      <c r="JC88" s="51"/>
      <c r="JD88" s="108">
        <f t="shared" si="172"/>
        <v>193.01</v>
      </c>
      <c r="JE88" s="109">
        <f t="shared" si="173"/>
        <v>193.01</v>
      </c>
      <c r="JF88" s="109">
        <f t="shared" si="88"/>
        <v>0</v>
      </c>
      <c r="JG88" s="110">
        <f t="shared" si="174"/>
        <v>455.92000000000007</v>
      </c>
      <c r="JH88" s="51"/>
      <c r="JI88" s="108">
        <f t="shared" si="89"/>
        <v>0</v>
      </c>
      <c r="JJ88" s="109">
        <f t="shared" si="175"/>
        <v>0</v>
      </c>
      <c r="JK88" s="109">
        <f t="shared" si="90"/>
        <v>0</v>
      </c>
      <c r="JL88" s="110">
        <f t="shared" si="199"/>
        <v>0</v>
      </c>
      <c r="JM88" s="51"/>
      <c r="JN88" s="108">
        <f t="shared" si="176"/>
        <v>193.01</v>
      </c>
      <c r="JO88" s="109">
        <f t="shared" si="177"/>
        <v>193.01</v>
      </c>
      <c r="JP88" s="109">
        <f t="shared" si="91"/>
        <v>0</v>
      </c>
      <c r="JQ88" s="110">
        <f t="shared" si="178"/>
        <v>455.92000000000007</v>
      </c>
      <c r="JR88" s="51"/>
      <c r="JS88" s="108">
        <f t="shared" si="92"/>
        <v>0</v>
      </c>
      <c r="JT88" s="109">
        <f t="shared" si="179"/>
        <v>0</v>
      </c>
      <c r="JU88" s="109">
        <f t="shared" si="93"/>
        <v>0</v>
      </c>
      <c r="JV88" s="110">
        <f t="shared" si="200"/>
        <v>0</v>
      </c>
      <c r="JW88" s="51"/>
      <c r="JX88" s="108">
        <f t="shared" si="180"/>
        <v>193.01</v>
      </c>
      <c r="JY88" s="109">
        <f t="shared" si="181"/>
        <v>193.01</v>
      </c>
      <c r="JZ88" s="109">
        <f t="shared" si="94"/>
        <v>0</v>
      </c>
      <c r="KA88" s="110">
        <f t="shared" si="95"/>
        <v>455.92000000000007</v>
      </c>
    </row>
    <row r="89" spans="1:287" ht="12" customHeight="1">
      <c r="A89" s="105">
        <f t="array" ref="A89">MAX(IF($J$80:J88&gt;0,$C$80:C88,0))</f>
        <v>43536</v>
      </c>
      <c r="B89" s="81">
        <f t="shared" si="4"/>
        <v>9</v>
      </c>
      <c r="C89" s="82">
        <f t="shared" si="182"/>
        <v>43815</v>
      </c>
      <c r="D89" s="83">
        <f t="shared" si="5"/>
        <v>108.07000000000001</v>
      </c>
      <c r="E89" s="83">
        <f t="shared" si="96"/>
        <v>0.47</v>
      </c>
      <c r="F89" s="83">
        <f t="shared" si="6"/>
        <v>81.220000000000013</v>
      </c>
      <c r="G89" s="83">
        <f t="shared" si="7"/>
        <v>26.38</v>
      </c>
      <c r="H89" s="83">
        <f t="shared" si="8"/>
        <v>846.06000000000017</v>
      </c>
      <c r="I89" s="105">
        <f t="array" ref="I89">MAX(IF($R$80:R88&gt;0,$L$80:L88,0))</f>
        <v>0</v>
      </c>
      <c r="J89" s="106"/>
      <c r="K89" s="69">
        <f t="shared" si="9"/>
        <v>9</v>
      </c>
      <c r="L89" s="82">
        <f t="shared" si="183"/>
        <v>0</v>
      </c>
      <c r="M89" s="83">
        <f t="shared" si="97"/>
        <v>193.01</v>
      </c>
      <c r="N89" s="83">
        <f t="shared" si="10"/>
        <v>0</v>
      </c>
      <c r="O89" s="83" t="str">
        <f t="shared" si="11"/>
        <v/>
      </c>
      <c r="P89" s="83">
        <f t="shared" si="12"/>
        <v>0</v>
      </c>
      <c r="Q89" s="83">
        <f t="shared" si="13"/>
        <v>262.91000000000008</v>
      </c>
      <c r="R89" s="106"/>
      <c r="S89" s="66"/>
      <c r="U89" s="85" t="e">
        <f t="shared" si="0"/>
        <v>#NUM!</v>
      </c>
      <c r="V89" s="86" t="e">
        <f t="shared" si="98"/>
        <v>#NUM!</v>
      </c>
      <c r="W89" s="87" t="e">
        <f t="shared" si="14"/>
        <v>#NUM!</v>
      </c>
      <c r="X89" s="87" t="e">
        <f t="shared" si="15"/>
        <v>#NUM!</v>
      </c>
      <c r="Y89" s="87" t="e">
        <f t="shared" si="16"/>
        <v>#NUM!</v>
      </c>
      <c r="Z89" s="88" t="e">
        <f t="shared" si="1"/>
        <v>#NUM!</v>
      </c>
      <c r="AB89" s="89">
        <f t="shared" si="99"/>
        <v>108.07000000000001</v>
      </c>
      <c r="AC89" s="87">
        <f t="shared" si="100"/>
        <v>120.93</v>
      </c>
      <c r="AD89" s="87" t="str">
        <f t="shared" si="17"/>
        <v/>
      </c>
      <c r="AE89" s="87" t="str">
        <f t="shared" si="18"/>
        <v/>
      </c>
      <c r="AF89" s="86">
        <f t="shared" si="101"/>
        <v>43811</v>
      </c>
      <c r="AG89" s="87">
        <f t="shared" si="2"/>
        <v>1.5</v>
      </c>
      <c r="AH89" s="87">
        <f t="shared" si="102"/>
        <v>0.47</v>
      </c>
      <c r="AI89" s="90"/>
      <c r="AJ89" s="87" t="e">
        <f t="shared" si="19"/>
        <v>#NUM!</v>
      </c>
      <c r="AK89" s="87" t="e">
        <f t="shared" si="103"/>
        <v>#NUM!</v>
      </c>
      <c r="AL89" s="87" t="e">
        <f t="shared" si="104"/>
        <v>#NUM!</v>
      </c>
      <c r="AM89" s="87" t="e">
        <f t="shared" si="105"/>
        <v>#NUM!</v>
      </c>
      <c r="AN89" s="86">
        <f t="shared" si="20"/>
        <v>0</v>
      </c>
      <c r="AO89" s="87">
        <f t="shared" si="21"/>
        <v>0</v>
      </c>
      <c r="AP89" s="88">
        <f t="shared" si="22"/>
        <v>0</v>
      </c>
      <c r="AR89" s="89">
        <f t="shared" si="23"/>
        <v>108.07000000000001</v>
      </c>
      <c r="AS89" s="87">
        <f t="shared" si="24"/>
        <v>120.93</v>
      </c>
      <c r="AT89" s="87" t="str">
        <f t="shared" si="25"/>
        <v/>
      </c>
      <c r="AU89" s="87" t="str">
        <f t="shared" si="26"/>
        <v/>
      </c>
      <c r="AV89" s="86">
        <f t="shared" si="106"/>
        <v>43811</v>
      </c>
      <c r="AW89" s="87">
        <f t="shared" si="107"/>
        <v>1.5</v>
      </c>
      <c r="AX89" s="87">
        <f t="shared" si="108"/>
        <v>0.47</v>
      </c>
      <c r="AY89" s="93"/>
      <c r="AZ89" s="87">
        <f t="shared" si="201"/>
        <v>0</v>
      </c>
      <c r="BA89" s="87">
        <f t="shared" si="109"/>
        <v>0</v>
      </c>
      <c r="BB89" s="87">
        <f t="shared" si="110"/>
        <v>0</v>
      </c>
      <c r="BC89" s="87">
        <f t="shared" si="184"/>
        <v>0</v>
      </c>
      <c r="BD89" s="86" t="e">
        <f t="shared" si="27"/>
        <v>#NUM!</v>
      </c>
      <c r="BE89" s="87" t="e">
        <f t="shared" si="3"/>
        <v>#NUM!</v>
      </c>
      <c r="BF89" s="88">
        <f t="shared" si="111"/>
        <v>0</v>
      </c>
      <c r="BH89" s="87" t="e">
        <f t="shared" si="28"/>
        <v>#NUM!</v>
      </c>
      <c r="BI89" s="51"/>
      <c r="BK89" s="95">
        <v>39589</v>
      </c>
      <c r="BL89" s="96">
        <v>10</v>
      </c>
      <c r="BM89" s="96">
        <v>10</v>
      </c>
      <c r="BT89" s="51">
        <v>40000.01</v>
      </c>
      <c r="BU89" s="51">
        <v>60000</v>
      </c>
      <c r="BV89" s="30" t="str">
        <f t="shared" si="202"/>
        <v>40000.01-60000</v>
      </c>
      <c r="BW89" s="30" t="s">
        <v>497</v>
      </c>
      <c r="BX89" s="30">
        <v>0.17</v>
      </c>
      <c r="BY89" s="107">
        <v>0.16999999999999998</v>
      </c>
      <c r="BZ89" s="107">
        <v>0.16999999999999998</v>
      </c>
      <c r="CA89" s="107">
        <v>0.19</v>
      </c>
      <c r="CB89" s="107">
        <v>0.19500000000000001</v>
      </c>
      <c r="CC89" s="107">
        <v>0.2</v>
      </c>
      <c r="CD89" s="107">
        <v>0.20500000000000002</v>
      </c>
      <c r="CE89" s="30" t="s">
        <v>497</v>
      </c>
      <c r="CF89" s="107">
        <v>1.4999999999999999E-2</v>
      </c>
      <c r="CG89" s="107">
        <v>1.6E-2</v>
      </c>
      <c r="CS89" s="108">
        <f t="shared" si="29"/>
        <v>107.15</v>
      </c>
      <c r="CT89" s="109">
        <f t="shared" si="30"/>
        <v>80.650000000000006</v>
      </c>
      <c r="CU89" s="109">
        <f t="shared" si="31"/>
        <v>26.5</v>
      </c>
      <c r="CV89" s="110">
        <f t="shared" si="32"/>
        <v>850.61000000000035</v>
      </c>
      <c r="CX89" s="108">
        <f t="shared" si="33"/>
        <v>0.75</v>
      </c>
      <c r="CY89" s="109">
        <f t="shared" si="113"/>
        <v>0.56000000000000005</v>
      </c>
      <c r="CZ89" s="109">
        <f t="shared" si="34"/>
        <v>0.19</v>
      </c>
      <c r="DA89" s="110">
        <f t="shared" si="35"/>
        <v>5.9500000000003492</v>
      </c>
      <c r="DC89" s="108">
        <f t="shared" si="114"/>
        <v>107.57000000000001</v>
      </c>
      <c r="DD89" s="109">
        <f t="shared" si="115"/>
        <v>81.180000000000007</v>
      </c>
      <c r="DE89" s="109">
        <f t="shared" si="36"/>
        <v>26.39</v>
      </c>
      <c r="DF89" s="110">
        <f t="shared" si="37"/>
        <v>846.34999999999991</v>
      </c>
      <c r="DH89" s="108">
        <f t="shared" si="38"/>
        <v>0.06</v>
      </c>
      <c r="DI89" s="109">
        <f t="shared" si="39"/>
        <v>4.9999999999999996E-2</v>
      </c>
      <c r="DJ89" s="109">
        <f t="shared" si="40"/>
        <v>0.01</v>
      </c>
      <c r="DK89" s="110">
        <f t="shared" si="41"/>
        <v>0.39999999999992081</v>
      </c>
      <c r="DM89" s="108">
        <f t="shared" si="116"/>
        <v>107.61000000000001</v>
      </c>
      <c r="DN89" s="109">
        <f t="shared" si="117"/>
        <v>81.230000000000018</v>
      </c>
      <c r="DO89" s="109">
        <f t="shared" si="42"/>
        <v>26.38</v>
      </c>
      <c r="DP89" s="110">
        <f t="shared" si="185"/>
        <v>845.96000000000026</v>
      </c>
      <c r="DR89" s="108">
        <f t="shared" si="43"/>
        <v>-0.01</v>
      </c>
      <c r="DS89" s="109">
        <f t="shared" si="118"/>
        <v>-0.01</v>
      </c>
      <c r="DT89" s="109">
        <f t="shared" si="44"/>
        <v>0</v>
      </c>
      <c r="DU89" s="110">
        <f t="shared" si="119"/>
        <v>-2.0000000000013653E-2</v>
      </c>
      <c r="DW89" s="108">
        <f t="shared" si="120"/>
        <v>107.60000000000001</v>
      </c>
      <c r="DX89" s="109">
        <f t="shared" si="121"/>
        <v>81.220000000000013</v>
      </c>
      <c r="DY89" s="109">
        <f t="shared" si="45"/>
        <v>26.38</v>
      </c>
      <c r="DZ89" s="110">
        <f t="shared" si="186"/>
        <v>846.06000000000017</v>
      </c>
      <c r="EB89" s="108">
        <f t="shared" si="46"/>
        <v>0</v>
      </c>
      <c r="EC89" s="109">
        <f t="shared" si="122"/>
        <v>0</v>
      </c>
      <c r="ED89" s="109">
        <f t="shared" si="47"/>
        <v>0</v>
      </c>
      <c r="EE89" s="110">
        <f t="shared" si="123"/>
        <v>0</v>
      </c>
      <c r="EG89" s="108">
        <f t="shared" si="124"/>
        <v>107.60000000000001</v>
      </c>
      <c r="EH89" s="109">
        <f t="shared" si="125"/>
        <v>81.220000000000013</v>
      </c>
      <c r="EI89" s="109">
        <f t="shared" si="48"/>
        <v>26.38</v>
      </c>
      <c r="EJ89" s="110">
        <f t="shared" si="187"/>
        <v>846.06000000000017</v>
      </c>
      <c r="EL89" s="108">
        <f t="shared" si="49"/>
        <v>0</v>
      </c>
      <c r="EM89" s="109">
        <f t="shared" si="126"/>
        <v>0</v>
      </c>
      <c r="EN89" s="109">
        <f t="shared" si="50"/>
        <v>0</v>
      </c>
      <c r="EO89" s="110">
        <f t="shared" si="127"/>
        <v>0</v>
      </c>
      <c r="EQ89" s="108">
        <f t="shared" si="128"/>
        <v>107.60000000000001</v>
      </c>
      <c r="ER89" s="109">
        <f t="shared" si="129"/>
        <v>81.220000000000013</v>
      </c>
      <c r="ES89" s="109">
        <f t="shared" si="51"/>
        <v>26.38</v>
      </c>
      <c r="ET89" s="110">
        <f t="shared" si="188"/>
        <v>846.06000000000017</v>
      </c>
      <c r="EV89" s="108">
        <f t="shared" si="52"/>
        <v>0</v>
      </c>
      <c r="EW89" s="109">
        <f t="shared" si="130"/>
        <v>0</v>
      </c>
      <c r="EX89" s="109">
        <f t="shared" si="53"/>
        <v>0</v>
      </c>
      <c r="EY89" s="110">
        <f t="shared" si="131"/>
        <v>0</v>
      </c>
      <c r="FA89" s="108">
        <f t="shared" si="132"/>
        <v>107.60000000000001</v>
      </c>
      <c r="FB89" s="109">
        <f t="shared" si="133"/>
        <v>81.220000000000013</v>
      </c>
      <c r="FC89" s="109">
        <f t="shared" si="54"/>
        <v>26.38</v>
      </c>
      <c r="FD89" s="110">
        <f t="shared" si="189"/>
        <v>846.06000000000017</v>
      </c>
      <c r="FF89" s="108">
        <f t="shared" si="55"/>
        <v>0</v>
      </c>
      <c r="FG89" s="109">
        <f t="shared" si="134"/>
        <v>0</v>
      </c>
      <c r="FH89" s="109">
        <f t="shared" si="56"/>
        <v>0</v>
      </c>
      <c r="FI89" s="110">
        <f t="shared" si="135"/>
        <v>0</v>
      </c>
      <c r="FK89" s="108">
        <f t="shared" si="136"/>
        <v>107.60000000000001</v>
      </c>
      <c r="FL89" s="109">
        <f t="shared" si="137"/>
        <v>81.220000000000013</v>
      </c>
      <c r="FM89" s="109">
        <f t="shared" si="57"/>
        <v>26.38</v>
      </c>
      <c r="FN89" s="110">
        <f t="shared" si="190"/>
        <v>846.06000000000017</v>
      </c>
      <c r="FP89" s="108">
        <f t="shared" si="58"/>
        <v>0</v>
      </c>
      <c r="FQ89" s="109">
        <f t="shared" si="138"/>
        <v>0</v>
      </c>
      <c r="FR89" s="109">
        <f t="shared" si="59"/>
        <v>0</v>
      </c>
      <c r="FS89" s="110">
        <f t="shared" si="139"/>
        <v>0</v>
      </c>
      <c r="FU89" s="108">
        <f t="shared" si="140"/>
        <v>107.60000000000001</v>
      </c>
      <c r="FV89" s="109">
        <f t="shared" si="141"/>
        <v>81.220000000000013</v>
      </c>
      <c r="FW89" s="109">
        <f t="shared" si="60"/>
        <v>26.38</v>
      </c>
      <c r="FX89" s="110">
        <f t="shared" si="191"/>
        <v>846.06000000000017</v>
      </c>
      <c r="FZ89" s="108">
        <f t="shared" si="61"/>
        <v>0</v>
      </c>
      <c r="GA89" s="109">
        <f t="shared" si="142"/>
        <v>0</v>
      </c>
      <c r="GB89" s="109">
        <f t="shared" si="62"/>
        <v>0</v>
      </c>
      <c r="GC89" s="110">
        <f t="shared" si="143"/>
        <v>0</v>
      </c>
      <c r="GE89" s="108">
        <f t="shared" si="144"/>
        <v>107.60000000000001</v>
      </c>
      <c r="GF89" s="109">
        <f t="shared" si="145"/>
        <v>81.220000000000013</v>
      </c>
      <c r="GG89" s="109">
        <f t="shared" si="146"/>
        <v>26.38</v>
      </c>
      <c r="GH89" s="110">
        <f t="shared" si="192"/>
        <v>846.06000000000017</v>
      </c>
      <c r="GL89" s="108">
        <f t="shared" si="63"/>
        <v>193.01</v>
      </c>
      <c r="GM89" s="109">
        <f t="shared" si="64"/>
        <v>193.01</v>
      </c>
      <c r="GN89" s="109">
        <f t="shared" si="65"/>
        <v>0</v>
      </c>
      <c r="GO89" s="110">
        <f t="shared" si="66"/>
        <v>262.91000000000008</v>
      </c>
      <c r="GP89" s="51"/>
      <c r="GQ89" s="108">
        <f t="shared" si="67"/>
        <v>0</v>
      </c>
      <c r="GR89" s="109">
        <f t="shared" si="147"/>
        <v>0</v>
      </c>
      <c r="GS89" s="109">
        <f t="shared" si="68"/>
        <v>0</v>
      </c>
      <c r="GT89" s="110">
        <f t="shared" si="69"/>
        <v>0</v>
      </c>
      <c r="GU89" s="51"/>
      <c r="GV89" s="108">
        <f t="shared" si="148"/>
        <v>193.01</v>
      </c>
      <c r="GW89" s="109">
        <f t="shared" si="149"/>
        <v>193.01</v>
      </c>
      <c r="GX89" s="109">
        <f t="shared" si="70"/>
        <v>0</v>
      </c>
      <c r="GY89" s="110">
        <f t="shared" si="150"/>
        <v>262.91000000000008</v>
      </c>
      <c r="GZ89" s="51"/>
      <c r="HA89" s="108">
        <f t="shared" si="71"/>
        <v>0</v>
      </c>
      <c r="HB89" s="109">
        <f t="shared" si="151"/>
        <v>0</v>
      </c>
      <c r="HC89" s="109">
        <f t="shared" si="72"/>
        <v>0</v>
      </c>
      <c r="HD89" s="110">
        <f t="shared" si="193"/>
        <v>0</v>
      </c>
      <c r="HE89" s="51"/>
      <c r="HF89" s="108">
        <f t="shared" si="152"/>
        <v>193.01</v>
      </c>
      <c r="HG89" s="109">
        <f t="shared" si="153"/>
        <v>193.01</v>
      </c>
      <c r="HH89" s="109">
        <f t="shared" si="73"/>
        <v>0</v>
      </c>
      <c r="HI89" s="110">
        <f t="shared" si="154"/>
        <v>262.91000000000008</v>
      </c>
      <c r="HJ89" s="51"/>
      <c r="HK89" s="108">
        <f t="shared" si="74"/>
        <v>0</v>
      </c>
      <c r="HL89" s="109">
        <f t="shared" si="155"/>
        <v>0</v>
      </c>
      <c r="HM89" s="109">
        <f t="shared" si="75"/>
        <v>0</v>
      </c>
      <c r="HN89" s="110">
        <f t="shared" si="194"/>
        <v>0</v>
      </c>
      <c r="HO89" s="51"/>
      <c r="HP89" s="108">
        <f t="shared" si="156"/>
        <v>193.01</v>
      </c>
      <c r="HQ89" s="109">
        <f t="shared" si="157"/>
        <v>193.01</v>
      </c>
      <c r="HR89" s="109">
        <f t="shared" si="76"/>
        <v>0</v>
      </c>
      <c r="HS89" s="110">
        <f t="shared" si="158"/>
        <v>262.91000000000008</v>
      </c>
      <c r="HT89" s="51"/>
      <c r="HU89" s="108">
        <f t="shared" si="77"/>
        <v>0</v>
      </c>
      <c r="HV89" s="109">
        <f t="shared" si="159"/>
        <v>0</v>
      </c>
      <c r="HW89" s="109">
        <f t="shared" si="78"/>
        <v>0</v>
      </c>
      <c r="HX89" s="110">
        <f t="shared" si="195"/>
        <v>0</v>
      </c>
      <c r="HY89" s="51"/>
      <c r="HZ89" s="108">
        <f t="shared" si="160"/>
        <v>193.01</v>
      </c>
      <c r="IA89" s="109">
        <f t="shared" si="161"/>
        <v>193.01</v>
      </c>
      <c r="IB89" s="109">
        <f t="shared" si="79"/>
        <v>0</v>
      </c>
      <c r="IC89" s="110">
        <f t="shared" si="162"/>
        <v>262.91000000000008</v>
      </c>
      <c r="ID89" s="51"/>
      <c r="IE89" s="108">
        <f t="shared" si="80"/>
        <v>0</v>
      </c>
      <c r="IF89" s="109">
        <f t="shared" si="163"/>
        <v>0</v>
      </c>
      <c r="IG89" s="109">
        <f t="shared" si="81"/>
        <v>0</v>
      </c>
      <c r="IH89" s="110">
        <f t="shared" si="196"/>
        <v>0</v>
      </c>
      <c r="II89" s="51"/>
      <c r="IJ89" s="108">
        <f t="shared" si="164"/>
        <v>193.01</v>
      </c>
      <c r="IK89" s="109">
        <f t="shared" si="165"/>
        <v>193.01</v>
      </c>
      <c r="IL89" s="109">
        <f t="shared" si="82"/>
        <v>0</v>
      </c>
      <c r="IM89" s="110">
        <f t="shared" si="166"/>
        <v>262.91000000000008</v>
      </c>
      <c r="IN89" s="51"/>
      <c r="IO89" s="108">
        <f t="shared" si="83"/>
        <v>0</v>
      </c>
      <c r="IP89" s="109">
        <f t="shared" si="167"/>
        <v>0</v>
      </c>
      <c r="IQ89" s="109">
        <f t="shared" si="84"/>
        <v>0</v>
      </c>
      <c r="IR89" s="110">
        <f t="shared" si="197"/>
        <v>0</v>
      </c>
      <c r="IS89" s="51"/>
      <c r="IT89" s="108">
        <f t="shared" si="168"/>
        <v>193.01</v>
      </c>
      <c r="IU89" s="109">
        <f t="shared" si="169"/>
        <v>193.01</v>
      </c>
      <c r="IV89" s="109">
        <f t="shared" si="85"/>
        <v>0</v>
      </c>
      <c r="IW89" s="110">
        <f t="shared" si="170"/>
        <v>262.91000000000008</v>
      </c>
      <c r="IX89" s="51"/>
      <c r="IY89" s="108">
        <f t="shared" si="86"/>
        <v>0</v>
      </c>
      <c r="IZ89" s="109">
        <f t="shared" si="171"/>
        <v>0</v>
      </c>
      <c r="JA89" s="109">
        <f t="shared" si="87"/>
        <v>0</v>
      </c>
      <c r="JB89" s="110">
        <f t="shared" si="198"/>
        <v>0</v>
      </c>
      <c r="JC89" s="51"/>
      <c r="JD89" s="108">
        <f t="shared" si="172"/>
        <v>193.01</v>
      </c>
      <c r="JE89" s="109">
        <f t="shared" si="173"/>
        <v>193.01</v>
      </c>
      <c r="JF89" s="109">
        <f t="shared" si="88"/>
        <v>0</v>
      </c>
      <c r="JG89" s="110">
        <f t="shared" si="174"/>
        <v>262.91000000000008</v>
      </c>
      <c r="JH89" s="51"/>
      <c r="JI89" s="108">
        <f t="shared" si="89"/>
        <v>0</v>
      </c>
      <c r="JJ89" s="109">
        <f t="shared" si="175"/>
        <v>0</v>
      </c>
      <c r="JK89" s="109">
        <f t="shared" si="90"/>
        <v>0</v>
      </c>
      <c r="JL89" s="110">
        <f t="shared" si="199"/>
        <v>0</v>
      </c>
      <c r="JM89" s="51"/>
      <c r="JN89" s="108">
        <f t="shared" si="176"/>
        <v>193.01</v>
      </c>
      <c r="JO89" s="109">
        <f t="shared" si="177"/>
        <v>193.01</v>
      </c>
      <c r="JP89" s="109">
        <f t="shared" si="91"/>
        <v>0</v>
      </c>
      <c r="JQ89" s="110">
        <f t="shared" si="178"/>
        <v>262.91000000000008</v>
      </c>
      <c r="JR89" s="51"/>
      <c r="JS89" s="108">
        <f t="shared" si="92"/>
        <v>0</v>
      </c>
      <c r="JT89" s="109">
        <f t="shared" si="179"/>
        <v>0</v>
      </c>
      <c r="JU89" s="109">
        <f t="shared" si="93"/>
        <v>0</v>
      </c>
      <c r="JV89" s="110">
        <f t="shared" si="200"/>
        <v>0</v>
      </c>
      <c r="JW89" s="51"/>
      <c r="JX89" s="108">
        <f t="shared" si="180"/>
        <v>193.01</v>
      </c>
      <c r="JY89" s="109">
        <f t="shared" si="181"/>
        <v>193.01</v>
      </c>
      <c r="JZ89" s="109">
        <f t="shared" si="94"/>
        <v>0</v>
      </c>
      <c r="KA89" s="110">
        <f t="shared" si="95"/>
        <v>262.91000000000008</v>
      </c>
    </row>
    <row r="90" spans="1:287" ht="12" customHeight="1">
      <c r="A90" s="105">
        <f t="array" ref="A90">MAX(IF($J$80:J89&gt;0,$C$80:C89,0))</f>
        <v>43536</v>
      </c>
      <c r="B90" s="81">
        <f t="shared" si="4"/>
        <v>10</v>
      </c>
      <c r="C90" s="82">
        <f t="shared" si="182"/>
        <v>43845</v>
      </c>
      <c r="D90" s="83">
        <f t="shared" si="5"/>
        <v>108.02000000000001</v>
      </c>
      <c r="E90" s="83">
        <f t="shared" si="96"/>
        <v>0.42</v>
      </c>
      <c r="F90" s="83">
        <f t="shared" si="6"/>
        <v>84.300000000000011</v>
      </c>
      <c r="G90" s="83">
        <f t="shared" si="7"/>
        <v>23.3</v>
      </c>
      <c r="H90" s="83">
        <f t="shared" si="8"/>
        <v>761.76000000000022</v>
      </c>
      <c r="I90" s="105">
        <f t="array" ref="I90">MAX(IF($R$80:R89&gt;0,$L$80:L89,0))</f>
        <v>0</v>
      </c>
      <c r="J90" s="106"/>
      <c r="K90" s="69">
        <f t="shared" si="9"/>
        <v>10</v>
      </c>
      <c r="L90" s="82">
        <f t="shared" si="183"/>
        <v>0</v>
      </c>
      <c r="M90" s="83">
        <f t="shared" si="97"/>
        <v>193.01</v>
      </c>
      <c r="N90" s="83">
        <f t="shared" si="10"/>
        <v>0</v>
      </c>
      <c r="O90" s="83" t="str">
        <f t="shared" si="11"/>
        <v/>
      </c>
      <c r="P90" s="83">
        <f t="shared" si="12"/>
        <v>0</v>
      </c>
      <c r="Q90" s="83">
        <f t="shared" si="13"/>
        <v>69.900000000000091</v>
      </c>
      <c r="R90" s="106"/>
      <c r="S90" s="66"/>
      <c r="U90" s="85" t="e">
        <f t="shared" si="0"/>
        <v>#NUM!</v>
      </c>
      <c r="V90" s="86" t="e">
        <f t="shared" si="98"/>
        <v>#NUM!</v>
      </c>
      <c r="W90" s="87" t="e">
        <f t="shared" si="14"/>
        <v>#NUM!</v>
      </c>
      <c r="X90" s="87" t="e">
        <f t="shared" si="15"/>
        <v>#NUM!</v>
      </c>
      <c r="Y90" s="87" t="e">
        <f t="shared" si="16"/>
        <v>#NUM!</v>
      </c>
      <c r="Z90" s="88" t="e">
        <f t="shared" si="1"/>
        <v>#NUM!</v>
      </c>
      <c r="AB90" s="89">
        <f t="shared" si="99"/>
        <v>108.02000000000001</v>
      </c>
      <c r="AC90" s="87">
        <f t="shared" si="100"/>
        <v>122.25</v>
      </c>
      <c r="AD90" s="87" t="str">
        <f t="shared" si="17"/>
        <v/>
      </c>
      <c r="AE90" s="87" t="str">
        <f t="shared" si="18"/>
        <v/>
      </c>
      <c r="AF90" s="86">
        <f t="shared" si="101"/>
        <v>43842</v>
      </c>
      <c r="AG90" s="87">
        <f t="shared" si="2"/>
        <v>1.5</v>
      </c>
      <c r="AH90" s="87">
        <f t="shared" si="102"/>
        <v>0.42</v>
      </c>
      <c r="AI90" s="90"/>
      <c r="AJ90" s="87" t="e">
        <f t="shared" si="19"/>
        <v>#NUM!</v>
      </c>
      <c r="AK90" s="87" t="e">
        <f t="shared" si="103"/>
        <v>#NUM!</v>
      </c>
      <c r="AL90" s="87" t="e">
        <f t="shared" si="104"/>
        <v>#NUM!</v>
      </c>
      <c r="AM90" s="87" t="e">
        <f t="shared" si="105"/>
        <v>#NUM!</v>
      </c>
      <c r="AN90" s="86">
        <f t="shared" si="20"/>
        <v>0</v>
      </c>
      <c r="AO90" s="87">
        <f t="shared" si="21"/>
        <v>0</v>
      </c>
      <c r="AP90" s="88">
        <f t="shared" si="22"/>
        <v>0</v>
      </c>
      <c r="AR90" s="89">
        <f t="shared" si="23"/>
        <v>108.02000000000001</v>
      </c>
      <c r="AS90" s="87">
        <f t="shared" si="24"/>
        <v>122.25</v>
      </c>
      <c r="AT90" s="87" t="str">
        <f t="shared" si="25"/>
        <v/>
      </c>
      <c r="AU90" s="87" t="str">
        <f t="shared" si="26"/>
        <v/>
      </c>
      <c r="AV90" s="86">
        <f t="shared" si="106"/>
        <v>43842</v>
      </c>
      <c r="AW90" s="87">
        <f t="shared" si="107"/>
        <v>1.5</v>
      </c>
      <c r="AX90" s="87">
        <f t="shared" si="108"/>
        <v>0.42</v>
      </c>
      <c r="AY90" s="93"/>
      <c r="AZ90" s="87">
        <f t="shared" si="201"/>
        <v>0</v>
      </c>
      <c r="BA90" s="87">
        <f t="shared" si="109"/>
        <v>0</v>
      </c>
      <c r="BB90" s="87">
        <f t="shared" si="110"/>
        <v>0</v>
      </c>
      <c r="BC90" s="87">
        <f t="shared" si="184"/>
        <v>0</v>
      </c>
      <c r="BD90" s="86" t="e">
        <f t="shared" si="27"/>
        <v>#NUM!</v>
      </c>
      <c r="BE90" s="87" t="e">
        <f t="shared" si="3"/>
        <v>#NUM!</v>
      </c>
      <c r="BF90" s="88">
        <f t="shared" si="111"/>
        <v>0</v>
      </c>
      <c r="BH90" s="87" t="e">
        <f t="shared" si="28"/>
        <v>#NUM!</v>
      </c>
      <c r="BI90" s="51"/>
      <c r="BK90" s="95">
        <v>39594</v>
      </c>
      <c r="BL90" s="96">
        <v>11</v>
      </c>
      <c r="BM90" s="96">
        <v>11</v>
      </c>
      <c r="BT90" s="51">
        <v>60000.01</v>
      </c>
      <c r="BU90" s="51">
        <v>1000000</v>
      </c>
      <c r="BV90" s="30" t="str">
        <f t="shared" si="202"/>
        <v>60000.01-1000000</v>
      </c>
      <c r="BW90" s="30" t="s">
        <v>497</v>
      </c>
      <c r="BX90" s="30" t="s">
        <v>497</v>
      </c>
      <c r="BY90" s="30" t="s">
        <v>497</v>
      </c>
      <c r="BZ90" s="30" t="s">
        <v>497</v>
      </c>
      <c r="CA90" s="30" t="s">
        <v>497</v>
      </c>
      <c r="CB90" s="30" t="s">
        <v>497</v>
      </c>
      <c r="CC90" s="30" t="s">
        <v>497</v>
      </c>
      <c r="CD90" s="30" t="s">
        <v>497</v>
      </c>
      <c r="CE90" s="30" t="s">
        <v>497</v>
      </c>
      <c r="CF90" s="30" t="s">
        <v>497</v>
      </c>
      <c r="CG90" s="30" t="s">
        <v>497</v>
      </c>
      <c r="CS90" s="108">
        <f t="shared" si="29"/>
        <v>107.15</v>
      </c>
      <c r="CT90" s="109">
        <f t="shared" si="30"/>
        <v>83.73</v>
      </c>
      <c r="CU90" s="109">
        <f t="shared" si="31"/>
        <v>23.42</v>
      </c>
      <c r="CV90" s="110">
        <f t="shared" si="32"/>
        <v>766.88000000000034</v>
      </c>
      <c r="CX90" s="108">
        <f t="shared" si="33"/>
        <v>0.75</v>
      </c>
      <c r="CY90" s="109">
        <f t="shared" si="113"/>
        <v>0.59</v>
      </c>
      <c r="CZ90" s="109">
        <f t="shared" si="34"/>
        <v>0.16</v>
      </c>
      <c r="DA90" s="110">
        <f t="shared" si="35"/>
        <v>5.3600000000003494</v>
      </c>
      <c r="DC90" s="108">
        <f t="shared" si="114"/>
        <v>107.57000000000001</v>
      </c>
      <c r="DD90" s="109">
        <f t="shared" si="115"/>
        <v>84.27000000000001</v>
      </c>
      <c r="DE90" s="109">
        <f t="shared" si="36"/>
        <v>23.3</v>
      </c>
      <c r="DF90" s="110">
        <f t="shared" si="37"/>
        <v>762.07999999999993</v>
      </c>
      <c r="DH90" s="108">
        <f t="shared" si="38"/>
        <v>0.06</v>
      </c>
      <c r="DI90" s="109">
        <f t="shared" si="39"/>
        <v>4.9999999999999996E-2</v>
      </c>
      <c r="DJ90" s="109">
        <f t="shared" si="40"/>
        <v>0.01</v>
      </c>
      <c r="DK90" s="110">
        <f t="shared" si="41"/>
        <v>0.34999999999992082</v>
      </c>
      <c r="DM90" s="108">
        <f t="shared" si="116"/>
        <v>107.61000000000001</v>
      </c>
      <c r="DN90" s="109">
        <f t="shared" si="117"/>
        <v>84.320000000000022</v>
      </c>
      <c r="DO90" s="109">
        <f t="shared" si="42"/>
        <v>23.29</v>
      </c>
      <c r="DP90" s="110">
        <f t="shared" si="185"/>
        <v>761.64000000000021</v>
      </c>
      <c r="DR90" s="108">
        <f t="shared" si="43"/>
        <v>-0.01</v>
      </c>
      <c r="DS90" s="109">
        <f t="shared" si="118"/>
        <v>-0.01</v>
      </c>
      <c r="DT90" s="109">
        <f t="shared" si="44"/>
        <v>0</v>
      </c>
      <c r="DU90" s="110">
        <f t="shared" si="119"/>
        <v>-1.0000000000013652E-2</v>
      </c>
      <c r="DW90" s="108">
        <f t="shared" si="120"/>
        <v>107.60000000000001</v>
      </c>
      <c r="DX90" s="109">
        <f t="shared" si="121"/>
        <v>84.300000000000011</v>
      </c>
      <c r="DY90" s="109">
        <f t="shared" si="45"/>
        <v>23.3</v>
      </c>
      <c r="DZ90" s="110">
        <f t="shared" si="186"/>
        <v>761.76000000000022</v>
      </c>
      <c r="EB90" s="108">
        <f t="shared" si="46"/>
        <v>0</v>
      </c>
      <c r="EC90" s="109">
        <f t="shared" si="122"/>
        <v>0</v>
      </c>
      <c r="ED90" s="109">
        <f t="shared" si="47"/>
        <v>0</v>
      </c>
      <c r="EE90" s="110">
        <f t="shared" si="123"/>
        <v>0</v>
      </c>
      <c r="EG90" s="108">
        <f t="shared" si="124"/>
        <v>107.60000000000001</v>
      </c>
      <c r="EH90" s="109">
        <f t="shared" si="125"/>
        <v>84.300000000000011</v>
      </c>
      <c r="EI90" s="109">
        <f t="shared" si="48"/>
        <v>23.3</v>
      </c>
      <c r="EJ90" s="110">
        <f t="shared" si="187"/>
        <v>761.76000000000022</v>
      </c>
      <c r="EL90" s="108">
        <f t="shared" si="49"/>
        <v>0</v>
      </c>
      <c r="EM90" s="109">
        <f t="shared" si="126"/>
        <v>0</v>
      </c>
      <c r="EN90" s="109">
        <f t="shared" si="50"/>
        <v>0</v>
      </c>
      <c r="EO90" s="110">
        <f t="shared" si="127"/>
        <v>0</v>
      </c>
      <c r="EQ90" s="108">
        <f t="shared" si="128"/>
        <v>107.60000000000001</v>
      </c>
      <c r="ER90" s="109">
        <f t="shared" si="129"/>
        <v>84.300000000000011</v>
      </c>
      <c r="ES90" s="109">
        <f t="shared" si="51"/>
        <v>23.3</v>
      </c>
      <c r="ET90" s="110">
        <f t="shared" si="188"/>
        <v>761.76000000000022</v>
      </c>
      <c r="EV90" s="108">
        <f t="shared" si="52"/>
        <v>0</v>
      </c>
      <c r="EW90" s="109">
        <f t="shared" si="130"/>
        <v>0</v>
      </c>
      <c r="EX90" s="109">
        <f t="shared" si="53"/>
        <v>0</v>
      </c>
      <c r="EY90" s="110">
        <f t="shared" si="131"/>
        <v>0</v>
      </c>
      <c r="FA90" s="108">
        <f t="shared" si="132"/>
        <v>107.60000000000001</v>
      </c>
      <c r="FB90" s="109">
        <f t="shared" si="133"/>
        <v>84.300000000000011</v>
      </c>
      <c r="FC90" s="109">
        <f t="shared" si="54"/>
        <v>23.3</v>
      </c>
      <c r="FD90" s="110">
        <f t="shared" si="189"/>
        <v>761.76000000000022</v>
      </c>
      <c r="FF90" s="108">
        <f t="shared" si="55"/>
        <v>0</v>
      </c>
      <c r="FG90" s="109">
        <f t="shared" si="134"/>
        <v>0</v>
      </c>
      <c r="FH90" s="109">
        <f t="shared" si="56"/>
        <v>0</v>
      </c>
      <c r="FI90" s="110">
        <f t="shared" si="135"/>
        <v>0</v>
      </c>
      <c r="FK90" s="108">
        <f t="shared" si="136"/>
        <v>107.60000000000001</v>
      </c>
      <c r="FL90" s="109">
        <f t="shared" si="137"/>
        <v>84.300000000000011</v>
      </c>
      <c r="FM90" s="109">
        <f t="shared" si="57"/>
        <v>23.3</v>
      </c>
      <c r="FN90" s="110">
        <f t="shared" si="190"/>
        <v>761.76000000000022</v>
      </c>
      <c r="FP90" s="108">
        <f t="shared" si="58"/>
        <v>0</v>
      </c>
      <c r="FQ90" s="109">
        <f t="shared" si="138"/>
        <v>0</v>
      </c>
      <c r="FR90" s="109">
        <f t="shared" si="59"/>
        <v>0</v>
      </c>
      <c r="FS90" s="110">
        <f t="shared" si="139"/>
        <v>0</v>
      </c>
      <c r="FU90" s="108">
        <f t="shared" si="140"/>
        <v>107.60000000000001</v>
      </c>
      <c r="FV90" s="109">
        <f t="shared" si="141"/>
        <v>84.300000000000011</v>
      </c>
      <c r="FW90" s="109">
        <f t="shared" si="60"/>
        <v>23.3</v>
      </c>
      <c r="FX90" s="110">
        <f t="shared" si="191"/>
        <v>761.76000000000022</v>
      </c>
      <c r="FZ90" s="108">
        <f t="shared" si="61"/>
        <v>0</v>
      </c>
      <c r="GA90" s="109">
        <f t="shared" si="142"/>
        <v>0</v>
      </c>
      <c r="GB90" s="109">
        <f t="shared" si="62"/>
        <v>0</v>
      </c>
      <c r="GC90" s="110">
        <f t="shared" si="143"/>
        <v>0</v>
      </c>
      <c r="GE90" s="108">
        <f t="shared" si="144"/>
        <v>107.60000000000001</v>
      </c>
      <c r="GF90" s="109">
        <f t="shared" si="145"/>
        <v>84.300000000000011</v>
      </c>
      <c r="GG90" s="109">
        <f t="shared" si="146"/>
        <v>23.3</v>
      </c>
      <c r="GH90" s="110">
        <f t="shared" si="192"/>
        <v>761.76000000000022</v>
      </c>
      <c r="GL90" s="108">
        <f t="shared" si="63"/>
        <v>193.01</v>
      </c>
      <c r="GM90" s="109">
        <f t="shared" si="64"/>
        <v>193.01</v>
      </c>
      <c r="GN90" s="109">
        <f t="shared" si="65"/>
        <v>0</v>
      </c>
      <c r="GO90" s="110">
        <f t="shared" si="66"/>
        <v>69.900000000000091</v>
      </c>
      <c r="GP90" s="51"/>
      <c r="GQ90" s="108">
        <f t="shared" si="67"/>
        <v>0</v>
      </c>
      <c r="GR90" s="109">
        <f t="shared" si="147"/>
        <v>0</v>
      </c>
      <c r="GS90" s="109">
        <f t="shared" si="68"/>
        <v>0</v>
      </c>
      <c r="GT90" s="110">
        <f t="shared" si="69"/>
        <v>0</v>
      </c>
      <c r="GU90" s="51"/>
      <c r="GV90" s="108">
        <f t="shared" si="148"/>
        <v>193.01</v>
      </c>
      <c r="GW90" s="109">
        <f t="shared" si="149"/>
        <v>193.01</v>
      </c>
      <c r="GX90" s="109">
        <f t="shared" si="70"/>
        <v>0</v>
      </c>
      <c r="GY90" s="110">
        <f t="shared" si="150"/>
        <v>69.900000000000091</v>
      </c>
      <c r="GZ90" s="51"/>
      <c r="HA90" s="108">
        <f t="shared" si="71"/>
        <v>0</v>
      </c>
      <c r="HB90" s="109">
        <f t="shared" si="151"/>
        <v>0</v>
      </c>
      <c r="HC90" s="109">
        <f t="shared" si="72"/>
        <v>0</v>
      </c>
      <c r="HD90" s="110">
        <f t="shared" si="193"/>
        <v>0</v>
      </c>
      <c r="HE90" s="51"/>
      <c r="HF90" s="108">
        <f t="shared" si="152"/>
        <v>193.01</v>
      </c>
      <c r="HG90" s="109">
        <f t="shared" si="153"/>
        <v>193.01</v>
      </c>
      <c r="HH90" s="109">
        <f t="shared" si="73"/>
        <v>0</v>
      </c>
      <c r="HI90" s="110">
        <f t="shared" si="154"/>
        <v>69.900000000000091</v>
      </c>
      <c r="HJ90" s="51"/>
      <c r="HK90" s="108">
        <f t="shared" si="74"/>
        <v>0</v>
      </c>
      <c r="HL90" s="109">
        <f t="shared" si="155"/>
        <v>0</v>
      </c>
      <c r="HM90" s="109">
        <f t="shared" si="75"/>
        <v>0</v>
      </c>
      <c r="HN90" s="110">
        <f t="shared" si="194"/>
        <v>0</v>
      </c>
      <c r="HO90" s="51"/>
      <c r="HP90" s="108">
        <f t="shared" si="156"/>
        <v>193.01</v>
      </c>
      <c r="HQ90" s="109">
        <f t="shared" si="157"/>
        <v>193.01</v>
      </c>
      <c r="HR90" s="109">
        <f t="shared" si="76"/>
        <v>0</v>
      </c>
      <c r="HS90" s="110">
        <f t="shared" si="158"/>
        <v>69.900000000000091</v>
      </c>
      <c r="HT90" s="51"/>
      <c r="HU90" s="108">
        <f t="shared" si="77"/>
        <v>0</v>
      </c>
      <c r="HV90" s="109">
        <f t="shared" si="159"/>
        <v>0</v>
      </c>
      <c r="HW90" s="109">
        <f t="shared" si="78"/>
        <v>0</v>
      </c>
      <c r="HX90" s="110">
        <f t="shared" si="195"/>
        <v>0</v>
      </c>
      <c r="HY90" s="51"/>
      <c r="HZ90" s="108">
        <f t="shared" si="160"/>
        <v>193.01</v>
      </c>
      <c r="IA90" s="109">
        <f t="shared" si="161"/>
        <v>193.01</v>
      </c>
      <c r="IB90" s="109">
        <f t="shared" si="79"/>
        <v>0</v>
      </c>
      <c r="IC90" s="110">
        <f t="shared" si="162"/>
        <v>69.900000000000091</v>
      </c>
      <c r="ID90" s="51"/>
      <c r="IE90" s="108">
        <f t="shared" si="80"/>
        <v>0</v>
      </c>
      <c r="IF90" s="109">
        <f t="shared" si="163"/>
        <v>0</v>
      </c>
      <c r="IG90" s="109">
        <f t="shared" si="81"/>
        <v>0</v>
      </c>
      <c r="IH90" s="110">
        <f t="shared" si="196"/>
        <v>0</v>
      </c>
      <c r="II90" s="51"/>
      <c r="IJ90" s="108">
        <f t="shared" si="164"/>
        <v>193.01</v>
      </c>
      <c r="IK90" s="109">
        <f t="shared" si="165"/>
        <v>193.01</v>
      </c>
      <c r="IL90" s="109">
        <f t="shared" si="82"/>
        <v>0</v>
      </c>
      <c r="IM90" s="110">
        <f t="shared" si="166"/>
        <v>69.900000000000091</v>
      </c>
      <c r="IN90" s="51"/>
      <c r="IO90" s="108">
        <f t="shared" si="83"/>
        <v>0</v>
      </c>
      <c r="IP90" s="109">
        <f t="shared" si="167"/>
        <v>0</v>
      </c>
      <c r="IQ90" s="109">
        <f t="shared" si="84"/>
        <v>0</v>
      </c>
      <c r="IR90" s="110">
        <f t="shared" si="197"/>
        <v>0</v>
      </c>
      <c r="IS90" s="51"/>
      <c r="IT90" s="108">
        <f t="shared" si="168"/>
        <v>193.01</v>
      </c>
      <c r="IU90" s="109">
        <f t="shared" si="169"/>
        <v>193.01</v>
      </c>
      <c r="IV90" s="109">
        <f t="shared" si="85"/>
        <v>0</v>
      </c>
      <c r="IW90" s="110">
        <f t="shared" si="170"/>
        <v>69.900000000000091</v>
      </c>
      <c r="IX90" s="51"/>
      <c r="IY90" s="108">
        <f t="shared" si="86"/>
        <v>0</v>
      </c>
      <c r="IZ90" s="109">
        <f t="shared" si="171"/>
        <v>0</v>
      </c>
      <c r="JA90" s="109">
        <f t="shared" si="87"/>
        <v>0</v>
      </c>
      <c r="JB90" s="110">
        <f t="shared" si="198"/>
        <v>0</v>
      </c>
      <c r="JC90" s="51"/>
      <c r="JD90" s="108">
        <f t="shared" si="172"/>
        <v>193.01</v>
      </c>
      <c r="JE90" s="109">
        <f t="shared" si="173"/>
        <v>193.01</v>
      </c>
      <c r="JF90" s="109">
        <f t="shared" si="88"/>
        <v>0</v>
      </c>
      <c r="JG90" s="110">
        <f t="shared" si="174"/>
        <v>69.900000000000091</v>
      </c>
      <c r="JH90" s="51"/>
      <c r="JI90" s="108">
        <f t="shared" si="89"/>
        <v>0</v>
      </c>
      <c r="JJ90" s="109">
        <f t="shared" si="175"/>
        <v>0</v>
      </c>
      <c r="JK90" s="109">
        <f t="shared" si="90"/>
        <v>0</v>
      </c>
      <c r="JL90" s="110">
        <f t="shared" si="199"/>
        <v>0</v>
      </c>
      <c r="JM90" s="51"/>
      <c r="JN90" s="108">
        <f t="shared" si="176"/>
        <v>193.01</v>
      </c>
      <c r="JO90" s="109">
        <f t="shared" si="177"/>
        <v>193.01</v>
      </c>
      <c r="JP90" s="109">
        <f t="shared" si="91"/>
        <v>0</v>
      </c>
      <c r="JQ90" s="110">
        <f t="shared" si="178"/>
        <v>69.900000000000091</v>
      </c>
      <c r="JR90" s="51"/>
      <c r="JS90" s="108">
        <f t="shared" si="92"/>
        <v>0</v>
      </c>
      <c r="JT90" s="109">
        <f t="shared" si="179"/>
        <v>0</v>
      </c>
      <c r="JU90" s="109">
        <f t="shared" si="93"/>
        <v>0</v>
      </c>
      <c r="JV90" s="110">
        <f t="shared" si="200"/>
        <v>0</v>
      </c>
      <c r="JW90" s="51"/>
      <c r="JX90" s="108">
        <f t="shared" si="180"/>
        <v>193.01</v>
      </c>
      <c r="JY90" s="109">
        <f t="shared" si="181"/>
        <v>193.01</v>
      </c>
      <c r="JZ90" s="109">
        <f t="shared" si="94"/>
        <v>0</v>
      </c>
      <c r="KA90" s="110">
        <f t="shared" si="95"/>
        <v>69.900000000000091</v>
      </c>
    </row>
    <row r="91" spans="1:287" ht="12" customHeight="1">
      <c r="A91" s="105">
        <f t="array" ref="A91">MAX(IF($J$80:J90&gt;0,$C$80:C90,0))</f>
        <v>43536</v>
      </c>
      <c r="B91" s="81">
        <f t="shared" si="4"/>
        <v>11</v>
      </c>
      <c r="C91" s="82">
        <f t="shared" si="182"/>
        <v>43878</v>
      </c>
      <c r="D91" s="83">
        <f t="shared" si="5"/>
        <v>108.01</v>
      </c>
      <c r="E91" s="83">
        <f t="shared" si="96"/>
        <v>0.41</v>
      </c>
      <c r="F91" s="83">
        <f t="shared" si="6"/>
        <v>84.53</v>
      </c>
      <c r="G91" s="83">
        <f t="shared" si="7"/>
        <v>23.07</v>
      </c>
      <c r="H91" s="83">
        <f t="shared" si="8"/>
        <v>677.23000000000025</v>
      </c>
      <c r="I91" s="105">
        <f t="array" ref="I91">MAX(IF($R$80:R90&gt;0,$L$80:L90,0))</f>
        <v>0</v>
      </c>
      <c r="J91" s="106"/>
      <c r="K91" s="69">
        <f t="shared" si="9"/>
        <v>11</v>
      </c>
      <c r="L91" s="82">
        <f t="shared" si="183"/>
        <v>0</v>
      </c>
      <c r="M91" s="83">
        <f t="shared" si="97"/>
        <v>193.01</v>
      </c>
      <c r="N91" s="83">
        <f t="shared" si="10"/>
        <v>0</v>
      </c>
      <c r="O91" s="83" t="str">
        <f t="shared" si="11"/>
        <v/>
      </c>
      <c r="P91" s="83">
        <f t="shared" si="12"/>
        <v>0</v>
      </c>
      <c r="Q91" s="83">
        <f t="shared" si="13"/>
        <v>-123.1099999999999</v>
      </c>
      <c r="R91" s="106"/>
      <c r="S91" s="66"/>
      <c r="U91" s="85" t="e">
        <f t="shared" si="0"/>
        <v>#NUM!</v>
      </c>
      <c r="V91" s="86" t="e">
        <f t="shared" si="98"/>
        <v>#NUM!</v>
      </c>
      <c r="W91" s="87" t="e">
        <f t="shared" si="14"/>
        <v>#NUM!</v>
      </c>
      <c r="X91" s="87" t="e">
        <f t="shared" si="15"/>
        <v>#NUM!</v>
      </c>
      <c r="Y91" s="87" t="e">
        <f t="shared" si="16"/>
        <v>#NUM!</v>
      </c>
      <c r="Z91" s="88" t="e">
        <f t="shared" si="1"/>
        <v>#NUM!</v>
      </c>
      <c r="AB91" s="89">
        <f t="shared" si="99"/>
        <v>108.01</v>
      </c>
      <c r="AC91" s="87">
        <f t="shared" si="100"/>
        <v>123.76</v>
      </c>
      <c r="AD91" s="87" t="str">
        <f t="shared" si="17"/>
        <v/>
      </c>
      <c r="AE91" s="87" t="str">
        <f t="shared" si="18"/>
        <v/>
      </c>
      <c r="AF91" s="86">
        <f t="shared" si="101"/>
        <v>43873</v>
      </c>
      <c r="AG91" s="87">
        <f t="shared" si="2"/>
        <v>1.5</v>
      </c>
      <c r="AH91" s="87">
        <f t="shared" si="102"/>
        <v>0.41</v>
      </c>
      <c r="AI91" s="90"/>
      <c r="AJ91" s="87" t="e">
        <f t="shared" si="19"/>
        <v>#NUM!</v>
      </c>
      <c r="AK91" s="87" t="e">
        <f t="shared" si="103"/>
        <v>#NUM!</v>
      </c>
      <c r="AL91" s="87" t="e">
        <f t="shared" si="104"/>
        <v>#NUM!</v>
      </c>
      <c r="AM91" s="87" t="e">
        <f t="shared" si="105"/>
        <v>#NUM!</v>
      </c>
      <c r="AN91" s="86">
        <f t="shared" si="20"/>
        <v>0</v>
      </c>
      <c r="AO91" s="87">
        <f t="shared" si="21"/>
        <v>0</v>
      </c>
      <c r="AP91" s="88">
        <f t="shared" si="22"/>
        <v>0</v>
      </c>
      <c r="AR91" s="89">
        <f t="shared" si="23"/>
        <v>108.01</v>
      </c>
      <c r="AS91" s="87">
        <f t="shared" si="24"/>
        <v>123.76</v>
      </c>
      <c r="AT91" s="87" t="str">
        <f t="shared" si="25"/>
        <v/>
      </c>
      <c r="AU91" s="87" t="str">
        <f t="shared" si="26"/>
        <v/>
      </c>
      <c r="AV91" s="86">
        <f t="shared" si="106"/>
        <v>43873</v>
      </c>
      <c r="AW91" s="87">
        <f t="shared" si="107"/>
        <v>1.5</v>
      </c>
      <c r="AX91" s="87">
        <f t="shared" si="108"/>
        <v>0.41</v>
      </c>
      <c r="AY91" s="93"/>
      <c r="AZ91" s="87">
        <f t="shared" si="201"/>
        <v>0</v>
      </c>
      <c r="BA91" s="87">
        <f t="shared" si="109"/>
        <v>0</v>
      </c>
      <c r="BB91" s="87">
        <f t="shared" si="110"/>
        <v>0</v>
      </c>
      <c r="BC91" s="87">
        <f t="shared" si="184"/>
        <v>0</v>
      </c>
      <c r="BD91" s="86" t="e">
        <f t="shared" si="27"/>
        <v>#NUM!</v>
      </c>
      <c r="BE91" s="87" t="e">
        <f t="shared" si="3"/>
        <v>#NUM!</v>
      </c>
      <c r="BF91" s="88">
        <f t="shared" si="111"/>
        <v>0</v>
      </c>
      <c r="BH91" s="87" t="e">
        <f t="shared" si="28"/>
        <v>#NUM!</v>
      </c>
      <c r="BI91" s="51"/>
      <c r="BK91" s="95">
        <v>39688</v>
      </c>
      <c r="BL91" s="96">
        <v>12</v>
      </c>
      <c r="BM91" s="96">
        <v>12</v>
      </c>
      <c r="BY91" s="197"/>
      <c r="BZ91" s="197"/>
      <c r="CA91" s="197"/>
      <c r="CB91" s="197"/>
      <c r="CC91" s="197"/>
      <c r="CD91" s="197"/>
      <c r="CE91" s="197"/>
      <c r="CF91" s="197"/>
      <c r="CG91" s="197"/>
      <c r="CS91" s="108">
        <f t="shared" si="29"/>
        <v>107.15</v>
      </c>
      <c r="CT91" s="109">
        <f t="shared" si="30"/>
        <v>83.92</v>
      </c>
      <c r="CU91" s="109">
        <f t="shared" si="31"/>
        <v>23.23</v>
      </c>
      <c r="CV91" s="110">
        <f t="shared" si="32"/>
        <v>682.96000000000038</v>
      </c>
      <c r="CX91" s="108">
        <f t="shared" si="33"/>
        <v>0.75</v>
      </c>
      <c r="CY91" s="109">
        <f t="shared" si="113"/>
        <v>0.59</v>
      </c>
      <c r="CZ91" s="109">
        <f t="shared" si="34"/>
        <v>0.16</v>
      </c>
      <c r="DA91" s="110">
        <f t="shared" si="35"/>
        <v>4.7700000000003495</v>
      </c>
      <c r="DC91" s="108">
        <f t="shared" si="114"/>
        <v>107.57000000000001</v>
      </c>
      <c r="DD91" s="109">
        <f t="shared" si="115"/>
        <v>84.490000000000009</v>
      </c>
      <c r="DE91" s="109">
        <f t="shared" si="36"/>
        <v>23.08</v>
      </c>
      <c r="DF91" s="110">
        <f t="shared" si="37"/>
        <v>677.58999999999992</v>
      </c>
      <c r="DH91" s="108">
        <f t="shared" si="38"/>
        <v>0.06</v>
      </c>
      <c r="DI91" s="109">
        <f t="shared" si="39"/>
        <v>4.9999999999999996E-2</v>
      </c>
      <c r="DJ91" s="109">
        <f t="shared" si="40"/>
        <v>0.01</v>
      </c>
      <c r="DK91" s="110">
        <f t="shared" si="41"/>
        <v>0.29999999999992083</v>
      </c>
      <c r="DM91" s="108">
        <f t="shared" si="116"/>
        <v>107.61000000000001</v>
      </c>
      <c r="DN91" s="109">
        <f t="shared" si="117"/>
        <v>84.54000000000002</v>
      </c>
      <c r="DO91" s="109">
        <f t="shared" si="42"/>
        <v>23.07</v>
      </c>
      <c r="DP91" s="110">
        <f t="shared" si="185"/>
        <v>677.10000000000014</v>
      </c>
      <c r="DR91" s="108">
        <f t="shared" si="43"/>
        <v>-0.01</v>
      </c>
      <c r="DS91" s="109">
        <f t="shared" si="118"/>
        <v>-0.01</v>
      </c>
      <c r="DT91" s="109">
        <f t="shared" si="44"/>
        <v>0</v>
      </c>
      <c r="DU91" s="110">
        <f t="shared" si="119"/>
        <v>-1.3652273755937472E-14</v>
      </c>
      <c r="DW91" s="108">
        <f t="shared" si="120"/>
        <v>107.60000000000001</v>
      </c>
      <c r="DX91" s="109">
        <f t="shared" si="121"/>
        <v>84.53</v>
      </c>
      <c r="DY91" s="109">
        <f t="shared" si="45"/>
        <v>23.07</v>
      </c>
      <c r="DZ91" s="110">
        <f t="shared" si="186"/>
        <v>677.23000000000025</v>
      </c>
      <c r="EB91" s="108">
        <f t="shared" si="46"/>
        <v>0</v>
      </c>
      <c r="EC91" s="109">
        <f t="shared" si="122"/>
        <v>0</v>
      </c>
      <c r="ED91" s="109">
        <f t="shared" si="47"/>
        <v>0</v>
      </c>
      <c r="EE91" s="110">
        <f t="shared" si="123"/>
        <v>0</v>
      </c>
      <c r="EG91" s="108">
        <f t="shared" si="124"/>
        <v>107.60000000000001</v>
      </c>
      <c r="EH91" s="109">
        <f t="shared" si="125"/>
        <v>84.53</v>
      </c>
      <c r="EI91" s="109">
        <f t="shared" si="48"/>
        <v>23.07</v>
      </c>
      <c r="EJ91" s="110">
        <f t="shared" si="187"/>
        <v>677.23000000000025</v>
      </c>
      <c r="EL91" s="108">
        <f t="shared" si="49"/>
        <v>0</v>
      </c>
      <c r="EM91" s="109">
        <f t="shared" si="126"/>
        <v>0</v>
      </c>
      <c r="EN91" s="109">
        <f t="shared" si="50"/>
        <v>0</v>
      </c>
      <c r="EO91" s="110">
        <f t="shared" si="127"/>
        <v>0</v>
      </c>
      <c r="EQ91" s="108">
        <f t="shared" si="128"/>
        <v>107.60000000000001</v>
      </c>
      <c r="ER91" s="109">
        <f t="shared" si="129"/>
        <v>84.53</v>
      </c>
      <c r="ES91" s="109">
        <f t="shared" si="51"/>
        <v>23.07</v>
      </c>
      <c r="ET91" s="110">
        <f t="shared" si="188"/>
        <v>677.23000000000025</v>
      </c>
      <c r="EV91" s="108">
        <f t="shared" si="52"/>
        <v>0</v>
      </c>
      <c r="EW91" s="109">
        <f t="shared" si="130"/>
        <v>0</v>
      </c>
      <c r="EX91" s="109">
        <f t="shared" si="53"/>
        <v>0</v>
      </c>
      <c r="EY91" s="110">
        <f t="shared" si="131"/>
        <v>0</v>
      </c>
      <c r="FA91" s="108">
        <f t="shared" si="132"/>
        <v>107.60000000000001</v>
      </c>
      <c r="FB91" s="109">
        <f t="shared" si="133"/>
        <v>84.53</v>
      </c>
      <c r="FC91" s="109">
        <f t="shared" si="54"/>
        <v>23.07</v>
      </c>
      <c r="FD91" s="110">
        <f t="shared" si="189"/>
        <v>677.23000000000025</v>
      </c>
      <c r="FF91" s="108">
        <f t="shared" si="55"/>
        <v>0</v>
      </c>
      <c r="FG91" s="109">
        <f t="shared" si="134"/>
        <v>0</v>
      </c>
      <c r="FH91" s="109">
        <f t="shared" si="56"/>
        <v>0</v>
      </c>
      <c r="FI91" s="110">
        <f t="shared" si="135"/>
        <v>0</v>
      </c>
      <c r="FK91" s="108">
        <f t="shared" si="136"/>
        <v>107.60000000000001</v>
      </c>
      <c r="FL91" s="109">
        <f t="shared" si="137"/>
        <v>84.53</v>
      </c>
      <c r="FM91" s="109">
        <f t="shared" si="57"/>
        <v>23.07</v>
      </c>
      <c r="FN91" s="110">
        <f t="shared" si="190"/>
        <v>677.23000000000025</v>
      </c>
      <c r="FP91" s="108">
        <f t="shared" si="58"/>
        <v>0</v>
      </c>
      <c r="FQ91" s="109">
        <f t="shared" si="138"/>
        <v>0</v>
      </c>
      <c r="FR91" s="109">
        <f t="shared" si="59"/>
        <v>0</v>
      </c>
      <c r="FS91" s="110">
        <f t="shared" si="139"/>
        <v>0</v>
      </c>
      <c r="FU91" s="108">
        <f t="shared" si="140"/>
        <v>107.60000000000001</v>
      </c>
      <c r="FV91" s="109">
        <f t="shared" si="141"/>
        <v>84.53</v>
      </c>
      <c r="FW91" s="109">
        <f t="shared" si="60"/>
        <v>23.07</v>
      </c>
      <c r="FX91" s="110">
        <f t="shared" si="191"/>
        <v>677.23000000000025</v>
      </c>
      <c r="FZ91" s="108">
        <f t="shared" si="61"/>
        <v>0</v>
      </c>
      <c r="GA91" s="109">
        <f t="shared" si="142"/>
        <v>0</v>
      </c>
      <c r="GB91" s="109">
        <f t="shared" si="62"/>
        <v>0</v>
      </c>
      <c r="GC91" s="110">
        <f t="shared" si="143"/>
        <v>0</v>
      </c>
      <c r="GE91" s="108">
        <f t="shared" si="144"/>
        <v>107.60000000000001</v>
      </c>
      <c r="GF91" s="109">
        <f t="shared" si="145"/>
        <v>84.53</v>
      </c>
      <c r="GG91" s="109">
        <f t="shared" si="146"/>
        <v>23.07</v>
      </c>
      <c r="GH91" s="110">
        <f t="shared" si="192"/>
        <v>677.23000000000025</v>
      </c>
      <c r="GL91" s="108">
        <f t="shared" si="63"/>
        <v>193.01</v>
      </c>
      <c r="GM91" s="109">
        <f t="shared" si="64"/>
        <v>193.01</v>
      </c>
      <c r="GN91" s="109">
        <f t="shared" si="65"/>
        <v>0</v>
      </c>
      <c r="GO91" s="110">
        <f t="shared" si="66"/>
        <v>-123.1099999999999</v>
      </c>
      <c r="GP91" s="51"/>
      <c r="GQ91" s="108">
        <f t="shared" si="67"/>
        <v>0</v>
      </c>
      <c r="GR91" s="109">
        <f t="shared" si="147"/>
        <v>0</v>
      </c>
      <c r="GS91" s="109">
        <f t="shared" si="68"/>
        <v>0</v>
      </c>
      <c r="GT91" s="110">
        <f t="shared" si="69"/>
        <v>0</v>
      </c>
      <c r="GU91" s="51"/>
      <c r="GV91" s="108">
        <f t="shared" si="148"/>
        <v>193.01</v>
      </c>
      <c r="GW91" s="109">
        <f t="shared" si="149"/>
        <v>193.01</v>
      </c>
      <c r="GX91" s="109">
        <f t="shared" si="70"/>
        <v>0</v>
      </c>
      <c r="GY91" s="110">
        <f t="shared" si="150"/>
        <v>-123.1099999999999</v>
      </c>
      <c r="GZ91" s="51"/>
      <c r="HA91" s="108">
        <f t="shared" si="71"/>
        <v>0</v>
      </c>
      <c r="HB91" s="109">
        <f t="shared" si="151"/>
        <v>0</v>
      </c>
      <c r="HC91" s="109">
        <f t="shared" si="72"/>
        <v>0</v>
      </c>
      <c r="HD91" s="110">
        <f t="shared" si="193"/>
        <v>0</v>
      </c>
      <c r="HE91" s="51"/>
      <c r="HF91" s="108">
        <f t="shared" si="152"/>
        <v>193.01</v>
      </c>
      <c r="HG91" s="109">
        <f t="shared" si="153"/>
        <v>193.01</v>
      </c>
      <c r="HH91" s="109">
        <f t="shared" si="73"/>
        <v>0</v>
      </c>
      <c r="HI91" s="110">
        <f t="shared" si="154"/>
        <v>-123.1099999999999</v>
      </c>
      <c r="HJ91" s="51"/>
      <c r="HK91" s="108">
        <f t="shared" si="74"/>
        <v>0</v>
      </c>
      <c r="HL91" s="109">
        <f t="shared" si="155"/>
        <v>0</v>
      </c>
      <c r="HM91" s="109">
        <f t="shared" si="75"/>
        <v>0</v>
      </c>
      <c r="HN91" s="110">
        <f t="shared" si="194"/>
        <v>0</v>
      </c>
      <c r="HO91" s="51"/>
      <c r="HP91" s="108">
        <f t="shared" si="156"/>
        <v>193.01</v>
      </c>
      <c r="HQ91" s="109">
        <f t="shared" si="157"/>
        <v>193.01</v>
      </c>
      <c r="HR91" s="109">
        <f t="shared" si="76"/>
        <v>0</v>
      </c>
      <c r="HS91" s="110">
        <f t="shared" si="158"/>
        <v>-123.1099999999999</v>
      </c>
      <c r="HT91" s="51"/>
      <c r="HU91" s="108">
        <f t="shared" si="77"/>
        <v>0</v>
      </c>
      <c r="HV91" s="109">
        <f t="shared" si="159"/>
        <v>0</v>
      </c>
      <c r="HW91" s="109">
        <f t="shared" si="78"/>
        <v>0</v>
      </c>
      <c r="HX91" s="110">
        <f t="shared" si="195"/>
        <v>0</v>
      </c>
      <c r="HY91" s="51"/>
      <c r="HZ91" s="108">
        <f t="shared" si="160"/>
        <v>193.01</v>
      </c>
      <c r="IA91" s="109">
        <f t="shared" si="161"/>
        <v>193.01</v>
      </c>
      <c r="IB91" s="109">
        <f t="shared" si="79"/>
        <v>0</v>
      </c>
      <c r="IC91" s="110">
        <f t="shared" si="162"/>
        <v>-123.1099999999999</v>
      </c>
      <c r="ID91" s="51"/>
      <c r="IE91" s="108">
        <f t="shared" si="80"/>
        <v>0</v>
      </c>
      <c r="IF91" s="109">
        <f t="shared" si="163"/>
        <v>0</v>
      </c>
      <c r="IG91" s="109">
        <f t="shared" si="81"/>
        <v>0</v>
      </c>
      <c r="IH91" s="110">
        <f t="shared" si="196"/>
        <v>0</v>
      </c>
      <c r="II91" s="51"/>
      <c r="IJ91" s="108">
        <f t="shared" si="164"/>
        <v>193.01</v>
      </c>
      <c r="IK91" s="109">
        <f t="shared" si="165"/>
        <v>193.01</v>
      </c>
      <c r="IL91" s="109">
        <f t="shared" si="82"/>
        <v>0</v>
      </c>
      <c r="IM91" s="110">
        <f t="shared" si="166"/>
        <v>-123.1099999999999</v>
      </c>
      <c r="IN91" s="51"/>
      <c r="IO91" s="108">
        <f t="shared" si="83"/>
        <v>0</v>
      </c>
      <c r="IP91" s="109">
        <f t="shared" si="167"/>
        <v>0</v>
      </c>
      <c r="IQ91" s="109">
        <f t="shared" si="84"/>
        <v>0</v>
      </c>
      <c r="IR91" s="110">
        <f t="shared" si="197"/>
        <v>0</v>
      </c>
      <c r="IS91" s="51"/>
      <c r="IT91" s="108">
        <f t="shared" si="168"/>
        <v>193.01</v>
      </c>
      <c r="IU91" s="109">
        <f t="shared" si="169"/>
        <v>193.01</v>
      </c>
      <c r="IV91" s="109">
        <f t="shared" si="85"/>
        <v>0</v>
      </c>
      <c r="IW91" s="110">
        <f t="shared" si="170"/>
        <v>-123.1099999999999</v>
      </c>
      <c r="IX91" s="51"/>
      <c r="IY91" s="108">
        <f t="shared" si="86"/>
        <v>0</v>
      </c>
      <c r="IZ91" s="109">
        <f t="shared" si="171"/>
        <v>0</v>
      </c>
      <c r="JA91" s="109">
        <f t="shared" si="87"/>
        <v>0</v>
      </c>
      <c r="JB91" s="110">
        <f t="shared" si="198"/>
        <v>0</v>
      </c>
      <c r="JC91" s="51"/>
      <c r="JD91" s="108">
        <f t="shared" si="172"/>
        <v>193.01</v>
      </c>
      <c r="JE91" s="109">
        <f t="shared" si="173"/>
        <v>193.01</v>
      </c>
      <c r="JF91" s="109">
        <f t="shared" si="88"/>
        <v>0</v>
      </c>
      <c r="JG91" s="110">
        <f t="shared" si="174"/>
        <v>-123.1099999999999</v>
      </c>
      <c r="JH91" s="51"/>
      <c r="JI91" s="108">
        <f t="shared" si="89"/>
        <v>0</v>
      </c>
      <c r="JJ91" s="109">
        <f t="shared" si="175"/>
        <v>0</v>
      </c>
      <c r="JK91" s="109">
        <f t="shared" si="90"/>
        <v>0</v>
      </c>
      <c r="JL91" s="110">
        <f t="shared" si="199"/>
        <v>0</v>
      </c>
      <c r="JM91" s="51"/>
      <c r="JN91" s="108">
        <f t="shared" si="176"/>
        <v>193.01</v>
      </c>
      <c r="JO91" s="109">
        <f t="shared" si="177"/>
        <v>193.01</v>
      </c>
      <c r="JP91" s="109">
        <f t="shared" si="91"/>
        <v>0</v>
      </c>
      <c r="JQ91" s="110">
        <f t="shared" si="178"/>
        <v>-123.1099999999999</v>
      </c>
      <c r="JR91" s="51"/>
      <c r="JS91" s="108">
        <f t="shared" si="92"/>
        <v>0</v>
      </c>
      <c r="JT91" s="109">
        <f t="shared" si="179"/>
        <v>0</v>
      </c>
      <c r="JU91" s="109">
        <f t="shared" si="93"/>
        <v>0</v>
      </c>
      <c r="JV91" s="110">
        <f t="shared" si="200"/>
        <v>0</v>
      </c>
      <c r="JW91" s="51"/>
      <c r="JX91" s="108">
        <f t="shared" si="180"/>
        <v>193.01</v>
      </c>
      <c r="JY91" s="109">
        <f t="shared" si="181"/>
        <v>193.01</v>
      </c>
      <c r="JZ91" s="109">
        <f t="shared" si="94"/>
        <v>0</v>
      </c>
      <c r="KA91" s="110">
        <f t="shared" si="95"/>
        <v>-123.1099999999999</v>
      </c>
    </row>
    <row r="92" spans="1:287" ht="12" customHeight="1">
      <c r="A92" s="105">
        <f t="array" ref="A92">MAX(IF($J$80:J91&gt;0,$C$80:C91,0))</f>
        <v>43536</v>
      </c>
      <c r="B92" s="81">
        <f t="shared" si="4"/>
        <v>12</v>
      </c>
      <c r="C92" s="82">
        <f t="shared" si="182"/>
        <v>43906</v>
      </c>
      <c r="D92" s="83">
        <f t="shared" si="5"/>
        <v>107.91000000000001</v>
      </c>
      <c r="E92" s="83">
        <f t="shared" si="96"/>
        <v>0.31</v>
      </c>
      <c r="F92" s="83">
        <f t="shared" si="6"/>
        <v>90.200000000000017</v>
      </c>
      <c r="G92" s="83">
        <f t="shared" si="7"/>
        <v>17.399999999999999</v>
      </c>
      <c r="H92" s="83">
        <f t="shared" si="8"/>
        <v>587.0300000000002</v>
      </c>
      <c r="I92" s="105">
        <f t="array" ref="I92">MAX(IF($R$80:R91&gt;0,$L$80:L91,0))</f>
        <v>0</v>
      </c>
      <c r="J92" s="106"/>
      <c r="K92" s="69">
        <f t="shared" si="9"/>
        <v>12</v>
      </c>
      <c r="L92" s="82">
        <f t="shared" si="183"/>
        <v>0</v>
      </c>
      <c r="M92" s="83">
        <f t="shared" si="97"/>
        <v>-123.1099999999999</v>
      </c>
      <c r="N92" s="83" t="b">
        <f t="shared" si="10"/>
        <v>0</v>
      </c>
      <c r="O92" s="83" t="str">
        <f t="shared" si="11"/>
        <v/>
      </c>
      <c r="P92" s="83">
        <f t="shared" si="12"/>
        <v>0</v>
      </c>
      <c r="Q92" s="83">
        <f t="shared" si="13"/>
        <v>0</v>
      </c>
      <c r="R92" s="106"/>
      <c r="S92" s="66"/>
      <c r="U92" s="85" t="e">
        <f t="shared" si="0"/>
        <v>#NUM!</v>
      </c>
      <c r="V92" s="86" t="e">
        <f t="shared" si="98"/>
        <v>#NUM!</v>
      </c>
      <c r="W92" s="87" t="e">
        <f t="shared" si="14"/>
        <v>#NUM!</v>
      </c>
      <c r="X92" s="87" t="e">
        <f t="shared" si="15"/>
        <v>#NUM!</v>
      </c>
      <c r="Y92" s="87" t="e">
        <f t="shared" si="16"/>
        <v>#NUM!</v>
      </c>
      <c r="Z92" s="88" t="e">
        <f t="shared" si="1"/>
        <v>#NUM!</v>
      </c>
      <c r="AB92" s="89">
        <f t="shared" si="99"/>
        <v>107.91000000000001</v>
      </c>
      <c r="AC92" s="87">
        <f t="shared" si="100"/>
        <v>124.94</v>
      </c>
      <c r="AD92" s="87" t="str">
        <f t="shared" si="17"/>
        <v/>
      </c>
      <c r="AE92" s="87" t="str">
        <f t="shared" si="18"/>
        <v/>
      </c>
      <c r="AF92" s="86">
        <f t="shared" si="101"/>
        <v>43902</v>
      </c>
      <c r="AG92" s="87">
        <f t="shared" si="2"/>
        <v>1.5</v>
      </c>
      <c r="AH92" s="87">
        <f t="shared" si="102"/>
        <v>0.31</v>
      </c>
      <c r="AI92" s="90"/>
      <c r="AJ92" s="87" t="e">
        <f t="shared" si="19"/>
        <v>#NUM!</v>
      </c>
      <c r="AK92" s="87" t="e">
        <f t="shared" si="103"/>
        <v>#NUM!</v>
      </c>
      <c r="AL92" s="87" t="e">
        <f t="shared" si="104"/>
        <v>#NUM!</v>
      </c>
      <c r="AM92" s="87" t="e">
        <f t="shared" si="105"/>
        <v>#NUM!</v>
      </c>
      <c r="AN92" s="86">
        <f t="shared" si="20"/>
        <v>0</v>
      </c>
      <c r="AO92" s="87">
        <f t="shared" si="21"/>
        <v>0</v>
      </c>
      <c r="AP92" s="88" t="b">
        <f t="shared" si="22"/>
        <v>0</v>
      </c>
      <c r="AR92" s="89">
        <f t="shared" si="23"/>
        <v>107.91000000000001</v>
      </c>
      <c r="AS92" s="87">
        <f t="shared" si="24"/>
        <v>124.94</v>
      </c>
      <c r="AT92" s="87" t="str">
        <f t="shared" si="25"/>
        <v/>
      </c>
      <c r="AU92" s="87" t="str">
        <f t="shared" si="26"/>
        <v/>
      </c>
      <c r="AV92" s="86">
        <f t="shared" si="106"/>
        <v>43902</v>
      </c>
      <c r="AW92" s="87">
        <f t="shared" si="107"/>
        <v>1.5</v>
      </c>
      <c r="AX92" s="87">
        <f t="shared" si="108"/>
        <v>0.31</v>
      </c>
      <c r="AY92" s="93"/>
      <c r="AZ92" s="87">
        <f t="shared" si="201"/>
        <v>0</v>
      </c>
      <c r="BA92" s="87">
        <f t="shared" si="109"/>
        <v>0</v>
      </c>
      <c r="BB92" s="87">
        <f t="shared" si="110"/>
        <v>0</v>
      </c>
      <c r="BC92" s="87">
        <f t="shared" si="184"/>
        <v>0</v>
      </c>
      <c r="BD92" s="86" t="e">
        <f t="shared" si="27"/>
        <v>#NUM!</v>
      </c>
      <c r="BE92" s="87" t="e">
        <f t="shared" si="3"/>
        <v>#NUM!</v>
      </c>
      <c r="BF92" s="88">
        <f t="shared" si="111"/>
        <v>0</v>
      </c>
      <c r="BH92" s="87" t="e">
        <f t="shared" si="28"/>
        <v>#NUM!</v>
      </c>
      <c r="BI92" s="51"/>
      <c r="BK92" s="95">
        <v>39735</v>
      </c>
      <c r="BL92" s="96">
        <v>13</v>
      </c>
      <c r="BT92" t="s">
        <v>183</v>
      </c>
      <c r="BX92" s="197"/>
      <c r="BY92" s="107"/>
      <c r="BZ92" s="107"/>
      <c r="CA92" s="107"/>
      <c r="CB92" s="107"/>
      <c r="CC92" s="107"/>
      <c r="CD92" s="107"/>
      <c r="CE92" s="107"/>
      <c r="CF92" s="107"/>
      <c r="CG92" s="107"/>
      <c r="CS92" s="108">
        <f t="shared" si="29"/>
        <v>107.15</v>
      </c>
      <c r="CT92" s="109">
        <f t="shared" si="30"/>
        <v>89.600000000000009</v>
      </c>
      <c r="CU92" s="109">
        <f t="shared" si="31"/>
        <v>17.55</v>
      </c>
      <c r="CV92" s="110">
        <f t="shared" si="32"/>
        <v>593.36000000000035</v>
      </c>
      <c r="CX92" s="108">
        <f t="shared" si="33"/>
        <v>0.75</v>
      </c>
      <c r="CY92" s="109">
        <f t="shared" si="113"/>
        <v>0.63</v>
      </c>
      <c r="CZ92" s="109">
        <f t="shared" si="34"/>
        <v>0.12</v>
      </c>
      <c r="DA92" s="110">
        <f t="shared" si="35"/>
        <v>4.1400000000003496</v>
      </c>
      <c r="DC92" s="108">
        <f t="shared" si="114"/>
        <v>107.57000000000001</v>
      </c>
      <c r="DD92" s="109">
        <f t="shared" si="115"/>
        <v>90.160000000000011</v>
      </c>
      <c r="DE92" s="109">
        <f t="shared" si="36"/>
        <v>17.41</v>
      </c>
      <c r="DF92" s="110">
        <f t="shared" si="37"/>
        <v>587.42999999999995</v>
      </c>
      <c r="DH92" s="108">
        <f t="shared" si="38"/>
        <v>0.06</v>
      </c>
      <c r="DI92" s="109">
        <f t="shared" si="39"/>
        <v>4.9999999999999996E-2</v>
      </c>
      <c r="DJ92" s="109">
        <f t="shared" si="40"/>
        <v>0.01</v>
      </c>
      <c r="DK92" s="110">
        <f t="shared" si="41"/>
        <v>0.24999999999992084</v>
      </c>
      <c r="DM92" s="108">
        <f t="shared" si="116"/>
        <v>107.61000000000001</v>
      </c>
      <c r="DN92" s="109">
        <f t="shared" si="117"/>
        <v>90.210000000000008</v>
      </c>
      <c r="DO92" s="109">
        <f t="shared" si="42"/>
        <v>17.399999999999999</v>
      </c>
      <c r="DP92" s="110">
        <f t="shared" si="185"/>
        <v>586.8900000000001</v>
      </c>
      <c r="DR92" s="108">
        <f t="shared" si="43"/>
        <v>-0.01</v>
      </c>
      <c r="DS92" s="109">
        <f t="shared" si="118"/>
        <v>-0.01</v>
      </c>
      <c r="DT92" s="109">
        <f t="shared" si="44"/>
        <v>0</v>
      </c>
      <c r="DU92" s="110">
        <f t="shared" si="119"/>
        <v>9.9999999999863479E-3</v>
      </c>
      <c r="DW92" s="108">
        <f t="shared" si="120"/>
        <v>107.60000000000001</v>
      </c>
      <c r="DX92" s="109">
        <f t="shared" si="121"/>
        <v>90.200000000000017</v>
      </c>
      <c r="DY92" s="109">
        <f t="shared" si="45"/>
        <v>17.399999999999999</v>
      </c>
      <c r="DZ92" s="110">
        <f t="shared" si="186"/>
        <v>587.0300000000002</v>
      </c>
      <c r="EB92" s="108">
        <f t="shared" si="46"/>
        <v>0</v>
      </c>
      <c r="EC92" s="109">
        <f t="shared" si="122"/>
        <v>0</v>
      </c>
      <c r="ED92" s="109">
        <f t="shared" si="47"/>
        <v>0</v>
      </c>
      <c r="EE92" s="110">
        <f t="shared" si="123"/>
        <v>0</v>
      </c>
      <c r="EG92" s="108">
        <f t="shared" si="124"/>
        <v>107.60000000000001</v>
      </c>
      <c r="EH92" s="109">
        <f t="shared" si="125"/>
        <v>90.200000000000017</v>
      </c>
      <c r="EI92" s="109">
        <f t="shared" si="48"/>
        <v>17.399999999999999</v>
      </c>
      <c r="EJ92" s="110">
        <f t="shared" si="187"/>
        <v>587.0300000000002</v>
      </c>
      <c r="EL92" s="108">
        <f t="shared" si="49"/>
        <v>0</v>
      </c>
      <c r="EM92" s="109">
        <f t="shared" si="126"/>
        <v>0</v>
      </c>
      <c r="EN92" s="109">
        <f t="shared" si="50"/>
        <v>0</v>
      </c>
      <c r="EO92" s="110">
        <f t="shared" si="127"/>
        <v>0</v>
      </c>
      <c r="EQ92" s="108">
        <f t="shared" si="128"/>
        <v>107.60000000000001</v>
      </c>
      <c r="ER92" s="109">
        <f t="shared" si="129"/>
        <v>90.200000000000017</v>
      </c>
      <c r="ES92" s="109">
        <f t="shared" si="51"/>
        <v>17.399999999999999</v>
      </c>
      <c r="ET92" s="110">
        <f t="shared" si="188"/>
        <v>587.0300000000002</v>
      </c>
      <c r="EV92" s="108">
        <f t="shared" si="52"/>
        <v>0</v>
      </c>
      <c r="EW92" s="109">
        <f t="shared" si="130"/>
        <v>0</v>
      </c>
      <c r="EX92" s="109">
        <f t="shared" si="53"/>
        <v>0</v>
      </c>
      <c r="EY92" s="110">
        <f t="shared" si="131"/>
        <v>0</v>
      </c>
      <c r="FA92" s="108">
        <f t="shared" si="132"/>
        <v>107.60000000000001</v>
      </c>
      <c r="FB92" s="109">
        <f t="shared" si="133"/>
        <v>90.200000000000017</v>
      </c>
      <c r="FC92" s="109">
        <f t="shared" si="54"/>
        <v>17.399999999999999</v>
      </c>
      <c r="FD92" s="110">
        <f t="shared" si="189"/>
        <v>587.0300000000002</v>
      </c>
      <c r="FF92" s="108">
        <f t="shared" si="55"/>
        <v>0</v>
      </c>
      <c r="FG92" s="109">
        <f t="shared" si="134"/>
        <v>0</v>
      </c>
      <c r="FH92" s="109">
        <f t="shared" si="56"/>
        <v>0</v>
      </c>
      <c r="FI92" s="110">
        <f t="shared" si="135"/>
        <v>0</v>
      </c>
      <c r="FK92" s="108">
        <f t="shared" si="136"/>
        <v>107.60000000000001</v>
      </c>
      <c r="FL92" s="109">
        <f t="shared" si="137"/>
        <v>90.200000000000017</v>
      </c>
      <c r="FM92" s="109">
        <f t="shared" si="57"/>
        <v>17.399999999999999</v>
      </c>
      <c r="FN92" s="110">
        <f t="shared" si="190"/>
        <v>587.0300000000002</v>
      </c>
      <c r="FP92" s="108">
        <f t="shared" si="58"/>
        <v>0</v>
      </c>
      <c r="FQ92" s="109">
        <f t="shared" si="138"/>
        <v>0</v>
      </c>
      <c r="FR92" s="109">
        <f t="shared" si="59"/>
        <v>0</v>
      </c>
      <c r="FS92" s="110">
        <f t="shared" si="139"/>
        <v>0</v>
      </c>
      <c r="FU92" s="108">
        <f t="shared" si="140"/>
        <v>107.60000000000001</v>
      </c>
      <c r="FV92" s="109">
        <f t="shared" si="141"/>
        <v>90.200000000000017</v>
      </c>
      <c r="FW92" s="109">
        <f t="shared" si="60"/>
        <v>17.399999999999999</v>
      </c>
      <c r="FX92" s="110">
        <f t="shared" si="191"/>
        <v>587.0300000000002</v>
      </c>
      <c r="FZ92" s="108">
        <f t="shared" si="61"/>
        <v>0</v>
      </c>
      <c r="GA92" s="109">
        <f t="shared" si="142"/>
        <v>0</v>
      </c>
      <c r="GB92" s="109">
        <f t="shared" si="62"/>
        <v>0</v>
      </c>
      <c r="GC92" s="110">
        <f t="shared" si="143"/>
        <v>0</v>
      </c>
      <c r="GE92" s="108">
        <f t="shared" si="144"/>
        <v>107.60000000000001</v>
      </c>
      <c r="GF92" s="109">
        <f t="shared" si="145"/>
        <v>90.200000000000017</v>
      </c>
      <c r="GG92" s="109">
        <f t="shared" si="146"/>
        <v>17.399999999999999</v>
      </c>
      <c r="GH92" s="110">
        <f t="shared" si="192"/>
        <v>587.0300000000002</v>
      </c>
      <c r="GL92" s="108">
        <f t="shared" si="63"/>
        <v>193.01</v>
      </c>
      <c r="GM92" s="109">
        <f t="shared" si="64"/>
        <v>193.01</v>
      </c>
      <c r="GN92" s="109">
        <f t="shared" si="65"/>
        <v>0</v>
      </c>
      <c r="GO92" s="110">
        <f t="shared" si="66"/>
        <v>-316.11999999999989</v>
      </c>
      <c r="GP92" s="51"/>
      <c r="GQ92" s="108">
        <f t="shared" si="67"/>
        <v>0</v>
      </c>
      <c r="GR92" s="109">
        <f t="shared" si="147"/>
        <v>0</v>
      </c>
      <c r="GS92" s="109">
        <f t="shared" si="68"/>
        <v>0</v>
      </c>
      <c r="GT92" s="110">
        <f t="shared" si="69"/>
        <v>0</v>
      </c>
      <c r="GU92" s="51"/>
      <c r="GV92" s="108">
        <f t="shared" si="148"/>
        <v>193.01</v>
      </c>
      <c r="GW92" s="109">
        <f t="shared" si="149"/>
        <v>193.01</v>
      </c>
      <c r="GX92" s="109">
        <f t="shared" si="70"/>
        <v>0</v>
      </c>
      <c r="GY92" s="110">
        <f t="shared" si="150"/>
        <v>-316.11999999999989</v>
      </c>
      <c r="GZ92" s="51"/>
      <c r="HA92" s="108">
        <f t="shared" si="71"/>
        <v>0</v>
      </c>
      <c r="HB92" s="109">
        <f t="shared" si="151"/>
        <v>0</v>
      </c>
      <c r="HC92" s="109">
        <f t="shared" si="72"/>
        <v>0</v>
      </c>
      <c r="HD92" s="110">
        <f t="shared" si="193"/>
        <v>0</v>
      </c>
      <c r="HE92" s="51"/>
      <c r="HF92" s="108">
        <f t="shared" si="152"/>
        <v>193.01</v>
      </c>
      <c r="HG92" s="109">
        <f t="shared" si="153"/>
        <v>193.01</v>
      </c>
      <c r="HH92" s="109">
        <f t="shared" si="73"/>
        <v>0</v>
      </c>
      <c r="HI92" s="110">
        <f t="shared" si="154"/>
        <v>-316.11999999999989</v>
      </c>
      <c r="HJ92" s="51"/>
      <c r="HK92" s="108">
        <f t="shared" si="74"/>
        <v>0</v>
      </c>
      <c r="HL92" s="109">
        <f t="shared" si="155"/>
        <v>0</v>
      </c>
      <c r="HM92" s="109">
        <f t="shared" si="75"/>
        <v>0</v>
      </c>
      <c r="HN92" s="110">
        <f t="shared" si="194"/>
        <v>0</v>
      </c>
      <c r="HO92" s="51"/>
      <c r="HP92" s="108">
        <f t="shared" si="156"/>
        <v>193.01</v>
      </c>
      <c r="HQ92" s="109">
        <f t="shared" si="157"/>
        <v>193.01</v>
      </c>
      <c r="HR92" s="109">
        <f t="shared" si="76"/>
        <v>0</v>
      </c>
      <c r="HS92" s="110">
        <f t="shared" si="158"/>
        <v>-316.11999999999989</v>
      </c>
      <c r="HT92" s="51"/>
      <c r="HU92" s="108">
        <f t="shared" si="77"/>
        <v>0</v>
      </c>
      <c r="HV92" s="109">
        <f t="shared" si="159"/>
        <v>0</v>
      </c>
      <c r="HW92" s="109">
        <f t="shared" si="78"/>
        <v>0</v>
      </c>
      <c r="HX92" s="110">
        <f t="shared" si="195"/>
        <v>0</v>
      </c>
      <c r="HY92" s="51"/>
      <c r="HZ92" s="108">
        <f t="shared" si="160"/>
        <v>193.01</v>
      </c>
      <c r="IA92" s="109">
        <f t="shared" si="161"/>
        <v>193.01</v>
      </c>
      <c r="IB92" s="109">
        <f t="shared" si="79"/>
        <v>0</v>
      </c>
      <c r="IC92" s="110">
        <f t="shared" si="162"/>
        <v>-316.11999999999989</v>
      </c>
      <c r="ID92" s="51"/>
      <c r="IE92" s="108">
        <f t="shared" si="80"/>
        <v>0</v>
      </c>
      <c r="IF92" s="109">
        <f t="shared" si="163"/>
        <v>0</v>
      </c>
      <c r="IG92" s="109">
        <f t="shared" si="81"/>
        <v>0</v>
      </c>
      <c r="IH92" s="110">
        <f t="shared" si="196"/>
        <v>0</v>
      </c>
      <c r="II92" s="51"/>
      <c r="IJ92" s="108">
        <f t="shared" si="164"/>
        <v>193.01</v>
      </c>
      <c r="IK92" s="109">
        <f t="shared" si="165"/>
        <v>193.01</v>
      </c>
      <c r="IL92" s="109">
        <f t="shared" si="82"/>
        <v>0</v>
      </c>
      <c r="IM92" s="110">
        <f t="shared" si="166"/>
        <v>-316.11999999999989</v>
      </c>
      <c r="IN92" s="51"/>
      <c r="IO92" s="108">
        <f t="shared" si="83"/>
        <v>0</v>
      </c>
      <c r="IP92" s="109">
        <f t="shared" si="167"/>
        <v>0</v>
      </c>
      <c r="IQ92" s="109">
        <f t="shared" si="84"/>
        <v>0</v>
      </c>
      <c r="IR92" s="110">
        <f t="shared" si="197"/>
        <v>0</v>
      </c>
      <c r="IS92" s="51"/>
      <c r="IT92" s="108">
        <f t="shared" si="168"/>
        <v>193.01</v>
      </c>
      <c r="IU92" s="109">
        <f t="shared" si="169"/>
        <v>193.01</v>
      </c>
      <c r="IV92" s="109">
        <f t="shared" si="85"/>
        <v>0</v>
      </c>
      <c r="IW92" s="110">
        <f t="shared" si="170"/>
        <v>-316.11999999999989</v>
      </c>
      <c r="IX92" s="51"/>
      <c r="IY92" s="108">
        <f t="shared" si="86"/>
        <v>0</v>
      </c>
      <c r="IZ92" s="109">
        <f t="shared" si="171"/>
        <v>0</v>
      </c>
      <c r="JA92" s="109">
        <f t="shared" si="87"/>
        <v>0</v>
      </c>
      <c r="JB92" s="110">
        <f t="shared" si="198"/>
        <v>0</v>
      </c>
      <c r="JC92" s="51"/>
      <c r="JD92" s="108">
        <f t="shared" si="172"/>
        <v>193.01</v>
      </c>
      <c r="JE92" s="109">
        <f t="shared" si="173"/>
        <v>193.01</v>
      </c>
      <c r="JF92" s="109">
        <f t="shared" si="88"/>
        <v>0</v>
      </c>
      <c r="JG92" s="110">
        <f t="shared" si="174"/>
        <v>-316.11999999999989</v>
      </c>
      <c r="JH92" s="51"/>
      <c r="JI92" s="108">
        <f t="shared" si="89"/>
        <v>0</v>
      </c>
      <c r="JJ92" s="109">
        <f t="shared" si="175"/>
        <v>0</v>
      </c>
      <c r="JK92" s="109">
        <f t="shared" si="90"/>
        <v>0</v>
      </c>
      <c r="JL92" s="110">
        <f t="shared" si="199"/>
        <v>0</v>
      </c>
      <c r="JM92" s="51"/>
      <c r="JN92" s="108">
        <f t="shared" si="176"/>
        <v>193.01</v>
      </c>
      <c r="JO92" s="109">
        <f t="shared" si="177"/>
        <v>193.01</v>
      </c>
      <c r="JP92" s="109">
        <f t="shared" si="91"/>
        <v>0</v>
      </c>
      <c r="JQ92" s="110">
        <f t="shared" si="178"/>
        <v>-316.11999999999989</v>
      </c>
      <c r="JR92" s="51"/>
      <c r="JS92" s="108">
        <f t="shared" si="92"/>
        <v>0</v>
      </c>
      <c r="JT92" s="109">
        <f t="shared" si="179"/>
        <v>0</v>
      </c>
      <c r="JU92" s="109">
        <f t="shared" si="93"/>
        <v>0</v>
      </c>
      <c r="JV92" s="110">
        <f t="shared" si="200"/>
        <v>0</v>
      </c>
      <c r="JW92" s="51"/>
      <c r="JX92" s="108">
        <f t="shared" si="180"/>
        <v>-123.1099999999999</v>
      </c>
      <c r="JY92" s="109">
        <f t="shared" si="181"/>
        <v>-123.1099999999999</v>
      </c>
      <c r="JZ92" s="109">
        <f t="shared" si="94"/>
        <v>0</v>
      </c>
      <c r="KA92" s="110">
        <f t="shared" si="95"/>
        <v>0</v>
      </c>
    </row>
    <row r="93" spans="1:287" ht="12" customHeight="1">
      <c r="A93" s="105">
        <f t="array" ref="A93">MAX(IF($J$80:J92&gt;0,$C$80:C92,0))</f>
        <v>43536</v>
      </c>
      <c r="B93" s="81">
        <f t="shared" si="4"/>
        <v>13</v>
      </c>
      <c r="C93" s="82">
        <f t="shared" si="182"/>
        <v>43936</v>
      </c>
      <c r="D93" s="83">
        <f t="shared" si="5"/>
        <v>107.89000000000001</v>
      </c>
      <c r="E93" s="83">
        <f t="shared" si="96"/>
        <v>0.28999999999999998</v>
      </c>
      <c r="F93" s="83">
        <f t="shared" si="6"/>
        <v>91.440000000000012</v>
      </c>
      <c r="G93" s="83">
        <f t="shared" si="7"/>
        <v>16.16</v>
      </c>
      <c r="H93" s="83">
        <f t="shared" si="8"/>
        <v>495.5900000000002</v>
      </c>
      <c r="I93" s="105">
        <f t="array" ref="I93">MAX(IF($R$80:R92&gt;0,$L$80:L92,0))</f>
        <v>0</v>
      </c>
      <c r="J93" s="106"/>
      <c r="K93" s="69" t="str">
        <f t="shared" si="9"/>
        <v/>
      </c>
      <c r="L93" s="82">
        <f t="shared" si="183"/>
        <v>0</v>
      </c>
      <c r="M93" s="83" t="str">
        <f t="shared" si="97"/>
        <v/>
      </c>
      <c r="N93" s="83" t="str">
        <f t="shared" si="10"/>
        <v/>
      </c>
      <c r="O93" s="83" t="str">
        <f t="shared" si="11"/>
        <v/>
      </c>
      <c r="P93" s="83" t="str">
        <f t="shared" si="12"/>
        <v/>
      </c>
      <c r="Q93" s="83" t="str">
        <f t="shared" si="13"/>
        <v/>
      </c>
      <c r="R93" s="106"/>
      <c r="S93" s="66"/>
      <c r="U93" s="85" t="e">
        <f t="shared" si="0"/>
        <v>#NUM!</v>
      </c>
      <c r="V93" s="86" t="e">
        <f t="shared" si="98"/>
        <v>#NUM!</v>
      </c>
      <c r="W93" s="87" t="e">
        <f t="shared" si="14"/>
        <v>#NUM!</v>
      </c>
      <c r="X93" s="87" t="e">
        <f t="shared" si="15"/>
        <v>#NUM!</v>
      </c>
      <c r="Y93" s="87" t="e">
        <f t="shared" si="16"/>
        <v>#NUM!</v>
      </c>
      <c r="Z93" s="88" t="e">
        <f t="shared" si="1"/>
        <v>#NUM!</v>
      </c>
      <c r="AB93" s="89">
        <f t="shared" si="99"/>
        <v>107.89000000000001</v>
      </c>
      <c r="AC93" s="87">
        <f t="shared" si="100"/>
        <v>126.29</v>
      </c>
      <c r="AD93" s="87" t="str">
        <f t="shared" si="17"/>
        <v/>
      </c>
      <c r="AE93" s="87" t="str">
        <f t="shared" si="18"/>
        <v/>
      </c>
      <c r="AF93" s="86">
        <f t="shared" si="101"/>
        <v>43933</v>
      </c>
      <c r="AG93" s="87">
        <f t="shared" si="2"/>
        <v>1.5</v>
      </c>
      <c r="AH93" s="87">
        <f t="shared" si="102"/>
        <v>0.28999999999999998</v>
      </c>
      <c r="AI93" s="90"/>
      <c r="AJ93" s="87" t="e">
        <f t="shared" si="19"/>
        <v>#NUM!</v>
      </c>
      <c r="AK93" s="87" t="e">
        <f t="shared" si="103"/>
        <v>#NUM!</v>
      </c>
      <c r="AL93" s="87" t="e">
        <f t="shared" si="104"/>
        <v>#NUM!</v>
      </c>
      <c r="AM93" s="87" t="e">
        <f t="shared" si="105"/>
        <v>#NUM!</v>
      </c>
      <c r="AN93" s="86">
        <f t="shared" si="20"/>
        <v>0</v>
      </c>
      <c r="AO93" s="87">
        <f t="shared" si="21"/>
        <v>0</v>
      </c>
      <c r="AP93" s="88">
        <f t="shared" si="22"/>
        <v>0</v>
      </c>
      <c r="AR93" s="89">
        <f t="shared" si="23"/>
        <v>107.89000000000001</v>
      </c>
      <c r="AS93" s="87">
        <f t="shared" si="24"/>
        <v>126.29</v>
      </c>
      <c r="AT93" s="87" t="str">
        <f t="shared" si="25"/>
        <v/>
      </c>
      <c r="AU93" s="87" t="str">
        <f t="shared" si="26"/>
        <v/>
      </c>
      <c r="AV93" s="86">
        <f t="shared" si="106"/>
        <v>43933</v>
      </c>
      <c r="AW93" s="87">
        <f t="shared" si="107"/>
        <v>1.5</v>
      </c>
      <c r="AX93" s="87">
        <f t="shared" si="108"/>
        <v>0.28999999999999998</v>
      </c>
      <c r="AY93" s="93"/>
      <c r="AZ93" s="87">
        <f t="shared" si="201"/>
        <v>0</v>
      </c>
      <c r="BA93" s="87">
        <f t="shared" si="109"/>
        <v>0</v>
      </c>
      <c r="BB93" s="87">
        <f t="shared" si="110"/>
        <v>0</v>
      </c>
      <c r="BC93" s="87">
        <f t="shared" si="184"/>
        <v>0</v>
      </c>
      <c r="BD93" s="86" t="e">
        <f t="shared" si="27"/>
        <v>#NUM!</v>
      </c>
      <c r="BE93" s="87" t="e">
        <f t="shared" si="3"/>
        <v>#NUM!</v>
      </c>
      <c r="BF93" s="88">
        <f t="shared" si="111"/>
        <v>0</v>
      </c>
      <c r="BH93" s="87" t="e">
        <f t="shared" si="28"/>
        <v>#NUM!</v>
      </c>
      <c r="BK93" s="95">
        <v>39775</v>
      </c>
      <c r="BL93" s="96">
        <v>14</v>
      </c>
      <c r="BT93">
        <v>0</v>
      </c>
      <c r="BU93" s="51">
        <v>500</v>
      </c>
      <c r="BV93" s="30" t="s">
        <v>497</v>
      </c>
      <c r="BY93" s="107"/>
      <c r="BZ93" s="107"/>
      <c r="CA93" s="107"/>
      <c r="CB93" s="107"/>
      <c r="CC93" s="107"/>
      <c r="CD93" s="107"/>
      <c r="CE93" s="107"/>
      <c r="CF93" s="30" t="s">
        <v>497</v>
      </c>
      <c r="CG93" s="30" t="s">
        <v>497</v>
      </c>
      <c r="CS93" s="108">
        <f t="shared" si="29"/>
        <v>107.15</v>
      </c>
      <c r="CT93" s="109">
        <f t="shared" si="30"/>
        <v>90.81</v>
      </c>
      <c r="CU93" s="109">
        <f t="shared" si="31"/>
        <v>16.34</v>
      </c>
      <c r="CV93" s="110">
        <f t="shared" si="32"/>
        <v>502.55000000000035</v>
      </c>
      <c r="CX93" s="108">
        <f t="shared" si="33"/>
        <v>0.75</v>
      </c>
      <c r="CY93" s="109">
        <f t="shared" si="113"/>
        <v>0.64</v>
      </c>
      <c r="CZ93" s="109">
        <f t="shared" si="34"/>
        <v>0.11</v>
      </c>
      <c r="DA93" s="110">
        <f t="shared" si="35"/>
        <v>3.5000000000003495</v>
      </c>
      <c r="DC93" s="108">
        <f t="shared" si="114"/>
        <v>107.57000000000001</v>
      </c>
      <c r="DD93" s="109">
        <f t="shared" si="115"/>
        <v>91.4</v>
      </c>
      <c r="DE93" s="109">
        <f t="shared" si="36"/>
        <v>16.170000000000002</v>
      </c>
      <c r="DF93" s="110">
        <f t="shared" si="37"/>
        <v>496.03</v>
      </c>
      <c r="DH93" s="108">
        <f t="shared" si="38"/>
        <v>0.06</v>
      </c>
      <c r="DI93" s="109">
        <f t="shared" si="39"/>
        <v>4.9999999999999996E-2</v>
      </c>
      <c r="DJ93" s="109">
        <f t="shared" si="40"/>
        <v>0.01</v>
      </c>
      <c r="DK93" s="110">
        <f t="shared" si="41"/>
        <v>0.19999999999992085</v>
      </c>
      <c r="DM93" s="108">
        <f t="shared" si="116"/>
        <v>107.61000000000001</v>
      </c>
      <c r="DN93" s="109">
        <f t="shared" si="117"/>
        <v>91.450000000000017</v>
      </c>
      <c r="DO93" s="109">
        <f t="shared" si="42"/>
        <v>16.16</v>
      </c>
      <c r="DP93" s="110">
        <f t="shared" si="185"/>
        <v>495.44000000000005</v>
      </c>
      <c r="DR93" s="108">
        <f t="shared" si="43"/>
        <v>-0.01</v>
      </c>
      <c r="DS93" s="109">
        <f t="shared" si="118"/>
        <v>-0.01</v>
      </c>
      <c r="DT93" s="109">
        <f t="shared" si="44"/>
        <v>0</v>
      </c>
      <c r="DU93" s="110">
        <f t="shared" si="119"/>
        <v>1.9999999999986348E-2</v>
      </c>
      <c r="DW93" s="108">
        <f t="shared" si="120"/>
        <v>107.60000000000001</v>
      </c>
      <c r="DX93" s="109">
        <f t="shared" si="121"/>
        <v>91.440000000000012</v>
      </c>
      <c r="DY93" s="109">
        <f t="shared" si="45"/>
        <v>16.16</v>
      </c>
      <c r="DZ93" s="110">
        <f t="shared" si="186"/>
        <v>495.5900000000002</v>
      </c>
      <c r="EB93" s="108">
        <f t="shared" si="46"/>
        <v>0</v>
      </c>
      <c r="EC93" s="109">
        <f t="shared" si="122"/>
        <v>0</v>
      </c>
      <c r="ED93" s="109">
        <f t="shared" si="47"/>
        <v>0</v>
      </c>
      <c r="EE93" s="110">
        <f t="shared" si="123"/>
        <v>0</v>
      </c>
      <c r="EG93" s="108">
        <f t="shared" si="124"/>
        <v>107.60000000000001</v>
      </c>
      <c r="EH93" s="109">
        <f t="shared" si="125"/>
        <v>91.440000000000012</v>
      </c>
      <c r="EI93" s="109">
        <f t="shared" si="48"/>
        <v>16.16</v>
      </c>
      <c r="EJ93" s="110">
        <f t="shared" si="187"/>
        <v>495.5900000000002</v>
      </c>
      <c r="EL93" s="108">
        <f t="shared" si="49"/>
        <v>0</v>
      </c>
      <c r="EM93" s="109">
        <f t="shared" si="126"/>
        <v>0</v>
      </c>
      <c r="EN93" s="109">
        <f t="shared" si="50"/>
        <v>0</v>
      </c>
      <c r="EO93" s="110">
        <f t="shared" si="127"/>
        <v>0</v>
      </c>
      <c r="EQ93" s="108">
        <f t="shared" si="128"/>
        <v>107.60000000000001</v>
      </c>
      <c r="ER93" s="109">
        <f t="shared" si="129"/>
        <v>91.440000000000012</v>
      </c>
      <c r="ES93" s="109">
        <f t="shared" si="51"/>
        <v>16.16</v>
      </c>
      <c r="ET93" s="110">
        <f t="shared" si="188"/>
        <v>495.5900000000002</v>
      </c>
      <c r="EV93" s="108">
        <f t="shared" si="52"/>
        <v>0</v>
      </c>
      <c r="EW93" s="109">
        <f t="shared" si="130"/>
        <v>0</v>
      </c>
      <c r="EX93" s="109">
        <f t="shared" si="53"/>
        <v>0</v>
      </c>
      <c r="EY93" s="110">
        <f t="shared" si="131"/>
        <v>0</v>
      </c>
      <c r="FA93" s="108">
        <f t="shared" si="132"/>
        <v>107.60000000000001</v>
      </c>
      <c r="FB93" s="109">
        <f t="shared" si="133"/>
        <v>91.440000000000012</v>
      </c>
      <c r="FC93" s="109">
        <f t="shared" si="54"/>
        <v>16.16</v>
      </c>
      <c r="FD93" s="110">
        <f t="shared" si="189"/>
        <v>495.5900000000002</v>
      </c>
      <c r="FF93" s="108">
        <f t="shared" si="55"/>
        <v>0</v>
      </c>
      <c r="FG93" s="109">
        <f t="shared" si="134"/>
        <v>0</v>
      </c>
      <c r="FH93" s="109">
        <f t="shared" si="56"/>
        <v>0</v>
      </c>
      <c r="FI93" s="110">
        <f t="shared" si="135"/>
        <v>0</v>
      </c>
      <c r="FK93" s="108">
        <f t="shared" si="136"/>
        <v>107.60000000000001</v>
      </c>
      <c r="FL93" s="109">
        <f t="shared" si="137"/>
        <v>91.440000000000012</v>
      </c>
      <c r="FM93" s="109">
        <f t="shared" si="57"/>
        <v>16.16</v>
      </c>
      <c r="FN93" s="110">
        <f t="shared" si="190"/>
        <v>495.5900000000002</v>
      </c>
      <c r="FP93" s="108">
        <f t="shared" si="58"/>
        <v>0</v>
      </c>
      <c r="FQ93" s="109">
        <f t="shared" si="138"/>
        <v>0</v>
      </c>
      <c r="FR93" s="109">
        <f t="shared" si="59"/>
        <v>0</v>
      </c>
      <c r="FS93" s="110">
        <f t="shared" si="139"/>
        <v>0</v>
      </c>
      <c r="FU93" s="108">
        <f t="shared" si="140"/>
        <v>107.60000000000001</v>
      </c>
      <c r="FV93" s="109">
        <f t="shared" si="141"/>
        <v>91.440000000000012</v>
      </c>
      <c r="FW93" s="109">
        <f t="shared" si="60"/>
        <v>16.16</v>
      </c>
      <c r="FX93" s="110">
        <f t="shared" si="191"/>
        <v>495.5900000000002</v>
      </c>
      <c r="FZ93" s="108">
        <f t="shared" si="61"/>
        <v>0</v>
      </c>
      <c r="GA93" s="109">
        <f t="shared" si="142"/>
        <v>0</v>
      </c>
      <c r="GB93" s="109">
        <f t="shared" si="62"/>
        <v>0</v>
      </c>
      <c r="GC93" s="110">
        <f t="shared" si="143"/>
        <v>0</v>
      </c>
      <c r="GE93" s="108">
        <f t="shared" si="144"/>
        <v>107.60000000000001</v>
      </c>
      <c r="GF93" s="109">
        <f t="shared" si="145"/>
        <v>91.440000000000012</v>
      </c>
      <c r="GG93" s="109">
        <f t="shared" si="146"/>
        <v>16.16</v>
      </c>
      <c r="GH93" s="110">
        <f t="shared" si="192"/>
        <v>495.5900000000002</v>
      </c>
      <c r="GL93" s="108" t="str">
        <f t="shared" si="63"/>
        <v/>
      </c>
      <c r="GM93" s="109" t="str">
        <f t="shared" si="64"/>
        <v/>
      </c>
      <c r="GN93" s="109" t="str">
        <f t="shared" si="65"/>
        <v/>
      </c>
      <c r="GO93" s="110" t="str">
        <f t="shared" si="66"/>
        <v/>
      </c>
      <c r="GP93" s="51"/>
      <c r="GQ93" s="108" t="str">
        <f t="shared" si="67"/>
        <v/>
      </c>
      <c r="GR93" s="109" t="str">
        <f t="shared" si="147"/>
        <v/>
      </c>
      <c r="GS93" s="109" t="str">
        <f t="shared" si="68"/>
        <v/>
      </c>
      <c r="GT93" s="110" t="str">
        <f t="shared" si="69"/>
        <v/>
      </c>
      <c r="GU93" s="51"/>
      <c r="GV93" s="108" t="str">
        <f t="shared" si="148"/>
        <v/>
      </c>
      <c r="GW93" s="109" t="str">
        <f t="shared" si="149"/>
        <v/>
      </c>
      <c r="GX93" s="109" t="str">
        <f t="shared" si="70"/>
        <v/>
      </c>
      <c r="GY93" s="110" t="str">
        <f t="shared" si="150"/>
        <v/>
      </c>
      <c r="GZ93" s="51"/>
      <c r="HA93" s="108" t="str">
        <f t="shared" si="71"/>
        <v/>
      </c>
      <c r="HB93" s="109" t="str">
        <f t="shared" si="151"/>
        <v/>
      </c>
      <c r="HC93" s="109" t="str">
        <f t="shared" si="72"/>
        <v/>
      </c>
      <c r="HD93" s="110" t="str">
        <f t="shared" si="193"/>
        <v/>
      </c>
      <c r="HE93" s="51"/>
      <c r="HF93" s="108" t="str">
        <f t="shared" si="152"/>
        <v/>
      </c>
      <c r="HG93" s="109" t="str">
        <f t="shared" si="153"/>
        <v/>
      </c>
      <c r="HH93" s="109" t="str">
        <f t="shared" si="73"/>
        <v/>
      </c>
      <c r="HI93" s="110" t="str">
        <f t="shared" si="154"/>
        <v/>
      </c>
      <c r="HJ93" s="51"/>
      <c r="HK93" s="108" t="str">
        <f t="shared" si="74"/>
        <v/>
      </c>
      <c r="HL93" s="109" t="str">
        <f t="shared" si="155"/>
        <v/>
      </c>
      <c r="HM93" s="109" t="str">
        <f t="shared" si="75"/>
        <v/>
      </c>
      <c r="HN93" s="110" t="str">
        <f t="shared" si="194"/>
        <v/>
      </c>
      <c r="HO93" s="51"/>
      <c r="HP93" s="108" t="str">
        <f t="shared" si="156"/>
        <v/>
      </c>
      <c r="HQ93" s="109" t="str">
        <f t="shared" si="157"/>
        <v/>
      </c>
      <c r="HR93" s="109" t="str">
        <f t="shared" si="76"/>
        <v/>
      </c>
      <c r="HS93" s="110" t="str">
        <f t="shared" si="158"/>
        <v/>
      </c>
      <c r="HT93" s="51"/>
      <c r="HU93" s="108" t="str">
        <f t="shared" si="77"/>
        <v/>
      </c>
      <c r="HV93" s="109" t="str">
        <f t="shared" si="159"/>
        <v/>
      </c>
      <c r="HW93" s="109" t="str">
        <f t="shared" si="78"/>
        <v/>
      </c>
      <c r="HX93" s="110" t="str">
        <f t="shared" si="195"/>
        <v/>
      </c>
      <c r="HY93" s="51"/>
      <c r="HZ93" s="108" t="str">
        <f t="shared" si="160"/>
        <v/>
      </c>
      <c r="IA93" s="109" t="str">
        <f t="shared" si="161"/>
        <v/>
      </c>
      <c r="IB93" s="109" t="str">
        <f t="shared" si="79"/>
        <v/>
      </c>
      <c r="IC93" s="110" t="str">
        <f t="shared" si="162"/>
        <v/>
      </c>
      <c r="ID93" s="51"/>
      <c r="IE93" s="108" t="str">
        <f t="shared" si="80"/>
        <v/>
      </c>
      <c r="IF93" s="109" t="str">
        <f t="shared" si="163"/>
        <v/>
      </c>
      <c r="IG93" s="109" t="str">
        <f t="shared" si="81"/>
        <v/>
      </c>
      <c r="IH93" s="110" t="str">
        <f t="shared" si="196"/>
        <v/>
      </c>
      <c r="II93" s="51"/>
      <c r="IJ93" s="108" t="str">
        <f t="shared" si="164"/>
        <v/>
      </c>
      <c r="IK93" s="109" t="str">
        <f t="shared" si="165"/>
        <v/>
      </c>
      <c r="IL93" s="109" t="str">
        <f t="shared" si="82"/>
        <v/>
      </c>
      <c r="IM93" s="110" t="str">
        <f t="shared" si="166"/>
        <v/>
      </c>
      <c r="IN93" s="51"/>
      <c r="IO93" s="108" t="str">
        <f t="shared" si="83"/>
        <v/>
      </c>
      <c r="IP93" s="109" t="str">
        <f t="shared" si="167"/>
        <v/>
      </c>
      <c r="IQ93" s="109" t="str">
        <f t="shared" si="84"/>
        <v/>
      </c>
      <c r="IR93" s="110" t="str">
        <f t="shared" si="197"/>
        <v/>
      </c>
      <c r="IS93" s="51"/>
      <c r="IT93" s="108" t="str">
        <f t="shared" si="168"/>
        <v/>
      </c>
      <c r="IU93" s="109" t="str">
        <f t="shared" si="169"/>
        <v/>
      </c>
      <c r="IV93" s="109" t="str">
        <f t="shared" si="85"/>
        <v/>
      </c>
      <c r="IW93" s="110" t="str">
        <f t="shared" si="170"/>
        <v/>
      </c>
      <c r="IX93" s="51"/>
      <c r="IY93" s="108" t="str">
        <f t="shared" si="86"/>
        <v/>
      </c>
      <c r="IZ93" s="109" t="str">
        <f t="shared" si="171"/>
        <v/>
      </c>
      <c r="JA93" s="109" t="str">
        <f t="shared" si="87"/>
        <v/>
      </c>
      <c r="JB93" s="110" t="str">
        <f t="shared" si="198"/>
        <v/>
      </c>
      <c r="JC93" s="51"/>
      <c r="JD93" s="108" t="str">
        <f t="shared" si="172"/>
        <v/>
      </c>
      <c r="JE93" s="109" t="str">
        <f t="shared" si="173"/>
        <v/>
      </c>
      <c r="JF93" s="109" t="str">
        <f t="shared" si="88"/>
        <v/>
      </c>
      <c r="JG93" s="110" t="str">
        <f t="shared" si="174"/>
        <v/>
      </c>
      <c r="JH93" s="51"/>
      <c r="JI93" s="108" t="str">
        <f t="shared" si="89"/>
        <v/>
      </c>
      <c r="JJ93" s="109" t="str">
        <f t="shared" si="175"/>
        <v/>
      </c>
      <c r="JK93" s="109" t="str">
        <f t="shared" si="90"/>
        <v/>
      </c>
      <c r="JL93" s="110" t="str">
        <f t="shared" si="199"/>
        <v/>
      </c>
      <c r="JM93" s="51"/>
      <c r="JN93" s="108" t="str">
        <f t="shared" si="176"/>
        <v/>
      </c>
      <c r="JO93" s="109" t="str">
        <f t="shared" si="177"/>
        <v/>
      </c>
      <c r="JP93" s="109" t="str">
        <f t="shared" si="91"/>
        <v/>
      </c>
      <c r="JQ93" s="110" t="str">
        <f t="shared" si="178"/>
        <v/>
      </c>
      <c r="JR93" s="51"/>
      <c r="JS93" s="108" t="str">
        <f t="shared" si="92"/>
        <v/>
      </c>
      <c r="JT93" s="109" t="str">
        <f t="shared" si="179"/>
        <v/>
      </c>
      <c r="JU93" s="109" t="str">
        <f t="shared" si="93"/>
        <v/>
      </c>
      <c r="JV93" s="110" t="str">
        <f t="shared" si="200"/>
        <v/>
      </c>
      <c r="JW93" s="51"/>
      <c r="JX93" s="108" t="str">
        <f t="shared" si="180"/>
        <v/>
      </c>
      <c r="JY93" s="109" t="str">
        <f t="shared" si="181"/>
        <v/>
      </c>
      <c r="JZ93" s="109" t="str">
        <f t="shared" si="94"/>
        <v/>
      </c>
      <c r="KA93" s="110" t="str">
        <f t="shared" si="95"/>
        <v/>
      </c>
    </row>
    <row r="94" spans="1:287" ht="12" customHeight="1">
      <c r="A94" s="105">
        <f t="array" ref="A94">MAX(IF($J$80:J93&gt;0,$C$80:C93,0))</f>
        <v>43536</v>
      </c>
      <c r="B94" s="81">
        <f t="shared" si="4"/>
        <v>14</v>
      </c>
      <c r="C94" s="82">
        <f t="shared" si="182"/>
        <v>43966</v>
      </c>
      <c r="D94" s="83">
        <f t="shared" si="5"/>
        <v>107.84</v>
      </c>
      <c r="E94" s="83">
        <f t="shared" si="96"/>
        <v>0.24</v>
      </c>
      <c r="F94" s="83">
        <f t="shared" si="6"/>
        <v>93.95</v>
      </c>
      <c r="G94" s="83">
        <f t="shared" si="7"/>
        <v>13.65</v>
      </c>
      <c r="H94" s="83">
        <f t="shared" si="8"/>
        <v>401.64000000000021</v>
      </c>
      <c r="I94" s="105">
        <f t="array" ref="I94">MAX(IF($R$80:R93&gt;0,$L$80:L93,0))</f>
        <v>0</v>
      </c>
      <c r="J94" s="106"/>
      <c r="K94" s="69" t="str">
        <f t="shared" si="9"/>
        <v/>
      </c>
      <c r="L94" s="82">
        <f t="shared" si="183"/>
        <v>0</v>
      </c>
      <c r="M94" s="83" t="str">
        <f t="shared" si="97"/>
        <v/>
      </c>
      <c r="N94" s="83" t="str">
        <f t="shared" si="10"/>
        <v/>
      </c>
      <c r="O94" s="83" t="str">
        <f t="shared" si="11"/>
        <v/>
      </c>
      <c r="P94" s="83" t="str">
        <f t="shared" si="12"/>
        <v/>
      </c>
      <c r="Q94" s="83" t="str">
        <f t="shared" si="13"/>
        <v/>
      </c>
      <c r="R94" s="106"/>
      <c r="S94" s="66"/>
      <c r="U94" s="85" t="e">
        <f t="shared" si="0"/>
        <v>#NUM!</v>
      </c>
      <c r="V94" s="86" t="e">
        <f t="shared" si="98"/>
        <v>#NUM!</v>
      </c>
      <c r="W94" s="87" t="e">
        <f t="shared" si="14"/>
        <v>#NUM!</v>
      </c>
      <c r="X94" s="87" t="e">
        <f t="shared" si="15"/>
        <v>#NUM!</v>
      </c>
      <c r="Y94" s="87" t="e">
        <f t="shared" si="16"/>
        <v>#NUM!</v>
      </c>
      <c r="Z94" s="88" t="e">
        <f t="shared" si="1"/>
        <v>#NUM!</v>
      </c>
      <c r="AB94" s="89">
        <f t="shared" si="99"/>
        <v>107.84</v>
      </c>
      <c r="AC94" s="87">
        <f t="shared" si="100"/>
        <v>127.62</v>
      </c>
      <c r="AD94" s="87" t="str">
        <f t="shared" si="17"/>
        <v/>
      </c>
      <c r="AE94" s="87" t="str">
        <f t="shared" si="18"/>
        <v/>
      </c>
      <c r="AF94" s="86">
        <f t="shared" si="101"/>
        <v>43963</v>
      </c>
      <c r="AG94" s="87">
        <f t="shared" si="2"/>
        <v>1.5</v>
      </c>
      <c r="AH94" s="87">
        <f t="shared" si="102"/>
        <v>0.24</v>
      </c>
      <c r="AI94" s="113"/>
      <c r="AJ94" s="87" t="e">
        <f t="shared" si="19"/>
        <v>#NUM!</v>
      </c>
      <c r="AK94" s="87" t="e">
        <f t="shared" si="103"/>
        <v>#NUM!</v>
      </c>
      <c r="AL94" s="87" t="e">
        <f t="shared" si="104"/>
        <v>#NUM!</v>
      </c>
      <c r="AM94" s="87" t="e">
        <f t="shared" si="105"/>
        <v>#NUM!</v>
      </c>
      <c r="AN94" s="86">
        <f t="shared" si="20"/>
        <v>0</v>
      </c>
      <c r="AO94" s="87">
        <f t="shared" si="21"/>
        <v>0</v>
      </c>
      <c r="AP94" s="88">
        <f t="shared" si="22"/>
        <v>0</v>
      </c>
      <c r="AR94" s="89">
        <f t="shared" si="23"/>
        <v>107.84</v>
      </c>
      <c r="AS94" s="87">
        <f t="shared" si="24"/>
        <v>127.62</v>
      </c>
      <c r="AT94" s="87" t="str">
        <f t="shared" si="25"/>
        <v/>
      </c>
      <c r="AU94" s="87" t="str">
        <f t="shared" si="26"/>
        <v/>
      </c>
      <c r="AV94" s="86">
        <f t="shared" si="106"/>
        <v>43963</v>
      </c>
      <c r="AW94" s="87">
        <f t="shared" si="107"/>
        <v>1.5</v>
      </c>
      <c r="AX94" s="87">
        <f t="shared" si="108"/>
        <v>0.24</v>
      </c>
      <c r="AY94" s="93"/>
      <c r="AZ94" s="87">
        <f t="shared" si="201"/>
        <v>0</v>
      </c>
      <c r="BA94" s="87">
        <f t="shared" si="109"/>
        <v>0</v>
      </c>
      <c r="BB94" s="87">
        <f t="shared" si="110"/>
        <v>0</v>
      </c>
      <c r="BC94" s="87">
        <f t="shared" si="184"/>
        <v>0</v>
      </c>
      <c r="BD94" s="86" t="e">
        <f t="shared" si="27"/>
        <v>#NUM!</v>
      </c>
      <c r="BE94" s="87" t="e">
        <f t="shared" si="3"/>
        <v>#NUM!</v>
      </c>
      <c r="BF94" s="88">
        <f t="shared" si="111"/>
        <v>0</v>
      </c>
      <c r="BH94" s="87" t="e">
        <f t="shared" si="28"/>
        <v>#NUM!</v>
      </c>
      <c r="BK94" s="95">
        <v>39814</v>
      </c>
      <c r="BL94" s="96">
        <v>15</v>
      </c>
      <c r="BT94" s="51">
        <v>500</v>
      </c>
      <c r="BU94" s="51">
        <v>5000</v>
      </c>
      <c r="BV94" s="30">
        <v>0.22</v>
      </c>
      <c r="BY94" s="107"/>
      <c r="BZ94" s="107"/>
      <c r="CA94" s="107"/>
      <c r="CB94" s="107"/>
      <c r="CC94" s="107"/>
      <c r="CD94" s="107"/>
      <c r="CE94" s="107"/>
      <c r="CF94" s="107">
        <v>0.02</v>
      </c>
      <c r="CG94" s="107">
        <v>6.0000000000000001E-3</v>
      </c>
      <c r="CS94" s="108">
        <f t="shared" si="29"/>
        <v>107.15</v>
      </c>
      <c r="CT94" s="109">
        <f t="shared" si="30"/>
        <v>93.31</v>
      </c>
      <c r="CU94" s="109">
        <f t="shared" si="31"/>
        <v>13.84</v>
      </c>
      <c r="CV94" s="110">
        <f t="shared" si="32"/>
        <v>409.24000000000035</v>
      </c>
      <c r="CX94" s="108">
        <f t="shared" si="33"/>
        <v>0.75</v>
      </c>
      <c r="CY94" s="109">
        <f t="shared" si="113"/>
        <v>0.65</v>
      </c>
      <c r="CZ94" s="109">
        <f t="shared" si="34"/>
        <v>0.1</v>
      </c>
      <c r="DA94" s="110">
        <f t="shared" si="35"/>
        <v>2.8500000000003496</v>
      </c>
      <c r="DC94" s="108">
        <f t="shared" si="114"/>
        <v>107.57000000000001</v>
      </c>
      <c r="DD94" s="109">
        <f t="shared" si="115"/>
        <v>93.910000000000011</v>
      </c>
      <c r="DE94" s="109">
        <f t="shared" si="36"/>
        <v>13.66</v>
      </c>
      <c r="DF94" s="110">
        <f t="shared" si="37"/>
        <v>402.11999999999995</v>
      </c>
      <c r="DH94" s="108">
        <f t="shared" si="38"/>
        <v>0.06</v>
      </c>
      <c r="DI94" s="109">
        <f t="shared" si="39"/>
        <v>4.9999999999999996E-2</v>
      </c>
      <c r="DJ94" s="109">
        <f t="shared" si="40"/>
        <v>0.01</v>
      </c>
      <c r="DK94" s="110">
        <f t="shared" si="41"/>
        <v>0.14999999999992086</v>
      </c>
      <c r="DM94" s="108">
        <f t="shared" si="116"/>
        <v>107.61000000000001</v>
      </c>
      <c r="DN94" s="109">
        <f t="shared" si="117"/>
        <v>93.970000000000013</v>
      </c>
      <c r="DO94" s="109">
        <f t="shared" si="42"/>
        <v>13.64</v>
      </c>
      <c r="DP94" s="110">
        <f t="shared" si="185"/>
        <v>401.47</v>
      </c>
      <c r="DR94" s="108">
        <f t="shared" si="43"/>
        <v>-0.01</v>
      </c>
      <c r="DS94" s="109">
        <f t="shared" si="118"/>
        <v>-0.01</v>
      </c>
      <c r="DT94" s="109">
        <f t="shared" si="44"/>
        <v>0</v>
      </c>
      <c r="DU94" s="110">
        <f t="shared" si="119"/>
        <v>2.999999999998635E-2</v>
      </c>
      <c r="DW94" s="108">
        <f t="shared" si="120"/>
        <v>107.60000000000001</v>
      </c>
      <c r="DX94" s="109">
        <f t="shared" si="121"/>
        <v>93.95</v>
      </c>
      <c r="DY94" s="109">
        <f t="shared" si="45"/>
        <v>13.65</v>
      </c>
      <c r="DZ94" s="110">
        <f t="shared" si="186"/>
        <v>401.64000000000021</v>
      </c>
      <c r="EB94" s="108">
        <f t="shared" si="46"/>
        <v>0</v>
      </c>
      <c r="EC94" s="109">
        <f t="shared" si="122"/>
        <v>0</v>
      </c>
      <c r="ED94" s="109">
        <f t="shared" si="47"/>
        <v>0</v>
      </c>
      <c r="EE94" s="110">
        <f t="shared" si="123"/>
        <v>0</v>
      </c>
      <c r="EG94" s="108">
        <f t="shared" si="124"/>
        <v>107.60000000000001</v>
      </c>
      <c r="EH94" s="109">
        <f t="shared" si="125"/>
        <v>93.95</v>
      </c>
      <c r="EI94" s="109">
        <f t="shared" si="48"/>
        <v>13.65</v>
      </c>
      <c r="EJ94" s="110">
        <f t="shared" si="187"/>
        <v>401.64000000000021</v>
      </c>
      <c r="EL94" s="108">
        <f t="shared" si="49"/>
        <v>0</v>
      </c>
      <c r="EM94" s="109">
        <f t="shared" si="126"/>
        <v>0</v>
      </c>
      <c r="EN94" s="109">
        <f t="shared" si="50"/>
        <v>0</v>
      </c>
      <c r="EO94" s="110">
        <f t="shared" si="127"/>
        <v>0</v>
      </c>
      <c r="EQ94" s="108">
        <f t="shared" si="128"/>
        <v>107.60000000000001</v>
      </c>
      <c r="ER94" s="109">
        <f t="shared" si="129"/>
        <v>93.95</v>
      </c>
      <c r="ES94" s="109">
        <f t="shared" si="51"/>
        <v>13.65</v>
      </c>
      <c r="ET94" s="110">
        <f t="shared" si="188"/>
        <v>401.64000000000021</v>
      </c>
      <c r="EV94" s="108">
        <f t="shared" si="52"/>
        <v>0</v>
      </c>
      <c r="EW94" s="109">
        <f t="shared" si="130"/>
        <v>0</v>
      </c>
      <c r="EX94" s="109">
        <f t="shared" si="53"/>
        <v>0</v>
      </c>
      <c r="EY94" s="110">
        <f t="shared" si="131"/>
        <v>0</v>
      </c>
      <c r="FA94" s="108">
        <f t="shared" si="132"/>
        <v>107.60000000000001</v>
      </c>
      <c r="FB94" s="109">
        <f t="shared" si="133"/>
        <v>93.95</v>
      </c>
      <c r="FC94" s="109">
        <f t="shared" si="54"/>
        <v>13.65</v>
      </c>
      <c r="FD94" s="110">
        <f t="shared" si="189"/>
        <v>401.64000000000021</v>
      </c>
      <c r="FF94" s="108">
        <f t="shared" si="55"/>
        <v>0</v>
      </c>
      <c r="FG94" s="109">
        <f t="shared" si="134"/>
        <v>0</v>
      </c>
      <c r="FH94" s="109">
        <f t="shared" si="56"/>
        <v>0</v>
      </c>
      <c r="FI94" s="110">
        <f t="shared" si="135"/>
        <v>0</v>
      </c>
      <c r="FK94" s="108">
        <f t="shared" si="136"/>
        <v>107.60000000000001</v>
      </c>
      <c r="FL94" s="109">
        <f t="shared" si="137"/>
        <v>93.95</v>
      </c>
      <c r="FM94" s="109">
        <f t="shared" si="57"/>
        <v>13.65</v>
      </c>
      <c r="FN94" s="110">
        <f t="shared" si="190"/>
        <v>401.64000000000021</v>
      </c>
      <c r="FP94" s="108">
        <f t="shared" si="58"/>
        <v>0</v>
      </c>
      <c r="FQ94" s="109">
        <f t="shared" si="138"/>
        <v>0</v>
      </c>
      <c r="FR94" s="109">
        <f t="shared" si="59"/>
        <v>0</v>
      </c>
      <c r="FS94" s="110">
        <f t="shared" si="139"/>
        <v>0</v>
      </c>
      <c r="FU94" s="108">
        <f t="shared" si="140"/>
        <v>107.60000000000001</v>
      </c>
      <c r="FV94" s="109">
        <f t="shared" si="141"/>
        <v>93.95</v>
      </c>
      <c r="FW94" s="109">
        <f t="shared" si="60"/>
        <v>13.65</v>
      </c>
      <c r="FX94" s="110">
        <f t="shared" si="191"/>
        <v>401.64000000000021</v>
      </c>
      <c r="FZ94" s="108">
        <f t="shared" si="61"/>
        <v>0</v>
      </c>
      <c r="GA94" s="109">
        <f t="shared" si="142"/>
        <v>0</v>
      </c>
      <c r="GB94" s="109">
        <f t="shared" si="62"/>
        <v>0</v>
      </c>
      <c r="GC94" s="110">
        <f t="shared" si="143"/>
        <v>0</v>
      </c>
      <c r="GE94" s="108">
        <f t="shared" si="144"/>
        <v>107.60000000000001</v>
      </c>
      <c r="GF94" s="109">
        <f t="shared" si="145"/>
        <v>93.95</v>
      </c>
      <c r="GG94" s="109">
        <f t="shared" si="146"/>
        <v>13.65</v>
      </c>
      <c r="GH94" s="110">
        <f t="shared" si="192"/>
        <v>401.64000000000021</v>
      </c>
      <c r="GL94" s="108" t="str">
        <f t="shared" si="63"/>
        <v/>
      </c>
      <c r="GM94" s="109" t="str">
        <f t="shared" si="64"/>
        <v/>
      </c>
      <c r="GN94" s="109" t="str">
        <f t="shared" si="65"/>
        <v/>
      </c>
      <c r="GO94" s="110" t="str">
        <f t="shared" si="66"/>
        <v/>
      </c>
      <c r="GP94" s="51"/>
      <c r="GQ94" s="108" t="str">
        <f t="shared" si="67"/>
        <v/>
      </c>
      <c r="GR94" s="109" t="str">
        <f t="shared" si="147"/>
        <v/>
      </c>
      <c r="GS94" s="109" t="str">
        <f t="shared" si="68"/>
        <v/>
      </c>
      <c r="GT94" s="110" t="str">
        <f t="shared" si="69"/>
        <v/>
      </c>
      <c r="GU94" s="51"/>
      <c r="GV94" s="108" t="str">
        <f t="shared" si="148"/>
        <v/>
      </c>
      <c r="GW94" s="109" t="str">
        <f t="shared" si="149"/>
        <v/>
      </c>
      <c r="GX94" s="109" t="str">
        <f t="shared" si="70"/>
        <v/>
      </c>
      <c r="GY94" s="110" t="str">
        <f t="shared" si="150"/>
        <v/>
      </c>
      <c r="GZ94" s="51"/>
      <c r="HA94" s="108" t="str">
        <f t="shared" si="71"/>
        <v/>
      </c>
      <c r="HB94" s="109" t="str">
        <f t="shared" si="151"/>
        <v/>
      </c>
      <c r="HC94" s="109" t="str">
        <f t="shared" si="72"/>
        <v/>
      </c>
      <c r="HD94" s="110" t="str">
        <f t="shared" si="193"/>
        <v/>
      </c>
      <c r="HE94" s="51"/>
      <c r="HF94" s="108" t="str">
        <f t="shared" si="152"/>
        <v/>
      </c>
      <c r="HG94" s="109" t="str">
        <f t="shared" si="153"/>
        <v/>
      </c>
      <c r="HH94" s="109" t="str">
        <f t="shared" si="73"/>
        <v/>
      </c>
      <c r="HI94" s="110" t="str">
        <f t="shared" si="154"/>
        <v/>
      </c>
      <c r="HJ94" s="51"/>
      <c r="HK94" s="108" t="str">
        <f t="shared" si="74"/>
        <v/>
      </c>
      <c r="HL94" s="109" t="str">
        <f t="shared" si="155"/>
        <v/>
      </c>
      <c r="HM94" s="109" t="str">
        <f t="shared" si="75"/>
        <v/>
      </c>
      <c r="HN94" s="110" t="str">
        <f t="shared" si="194"/>
        <v/>
      </c>
      <c r="HO94" s="51"/>
      <c r="HP94" s="108" t="str">
        <f t="shared" si="156"/>
        <v/>
      </c>
      <c r="HQ94" s="109" t="str">
        <f t="shared" si="157"/>
        <v/>
      </c>
      <c r="HR94" s="109" t="str">
        <f t="shared" si="76"/>
        <v/>
      </c>
      <c r="HS94" s="110" t="str">
        <f t="shared" si="158"/>
        <v/>
      </c>
      <c r="HT94" s="51"/>
      <c r="HU94" s="108" t="str">
        <f t="shared" si="77"/>
        <v/>
      </c>
      <c r="HV94" s="109" t="str">
        <f t="shared" si="159"/>
        <v/>
      </c>
      <c r="HW94" s="109" t="str">
        <f t="shared" si="78"/>
        <v/>
      </c>
      <c r="HX94" s="110" t="str">
        <f t="shared" si="195"/>
        <v/>
      </c>
      <c r="HY94" s="51"/>
      <c r="HZ94" s="108" t="str">
        <f t="shared" si="160"/>
        <v/>
      </c>
      <c r="IA94" s="109" t="str">
        <f t="shared" si="161"/>
        <v/>
      </c>
      <c r="IB94" s="109" t="str">
        <f t="shared" si="79"/>
        <v/>
      </c>
      <c r="IC94" s="110" t="str">
        <f t="shared" si="162"/>
        <v/>
      </c>
      <c r="ID94" s="51"/>
      <c r="IE94" s="108" t="str">
        <f t="shared" si="80"/>
        <v/>
      </c>
      <c r="IF94" s="109" t="str">
        <f t="shared" si="163"/>
        <v/>
      </c>
      <c r="IG94" s="109" t="str">
        <f t="shared" si="81"/>
        <v/>
      </c>
      <c r="IH94" s="110" t="str">
        <f t="shared" si="196"/>
        <v/>
      </c>
      <c r="II94" s="51"/>
      <c r="IJ94" s="108" t="str">
        <f t="shared" si="164"/>
        <v/>
      </c>
      <c r="IK94" s="109" t="str">
        <f t="shared" si="165"/>
        <v/>
      </c>
      <c r="IL94" s="109" t="str">
        <f t="shared" si="82"/>
        <v/>
      </c>
      <c r="IM94" s="110" t="str">
        <f t="shared" si="166"/>
        <v/>
      </c>
      <c r="IN94" s="51"/>
      <c r="IO94" s="108" t="str">
        <f t="shared" si="83"/>
        <v/>
      </c>
      <c r="IP94" s="109" t="str">
        <f t="shared" si="167"/>
        <v/>
      </c>
      <c r="IQ94" s="109" t="str">
        <f t="shared" si="84"/>
        <v/>
      </c>
      <c r="IR94" s="110" t="str">
        <f t="shared" si="197"/>
        <v/>
      </c>
      <c r="IS94" s="51"/>
      <c r="IT94" s="108" t="str">
        <f t="shared" si="168"/>
        <v/>
      </c>
      <c r="IU94" s="109" t="str">
        <f t="shared" si="169"/>
        <v/>
      </c>
      <c r="IV94" s="109" t="str">
        <f t="shared" si="85"/>
        <v/>
      </c>
      <c r="IW94" s="110" t="str">
        <f t="shared" si="170"/>
        <v/>
      </c>
      <c r="IX94" s="51"/>
      <c r="IY94" s="108" t="str">
        <f t="shared" si="86"/>
        <v/>
      </c>
      <c r="IZ94" s="109" t="str">
        <f t="shared" si="171"/>
        <v/>
      </c>
      <c r="JA94" s="109" t="str">
        <f t="shared" si="87"/>
        <v/>
      </c>
      <c r="JB94" s="110" t="str">
        <f t="shared" si="198"/>
        <v/>
      </c>
      <c r="JC94" s="51"/>
      <c r="JD94" s="108" t="str">
        <f t="shared" si="172"/>
        <v/>
      </c>
      <c r="JE94" s="109" t="str">
        <f t="shared" si="173"/>
        <v/>
      </c>
      <c r="JF94" s="109" t="str">
        <f t="shared" si="88"/>
        <v/>
      </c>
      <c r="JG94" s="110" t="str">
        <f t="shared" si="174"/>
        <v/>
      </c>
      <c r="JH94" s="51"/>
      <c r="JI94" s="108" t="str">
        <f t="shared" si="89"/>
        <v/>
      </c>
      <c r="JJ94" s="109" t="str">
        <f t="shared" si="175"/>
        <v/>
      </c>
      <c r="JK94" s="109" t="str">
        <f t="shared" si="90"/>
        <v/>
      </c>
      <c r="JL94" s="110" t="str">
        <f t="shared" si="199"/>
        <v/>
      </c>
      <c r="JM94" s="51"/>
      <c r="JN94" s="108" t="str">
        <f t="shared" si="176"/>
        <v/>
      </c>
      <c r="JO94" s="109" t="str">
        <f t="shared" si="177"/>
        <v/>
      </c>
      <c r="JP94" s="109" t="str">
        <f t="shared" si="91"/>
        <v/>
      </c>
      <c r="JQ94" s="110" t="str">
        <f t="shared" si="178"/>
        <v/>
      </c>
      <c r="JR94" s="51"/>
      <c r="JS94" s="108" t="str">
        <f t="shared" si="92"/>
        <v/>
      </c>
      <c r="JT94" s="109" t="str">
        <f t="shared" si="179"/>
        <v/>
      </c>
      <c r="JU94" s="109" t="str">
        <f t="shared" si="93"/>
        <v/>
      </c>
      <c r="JV94" s="110" t="str">
        <f t="shared" si="200"/>
        <v/>
      </c>
      <c r="JW94" s="51"/>
      <c r="JX94" s="108" t="str">
        <f t="shared" si="180"/>
        <v/>
      </c>
      <c r="JY94" s="109" t="str">
        <f t="shared" si="181"/>
        <v/>
      </c>
      <c r="JZ94" s="109" t="str">
        <f t="shared" si="94"/>
        <v/>
      </c>
      <c r="KA94" s="110" t="str">
        <f t="shared" si="95"/>
        <v/>
      </c>
    </row>
    <row r="95" spans="1:287" ht="12" customHeight="1">
      <c r="A95" s="105">
        <f t="array" ref="A95">MAX(IF($J$80:J94&gt;0,$C$80:C94,0))</f>
        <v>43536</v>
      </c>
      <c r="B95" s="81">
        <f t="shared" si="4"/>
        <v>15</v>
      </c>
      <c r="C95" s="82">
        <f t="shared" si="182"/>
        <v>43997</v>
      </c>
      <c r="D95" s="83">
        <f t="shared" si="5"/>
        <v>107.80000000000001</v>
      </c>
      <c r="E95" s="83">
        <f t="shared" si="96"/>
        <v>0.2</v>
      </c>
      <c r="F95" s="83">
        <f t="shared" si="6"/>
        <v>96.170000000000016</v>
      </c>
      <c r="G95" s="83">
        <f t="shared" si="7"/>
        <v>11.43</v>
      </c>
      <c r="H95" s="83">
        <f t="shared" si="8"/>
        <v>305.4700000000002</v>
      </c>
      <c r="I95" s="105">
        <f t="array" ref="I95">MAX(IF($R$80:R94&gt;0,$L$80:L94,0))</f>
        <v>0</v>
      </c>
      <c r="J95" s="106"/>
      <c r="K95" s="69" t="str">
        <f t="shared" si="9"/>
        <v/>
      </c>
      <c r="L95" s="82">
        <f t="shared" si="183"/>
        <v>0</v>
      </c>
      <c r="M95" s="83" t="str">
        <f t="shared" si="97"/>
        <v/>
      </c>
      <c r="N95" s="83" t="str">
        <f t="shared" si="10"/>
        <v/>
      </c>
      <c r="O95" s="83" t="str">
        <f t="shared" si="11"/>
        <v/>
      </c>
      <c r="P95" s="83" t="str">
        <f t="shared" si="12"/>
        <v/>
      </c>
      <c r="Q95" s="83" t="str">
        <f t="shared" si="13"/>
        <v/>
      </c>
      <c r="R95" s="106"/>
      <c r="S95" s="66"/>
      <c r="U95" s="85" t="e">
        <f t="shared" si="0"/>
        <v>#NUM!</v>
      </c>
      <c r="V95" s="86" t="e">
        <f t="shared" si="98"/>
        <v>#NUM!</v>
      </c>
      <c r="W95" s="87" t="e">
        <f t="shared" si="14"/>
        <v>#NUM!</v>
      </c>
      <c r="X95" s="87" t="e">
        <f t="shared" si="15"/>
        <v>#NUM!</v>
      </c>
      <c r="Y95" s="87" t="e">
        <f t="shared" si="16"/>
        <v>#NUM!</v>
      </c>
      <c r="Z95" s="88" t="e">
        <f t="shared" si="1"/>
        <v>#NUM!</v>
      </c>
      <c r="AB95" s="89">
        <f t="shared" si="99"/>
        <v>107.80000000000001</v>
      </c>
      <c r="AC95" s="87">
        <f t="shared" si="100"/>
        <v>128.99</v>
      </c>
      <c r="AD95" s="87" t="str">
        <f t="shared" si="17"/>
        <v/>
      </c>
      <c r="AE95" s="87" t="str">
        <f t="shared" si="18"/>
        <v/>
      </c>
      <c r="AF95" s="86">
        <f t="shared" si="101"/>
        <v>43994</v>
      </c>
      <c r="AG95" s="87">
        <f t="shared" si="2"/>
        <v>1.5</v>
      </c>
      <c r="AH95" s="87">
        <f t="shared" si="102"/>
        <v>0.2</v>
      </c>
      <c r="AI95" s="90"/>
      <c r="AJ95" s="87" t="e">
        <f t="shared" si="19"/>
        <v>#NUM!</v>
      </c>
      <c r="AK95" s="87" t="e">
        <f t="shared" si="103"/>
        <v>#NUM!</v>
      </c>
      <c r="AL95" s="87" t="e">
        <f t="shared" si="104"/>
        <v>#NUM!</v>
      </c>
      <c r="AM95" s="87" t="e">
        <f t="shared" si="105"/>
        <v>#NUM!</v>
      </c>
      <c r="AN95" s="86">
        <f t="shared" si="20"/>
        <v>0</v>
      </c>
      <c r="AO95" s="87">
        <f t="shared" si="21"/>
        <v>0</v>
      </c>
      <c r="AP95" s="88">
        <f t="shared" si="22"/>
        <v>0</v>
      </c>
      <c r="AR95" s="89">
        <f t="shared" si="23"/>
        <v>107.80000000000001</v>
      </c>
      <c r="AS95" s="87">
        <f t="shared" si="24"/>
        <v>128.99</v>
      </c>
      <c r="AT95" s="87" t="str">
        <f t="shared" si="25"/>
        <v/>
      </c>
      <c r="AU95" s="87" t="str">
        <f t="shared" si="26"/>
        <v/>
      </c>
      <c r="AV95" s="86">
        <f t="shared" si="106"/>
        <v>43994</v>
      </c>
      <c r="AW95" s="87">
        <f t="shared" si="107"/>
        <v>1.5</v>
      </c>
      <c r="AX95" s="87">
        <f t="shared" si="108"/>
        <v>0.2</v>
      </c>
      <c r="AY95" s="93"/>
      <c r="AZ95" s="87">
        <f t="shared" si="201"/>
        <v>0</v>
      </c>
      <c r="BA95" s="87">
        <f t="shared" si="109"/>
        <v>0</v>
      </c>
      <c r="BB95" s="87">
        <f t="shared" si="110"/>
        <v>0</v>
      </c>
      <c r="BC95" s="87">
        <f t="shared" si="184"/>
        <v>0</v>
      </c>
      <c r="BD95" s="86" t="e">
        <f t="shared" si="27"/>
        <v>#NUM!</v>
      </c>
      <c r="BE95" s="87" t="e">
        <f t="shared" si="3"/>
        <v>#NUM!</v>
      </c>
      <c r="BF95" s="88">
        <f t="shared" si="111"/>
        <v>0</v>
      </c>
      <c r="BH95" s="87" t="e">
        <f t="shared" si="28"/>
        <v>#NUM!</v>
      </c>
      <c r="BK95" s="95">
        <v>39815</v>
      </c>
      <c r="BL95" s="96">
        <v>16</v>
      </c>
      <c r="BT95" s="51">
        <v>5000.01</v>
      </c>
      <c r="BU95" s="51">
        <v>10000</v>
      </c>
      <c r="BV95" s="30">
        <v>0.19</v>
      </c>
      <c r="BY95" s="107"/>
      <c r="BZ95" s="107"/>
      <c r="CA95" s="107"/>
      <c r="CB95" s="107"/>
      <c r="CC95" s="107"/>
      <c r="CD95" s="107"/>
      <c r="CE95" s="107"/>
      <c r="CF95" s="107">
        <v>1.4999999999999999E-2</v>
      </c>
      <c r="CG95" s="107">
        <v>6.0000000000000001E-3</v>
      </c>
      <c r="CS95" s="108">
        <f t="shared" si="29"/>
        <v>107.15</v>
      </c>
      <c r="CT95" s="109">
        <f t="shared" si="30"/>
        <v>95.51</v>
      </c>
      <c r="CU95" s="109">
        <f t="shared" si="31"/>
        <v>11.64</v>
      </c>
      <c r="CV95" s="110">
        <f t="shared" si="32"/>
        <v>313.73000000000036</v>
      </c>
      <c r="CX95" s="108">
        <f t="shared" si="33"/>
        <v>0.75</v>
      </c>
      <c r="CY95" s="109">
        <f t="shared" si="113"/>
        <v>0.67</v>
      </c>
      <c r="CZ95" s="109">
        <f t="shared" si="34"/>
        <v>0.08</v>
      </c>
      <c r="DA95" s="110">
        <f t="shared" si="35"/>
        <v>2.1800000000003497</v>
      </c>
      <c r="DC95" s="108">
        <f t="shared" si="114"/>
        <v>107.57000000000001</v>
      </c>
      <c r="DD95" s="109">
        <f t="shared" si="115"/>
        <v>96.13000000000001</v>
      </c>
      <c r="DE95" s="109">
        <f t="shared" si="36"/>
        <v>11.44</v>
      </c>
      <c r="DF95" s="110">
        <f t="shared" si="37"/>
        <v>305.98999999999995</v>
      </c>
      <c r="DH95" s="108">
        <f t="shared" si="38"/>
        <v>0.06</v>
      </c>
      <c r="DI95" s="109">
        <f t="shared" si="39"/>
        <v>0.06</v>
      </c>
      <c r="DJ95" s="109">
        <f t="shared" si="40"/>
        <v>0</v>
      </c>
      <c r="DK95" s="110">
        <f t="shared" si="41"/>
        <v>8.9999999999920866E-2</v>
      </c>
      <c r="DM95" s="108">
        <f t="shared" si="116"/>
        <v>107.61000000000001</v>
      </c>
      <c r="DN95" s="109">
        <f t="shared" si="117"/>
        <v>96.190000000000012</v>
      </c>
      <c r="DO95" s="109">
        <f t="shared" si="42"/>
        <v>11.42</v>
      </c>
      <c r="DP95" s="110">
        <f t="shared" si="185"/>
        <v>305.28000000000003</v>
      </c>
      <c r="DR95" s="108">
        <f t="shared" si="43"/>
        <v>-0.01</v>
      </c>
      <c r="DS95" s="109">
        <f t="shared" si="118"/>
        <v>-0.01</v>
      </c>
      <c r="DT95" s="109">
        <f t="shared" si="44"/>
        <v>0</v>
      </c>
      <c r="DU95" s="110">
        <f t="shared" si="119"/>
        <v>3.9999999999986352E-2</v>
      </c>
      <c r="DW95" s="108">
        <f t="shared" si="120"/>
        <v>107.60000000000001</v>
      </c>
      <c r="DX95" s="109">
        <f t="shared" si="121"/>
        <v>96.170000000000016</v>
      </c>
      <c r="DY95" s="109">
        <f t="shared" si="45"/>
        <v>11.43</v>
      </c>
      <c r="DZ95" s="110">
        <f t="shared" si="186"/>
        <v>305.4700000000002</v>
      </c>
      <c r="EB95" s="108">
        <f t="shared" si="46"/>
        <v>0</v>
      </c>
      <c r="EC95" s="109">
        <f t="shared" si="122"/>
        <v>0</v>
      </c>
      <c r="ED95" s="109">
        <f t="shared" si="47"/>
        <v>0</v>
      </c>
      <c r="EE95" s="110">
        <f t="shared" si="123"/>
        <v>0</v>
      </c>
      <c r="EG95" s="108">
        <f t="shared" si="124"/>
        <v>107.60000000000001</v>
      </c>
      <c r="EH95" s="109">
        <f t="shared" si="125"/>
        <v>96.170000000000016</v>
      </c>
      <c r="EI95" s="109">
        <f t="shared" si="48"/>
        <v>11.43</v>
      </c>
      <c r="EJ95" s="110">
        <f t="shared" si="187"/>
        <v>305.4700000000002</v>
      </c>
      <c r="EL95" s="108">
        <f t="shared" si="49"/>
        <v>0</v>
      </c>
      <c r="EM95" s="109">
        <f t="shared" si="126"/>
        <v>0</v>
      </c>
      <c r="EN95" s="109">
        <f t="shared" si="50"/>
        <v>0</v>
      </c>
      <c r="EO95" s="110">
        <f t="shared" si="127"/>
        <v>0</v>
      </c>
      <c r="EQ95" s="108">
        <f t="shared" si="128"/>
        <v>107.60000000000001</v>
      </c>
      <c r="ER95" s="109">
        <f t="shared" si="129"/>
        <v>96.170000000000016</v>
      </c>
      <c r="ES95" s="109">
        <f t="shared" si="51"/>
        <v>11.43</v>
      </c>
      <c r="ET95" s="110">
        <f t="shared" si="188"/>
        <v>305.4700000000002</v>
      </c>
      <c r="EV95" s="108">
        <f t="shared" si="52"/>
        <v>0</v>
      </c>
      <c r="EW95" s="109">
        <f t="shared" si="130"/>
        <v>0</v>
      </c>
      <c r="EX95" s="109">
        <f t="shared" si="53"/>
        <v>0</v>
      </c>
      <c r="EY95" s="110">
        <f t="shared" si="131"/>
        <v>0</v>
      </c>
      <c r="FA95" s="108">
        <f t="shared" si="132"/>
        <v>107.60000000000001</v>
      </c>
      <c r="FB95" s="109">
        <f t="shared" si="133"/>
        <v>96.170000000000016</v>
      </c>
      <c r="FC95" s="109">
        <f t="shared" si="54"/>
        <v>11.43</v>
      </c>
      <c r="FD95" s="110">
        <f t="shared" si="189"/>
        <v>305.4700000000002</v>
      </c>
      <c r="FF95" s="108">
        <f t="shared" si="55"/>
        <v>0</v>
      </c>
      <c r="FG95" s="109">
        <f t="shared" si="134"/>
        <v>0</v>
      </c>
      <c r="FH95" s="109">
        <f t="shared" si="56"/>
        <v>0</v>
      </c>
      <c r="FI95" s="110">
        <f t="shared" si="135"/>
        <v>0</v>
      </c>
      <c r="FK95" s="108">
        <f t="shared" si="136"/>
        <v>107.60000000000001</v>
      </c>
      <c r="FL95" s="109">
        <f t="shared" si="137"/>
        <v>96.170000000000016</v>
      </c>
      <c r="FM95" s="109">
        <f t="shared" si="57"/>
        <v>11.43</v>
      </c>
      <c r="FN95" s="110">
        <f t="shared" si="190"/>
        <v>305.4700000000002</v>
      </c>
      <c r="FP95" s="108">
        <f t="shared" si="58"/>
        <v>0</v>
      </c>
      <c r="FQ95" s="109">
        <f t="shared" si="138"/>
        <v>0</v>
      </c>
      <c r="FR95" s="109">
        <f t="shared" si="59"/>
        <v>0</v>
      </c>
      <c r="FS95" s="110">
        <f t="shared" si="139"/>
        <v>0</v>
      </c>
      <c r="FU95" s="108">
        <f t="shared" si="140"/>
        <v>107.60000000000001</v>
      </c>
      <c r="FV95" s="109">
        <f t="shared" si="141"/>
        <v>96.170000000000016</v>
      </c>
      <c r="FW95" s="109">
        <f t="shared" si="60"/>
        <v>11.43</v>
      </c>
      <c r="FX95" s="110">
        <f t="shared" si="191"/>
        <v>305.4700000000002</v>
      </c>
      <c r="FZ95" s="108">
        <f t="shared" si="61"/>
        <v>0</v>
      </c>
      <c r="GA95" s="109">
        <f t="shared" si="142"/>
        <v>0</v>
      </c>
      <c r="GB95" s="109">
        <f t="shared" si="62"/>
        <v>0</v>
      </c>
      <c r="GC95" s="110">
        <f t="shared" si="143"/>
        <v>0</v>
      </c>
      <c r="GE95" s="108">
        <f t="shared" si="144"/>
        <v>107.60000000000001</v>
      </c>
      <c r="GF95" s="109">
        <f t="shared" si="145"/>
        <v>96.170000000000016</v>
      </c>
      <c r="GG95" s="109">
        <f t="shared" si="146"/>
        <v>11.43</v>
      </c>
      <c r="GH95" s="110">
        <f t="shared" si="192"/>
        <v>305.4700000000002</v>
      </c>
      <c r="GL95" s="108" t="str">
        <f t="shared" si="63"/>
        <v/>
      </c>
      <c r="GM95" s="109" t="str">
        <f t="shared" si="64"/>
        <v/>
      </c>
      <c r="GN95" s="109" t="str">
        <f t="shared" si="65"/>
        <v/>
      </c>
      <c r="GO95" s="110" t="str">
        <f t="shared" si="66"/>
        <v/>
      </c>
      <c r="GP95" s="51"/>
      <c r="GQ95" s="108" t="str">
        <f t="shared" si="67"/>
        <v/>
      </c>
      <c r="GR95" s="109" t="str">
        <f t="shared" si="147"/>
        <v/>
      </c>
      <c r="GS95" s="109" t="str">
        <f t="shared" si="68"/>
        <v/>
      </c>
      <c r="GT95" s="110" t="str">
        <f t="shared" si="69"/>
        <v/>
      </c>
      <c r="GU95" s="51"/>
      <c r="GV95" s="108" t="str">
        <f t="shared" si="148"/>
        <v/>
      </c>
      <c r="GW95" s="109" t="str">
        <f t="shared" si="149"/>
        <v/>
      </c>
      <c r="GX95" s="109" t="str">
        <f t="shared" si="70"/>
        <v/>
      </c>
      <c r="GY95" s="110" t="str">
        <f t="shared" si="150"/>
        <v/>
      </c>
      <c r="GZ95" s="51"/>
      <c r="HA95" s="108" t="str">
        <f t="shared" si="71"/>
        <v/>
      </c>
      <c r="HB95" s="109" t="str">
        <f t="shared" si="151"/>
        <v/>
      </c>
      <c r="HC95" s="109" t="str">
        <f t="shared" si="72"/>
        <v/>
      </c>
      <c r="HD95" s="110" t="str">
        <f t="shared" si="193"/>
        <v/>
      </c>
      <c r="HE95" s="51"/>
      <c r="HF95" s="108" t="str">
        <f t="shared" si="152"/>
        <v/>
      </c>
      <c r="HG95" s="109" t="str">
        <f t="shared" si="153"/>
        <v/>
      </c>
      <c r="HH95" s="109" t="str">
        <f t="shared" si="73"/>
        <v/>
      </c>
      <c r="HI95" s="110" t="str">
        <f t="shared" si="154"/>
        <v/>
      </c>
      <c r="HJ95" s="51"/>
      <c r="HK95" s="108" t="str">
        <f t="shared" si="74"/>
        <v/>
      </c>
      <c r="HL95" s="109" t="str">
        <f t="shared" si="155"/>
        <v/>
      </c>
      <c r="HM95" s="109" t="str">
        <f t="shared" si="75"/>
        <v/>
      </c>
      <c r="HN95" s="110" t="str">
        <f t="shared" si="194"/>
        <v/>
      </c>
      <c r="HO95" s="51"/>
      <c r="HP95" s="108" t="str">
        <f t="shared" si="156"/>
        <v/>
      </c>
      <c r="HQ95" s="109" t="str">
        <f t="shared" si="157"/>
        <v/>
      </c>
      <c r="HR95" s="109" t="str">
        <f t="shared" si="76"/>
        <v/>
      </c>
      <c r="HS95" s="110" t="str">
        <f t="shared" si="158"/>
        <v/>
      </c>
      <c r="HT95" s="51"/>
      <c r="HU95" s="108" t="str">
        <f t="shared" si="77"/>
        <v/>
      </c>
      <c r="HV95" s="109" t="str">
        <f t="shared" si="159"/>
        <v/>
      </c>
      <c r="HW95" s="109" t="str">
        <f t="shared" si="78"/>
        <v/>
      </c>
      <c r="HX95" s="110" t="str">
        <f t="shared" si="195"/>
        <v/>
      </c>
      <c r="HY95" s="51"/>
      <c r="HZ95" s="108" t="str">
        <f t="shared" si="160"/>
        <v/>
      </c>
      <c r="IA95" s="109" t="str">
        <f t="shared" si="161"/>
        <v/>
      </c>
      <c r="IB95" s="109" t="str">
        <f t="shared" si="79"/>
        <v/>
      </c>
      <c r="IC95" s="110" t="str">
        <f t="shared" si="162"/>
        <v/>
      </c>
      <c r="ID95" s="51"/>
      <c r="IE95" s="108" t="str">
        <f t="shared" si="80"/>
        <v/>
      </c>
      <c r="IF95" s="109" t="str">
        <f t="shared" si="163"/>
        <v/>
      </c>
      <c r="IG95" s="109" t="str">
        <f t="shared" si="81"/>
        <v/>
      </c>
      <c r="IH95" s="110" t="str">
        <f t="shared" si="196"/>
        <v/>
      </c>
      <c r="II95" s="51"/>
      <c r="IJ95" s="108" t="str">
        <f t="shared" si="164"/>
        <v/>
      </c>
      <c r="IK95" s="109" t="str">
        <f t="shared" si="165"/>
        <v/>
      </c>
      <c r="IL95" s="109" t="str">
        <f t="shared" si="82"/>
        <v/>
      </c>
      <c r="IM95" s="110" t="str">
        <f t="shared" si="166"/>
        <v/>
      </c>
      <c r="IN95" s="51"/>
      <c r="IO95" s="108" t="str">
        <f t="shared" si="83"/>
        <v/>
      </c>
      <c r="IP95" s="109" t="str">
        <f t="shared" si="167"/>
        <v/>
      </c>
      <c r="IQ95" s="109" t="str">
        <f t="shared" si="84"/>
        <v/>
      </c>
      <c r="IR95" s="110" t="str">
        <f t="shared" si="197"/>
        <v/>
      </c>
      <c r="IS95" s="51"/>
      <c r="IT95" s="108" t="str">
        <f t="shared" si="168"/>
        <v/>
      </c>
      <c r="IU95" s="109" t="str">
        <f t="shared" si="169"/>
        <v/>
      </c>
      <c r="IV95" s="109" t="str">
        <f t="shared" si="85"/>
        <v/>
      </c>
      <c r="IW95" s="110" t="str">
        <f t="shared" si="170"/>
        <v/>
      </c>
      <c r="IX95" s="51"/>
      <c r="IY95" s="108" t="str">
        <f t="shared" si="86"/>
        <v/>
      </c>
      <c r="IZ95" s="109" t="str">
        <f t="shared" si="171"/>
        <v/>
      </c>
      <c r="JA95" s="109" t="str">
        <f t="shared" si="87"/>
        <v/>
      </c>
      <c r="JB95" s="110" t="str">
        <f t="shared" si="198"/>
        <v/>
      </c>
      <c r="JC95" s="51"/>
      <c r="JD95" s="108" t="str">
        <f t="shared" si="172"/>
        <v/>
      </c>
      <c r="JE95" s="109" t="str">
        <f t="shared" si="173"/>
        <v/>
      </c>
      <c r="JF95" s="109" t="str">
        <f t="shared" si="88"/>
        <v/>
      </c>
      <c r="JG95" s="110" t="str">
        <f t="shared" si="174"/>
        <v/>
      </c>
      <c r="JH95" s="51"/>
      <c r="JI95" s="108" t="str">
        <f t="shared" si="89"/>
        <v/>
      </c>
      <c r="JJ95" s="109" t="str">
        <f t="shared" si="175"/>
        <v/>
      </c>
      <c r="JK95" s="109" t="str">
        <f t="shared" si="90"/>
        <v/>
      </c>
      <c r="JL95" s="110" t="str">
        <f t="shared" si="199"/>
        <v/>
      </c>
      <c r="JM95" s="51"/>
      <c r="JN95" s="108" t="str">
        <f t="shared" si="176"/>
        <v/>
      </c>
      <c r="JO95" s="109" t="str">
        <f t="shared" si="177"/>
        <v/>
      </c>
      <c r="JP95" s="109" t="str">
        <f t="shared" si="91"/>
        <v/>
      </c>
      <c r="JQ95" s="110" t="str">
        <f t="shared" si="178"/>
        <v/>
      </c>
      <c r="JR95" s="51"/>
      <c r="JS95" s="108" t="str">
        <f t="shared" si="92"/>
        <v/>
      </c>
      <c r="JT95" s="109" t="str">
        <f t="shared" si="179"/>
        <v/>
      </c>
      <c r="JU95" s="109" t="str">
        <f t="shared" si="93"/>
        <v/>
      </c>
      <c r="JV95" s="110" t="str">
        <f t="shared" si="200"/>
        <v/>
      </c>
      <c r="JW95" s="51"/>
      <c r="JX95" s="108" t="str">
        <f t="shared" si="180"/>
        <v/>
      </c>
      <c r="JY95" s="109" t="str">
        <f t="shared" si="181"/>
        <v/>
      </c>
      <c r="JZ95" s="109" t="str">
        <f t="shared" si="94"/>
        <v/>
      </c>
      <c r="KA95" s="110" t="str">
        <f t="shared" si="95"/>
        <v/>
      </c>
    </row>
    <row r="96" spans="1:287" ht="12" customHeight="1">
      <c r="A96" s="105">
        <f t="array" ref="A96">MAX(IF($J$80:J95&gt;0,$C$80:C95,0))</f>
        <v>43536</v>
      </c>
      <c r="B96" s="81">
        <f t="shared" si="4"/>
        <v>16</v>
      </c>
      <c r="C96" s="82">
        <f t="shared" si="182"/>
        <v>44027</v>
      </c>
      <c r="D96" s="83">
        <f t="shared" si="5"/>
        <v>107.75000000000001</v>
      </c>
      <c r="E96" s="83">
        <f t="shared" si="96"/>
        <v>0.15</v>
      </c>
      <c r="F96" s="83">
        <f t="shared" si="6"/>
        <v>99.190000000000012</v>
      </c>
      <c r="G96" s="83">
        <f t="shared" si="7"/>
        <v>8.41</v>
      </c>
      <c r="H96" s="83">
        <f t="shared" si="8"/>
        <v>206.2800000000002</v>
      </c>
      <c r="I96" s="105">
        <f t="array" ref="I96">MAX(IF($R$80:R95&gt;0,$L$80:L95,0))</f>
        <v>0</v>
      </c>
      <c r="J96" s="106"/>
      <c r="K96" s="69" t="str">
        <f t="shared" si="9"/>
        <v/>
      </c>
      <c r="L96" s="82">
        <f t="shared" si="183"/>
        <v>0</v>
      </c>
      <c r="M96" s="83" t="str">
        <f t="shared" si="97"/>
        <v/>
      </c>
      <c r="N96" s="83" t="str">
        <f t="shared" si="10"/>
        <v/>
      </c>
      <c r="O96" s="83" t="str">
        <f t="shared" si="11"/>
        <v/>
      </c>
      <c r="P96" s="83" t="str">
        <f t="shared" si="12"/>
        <v/>
      </c>
      <c r="Q96" s="83" t="str">
        <f t="shared" si="13"/>
        <v/>
      </c>
      <c r="R96" s="106"/>
      <c r="S96" s="66"/>
      <c r="U96" s="85" t="e">
        <f t="shared" si="0"/>
        <v>#NUM!</v>
      </c>
      <c r="V96" s="86" t="e">
        <f t="shared" si="98"/>
        <v>#NUM!</v>
      </c>
      <c r="W96" s="87" t="e">
        <f t="shared" si="14"/>
        <v>#NUM!</v>
      </c>
      <c r="X96" s="87" t="e">
        <f t="shared" si="15"/>
        <v>#NUM!</v>
      </c>
      <c r="Y96" s="87" t="e">
        <f t="shared" si="16"/>
        <v>#NUM!</v>
      </c>
      <c r="Z96" s="88" t="e">
        <f t="shared" si="1"/>
        <v>#NUM!</v>
      </c>
      <c r="AB96" s="89">
        <f t="shared" si="99"/>
        <v>107.75000000000001</v>
      </c>
      <c r="AC96" s="87">
        <f t="shared" si="100"/>
        <v>130.31</v>
      </c>
      <c r="AD96" s="87" t="str">
        <f t="shared" si="17"/>
        <v/>
      </c>
      <c r="AE96" s="87" t="str">
        <f t="shared" si="18"/>
        <v/>
      </c>
      <c r="AF96" s="86">
        <f t="shared" si="101"/>
        <v>44024</v>
      </c>
      <c r="AG96" s="87">
        <f t="shared" si="2"/>
        <v>1.5</v>
      </c>
      <c r="AH96" s="87">
        <f t="shared" si="102"/>
        <v>0.15</v>
      </c>
      <c r="AI96" s="90"/>
      <c r="AJ96" s="87" t="e">
        <f t="shared" si="19"/>
        <v>#NUM!</v>
      </c>
      <c r="AK96" s="87" t="e">
        <f t="shared" si="103"/>
        <v>#NUM!</v>
      </c>
      <c r="AL96" s="87" t="e">
        <f t="shared" si="104"/>
        <v>#NUM!</v>
      </c>
      <c r="AM96" s="87" t="e">
        <f t="shared" si="105"/>
        <v>#NUM!</v>
      </c>
      <c r="AN96" s="86">
        <f t="shared" si="20"/>
        <v>0</v>
      </c>
      <c r="AO96" s="87">
        <f t="shared" si="21"/>
        <v>0</v>
      </c>
      <c r="AP96" s="88">
        <f t="shared" si="22"/>
        <v>0</v>
      </c>
      <c r="AR96" s="89">
        <f t="shared" si="23"/>
        <v>107.75000000000001</v>
      </c>
      <c r="AS96" s="87">
        <f t="shared" si="24"/>
        <v>130.31</v>
      </c>
      <c r="AT96" s="87" t="str">
        <f t="shared" si="25"/>
        <v/>
      </c>
      <c r="AU96" s="87" t="str">
        <f t="shared" si="26"/>
        <v/>
      </c>
      <c r="AV96" s="86">
        <f t="shared" si="106"/>
        <v>44024</v>
      </c>
      <c r="AW96" s="87">
        <f t="shared" si="107"/>
        <v>1.5</v>
      </c>
      <c r="AX96" s="87">
        <f t="shared" si="108"/>
        <v>0.15</v>
      </c>
      <c r="AY96" s="93"/>
      <c r="AZ96" s="87">
        <f t="shared" si="201"/>
        <v>0</v>
      </c>
      <c r="BA96" s="87">
        <f t="shared" si="109"/>
        <v>0</v>
      </c>
      <c r="BB96" s="87">
        <f t="shared" si="110"/>
        <v>0</v>
      </c>
      <c r="BC96" s="87">
        <f t="shared" si="184"/>
        <v>0</v>
      </c>
      <c r="BD96" s="86" t="e">
        <f t="shared" si="27"/>
        <v>#NUM!</v>
      </c>
      <c r="BE96" s="87" t="e">
        <f t="shared" si="3"/>
        <v>#NUM!</v>
      </c>
      <c r="BF96" s="88">
        <f t="shared" si="111"/>
        <v>0</v>
      </c>
      <c r="BH96" s="87" t="e">
        <f t="shared" si="28"/>
        <v>#NUM!</v>
      </c>
      <c r="BK96" s="95">
        <v>39820</v>
      </c>
      <c r="BL96" s="96">
        <v>17</v>
      </c>
      <c r="BT96" s="51">
        <v>10000.01</v>
      </c>
      <c r="BU96" s="51">
        <v>15000</v>
      </c>
      <c r="BV96" s="30">
        <v>0.15</v>
      </c>
      <c r="BY96" s="107"/>
      <c r="BZ96" s="107"/>
      <c r="CA96" s="107"/>
      <c r="CB96" s="107"/>
      <c r="CC96" s="107"/>
      <c r="CD96" s="107"/>
      <c r="CE96" s="107"/>
      <c r="CF96" s="107">
        <v>0.01</v>
      </c>
      <c r="CG96" s="107">
        <v>6.0000000000000001E-3</v>
      </c>
      <c r="CS96" s="108">
        <f t="shared" si="29"/>
        <v>107.15</v>
      </c>
      <c r="CT96" s="109">
        <f t="shared" si="30"/>
        <v>98.51</v>
      </c>
      <c r="CU96" s="109">
        <f t="shared" si="31"/>
        <v>8.64</v>
      </c>
      <c r="CV96" s="110">
        <f t="shared" si="32"/>
        <v>215.22000000000037</v>
      </c>
      <c r="CX96" s="108">
        <f t="shared" si="33"/>
        <v>0.75</v>
      </c>
      <c r="CY96" s="109">
        <f t="shared" si="113"/>
        <v>0.69</v>
      </c>
      <c r="CZ96" s="109">
        <f t="shared" si="34"/>
        <v>0.06</v>
      </c>
      <c r="DA96" s="110">
        <f t="shared" si="35"/>
        <v>1.4900000000003497</v>
      </c>
      <c r="DC96" s="108">
        <f t="shared" si="114"/>
        <v>107.57000000000001</v>
      </c>
      <c r="DD96" s="109">
        <f t="shared" si="115"/>
        <v>99.140000000000015</v>
      </c>
      <c r="DE96" s="109">
        <f t="shared" si="36"/>
        <v>8.43</v>
      </c>
      <c r="DF96" s="110">
        <f t="shared" si="37"/>
        <v>206.84999999999994</v>
      </c>
      <c r="DH96" s="108">
        <f t="shared" si="38"/>
        <v>0.06</v>
      </c>
      <c r="DI96" s="109">
        <f t="shared" si="39"/>
        <v>0.06</v>
      </c>
      <c r="DJ96" s="109">
        <f t="shared" si="40"/>
        <v>0</v>
      </c>
      <c r="DK96" s="110">
        <f t="shared" si="41"/>
        <v>2.9999999999920868E-2</v>
      </c>
      <c r="DM96" s="108">
        <f t="shared" si="116"/>
        <v>107.61000000000001</v>
      </c>
      <c r="DN96" s="109">
        <f t="shared" si="117"/>
        <v>99.200000000000017</v>
      </c>
      <c r="DO96" s="109">
        <f t="shared" si="42"/>
        <v>8.41</v>
      </c>
      <c r="DP96" s="110">
        <f t="shared" si="185"/>
        <v>206.08</v>
      </c>
      <c r="DR96" s="108">
        <f t="shared" si="43"/>
        <v>-0.01</v>
      </c>
      <c r="DS96" s="109">
        <f t="shared" si="118"/>
        <v>-0.01</v>
      </c>
      <c r="DT96" s="109">
        <f t="shared" si="44"/>
        <v>0</v>
      </c>
      <c r="DU96" s="110">
        <f t="shared" si="119"/>
        <v>4.9999999999986354E-2</v>
      </c>
      <c r="DW96" s="108">
        <f t="shared" si="120"/>
        <v>107.60000000000001</v>
      </c>
      <c r="DX96" s="109">
        <f t="shared" si="121"/>
        <v>99.190000000000012</v>
      </c>
      <c r="DY96" s="109">
        <f t="shared" si="45"/>
        <v>8.41</v>
      </c>
      <c r="DZ96" s="110">
        <f t="shared" si="186"/>
        <v>206.2800000000002</v>
      </c>
      <c r="EB96" s="108">
        <f t="shared" si="46"/>
        <v>0</v>
      </c>
      <c r="EC96" s="109">
        <f t="shared" si="122"/>
        <v>0</v>
      </c>
      <c r="ED96" s="109">
        <f t="shared" si="47"/>
        <v>0</v>
      </c>
      <c r="EE96" s="110">
        <f t="shared" si="123"/>
        <v>0</v>
      </c>
      <c r="EG96" s="108">
        <f t="shared" si="124"/>
        <v>107.60000000000001</v>
      </c>
      <c r="EH96" s="109">
        <f t="shared" si="125"/>
        <v>99.190000000000012</v>
      </c>
      <c r="EI96" s="109">
        <f t="shared" si="48"/>
        <v>8.41</v>
      </c>
      <c r="EJ96" s="110">
        <f t="shared" si="187"/>
        <v>206.2800000000002</v>
      </c>
      <c r="EL96" s="108">
        <f t="shared" si="49"/>
        <v>0</v>
      </c>
      <c r="EM96" s="109">
        <f t="shared" si="126"/>
        <v>0</v>
      </c>
      <c r="EN96" s="109">
        <f t="shared" si="50"/>
        <v>0</v>
      </c>
      <c r="EO96" s="110">
        <f t="shared" si="127"/>
        <v>0</v>
      </c>
      <c r="EQ96" s="108">
        <f t="shared" si="128"/>
        <v>107.60000000000001</v>
      </c>
      <c r="ER96" s="109">
        <f t="shared" si="129"/>
        <v>99.190000000000012</v>
      </c>
      <c r="ES96" s="109">
        <f t="shared" si="51"/>
        <v>8.41</v>
      </c>
      <c r="ET96" s="110">
        <f t="shared" si="188"/>
        <v>206.2800000000002</v>
      </c>
      <c r="EV96" s="108">
        <f t="shared" si="52"/>
        <v>0</v>
      </c>
      <c r="EW96" s="109">
        <f t="shared" si="130"/>
        <v>0</v>
      </c>
      <c r="EX96" s="109">
        <f t="shared" si="53"/>
        <v>0</v>
      </c>
      <c r="EY96" s="110">
        <f t="shared" si="131"/>
        <v>0</v>
      </c>
      <c r="FA96" s="108">
        <f t="shared" si="132"/>
        <v>107.60000000000001</v>
      </c>
      <c r="FB96" s="109">
        <f t="shared" si="133"/>
        <v>99.190000000000012</v>
      </c>
      <c r="FC96" s="109">
        <f t="shared" si="54"/>
        <v>8.41</v>
      </c>
      <c r="FD96" s="110">
        <f t="shared" si="189"/>
        <v>206.2800000000002</v>
      </c>
      <c r="FF96" s="108">
        <f t="shared" si="55"/>
        <v>0</v>
      </c>
      <c r="FG96" s="109">
        <f t="shared" si="134"/>
        <v>0</v>
      </c>
      <c r="FH96" s="109">
        <f t="shared" si="56"/>
        <v>0</v>
      </c>
      <c r="FI96" s="110">
        <f t="shared" si="135"/>
        <v>0</v>
      </c>
      <c r="FK96" s="108">
        <f t="shared" si="136"/>
        <v>107.60000000000001</v>
      </c>
      <c r="FL96" s="109">
        <f t="shared" si="137"/>
        <v>99.190000000000012</v>
      </c>
      <c r="FM96" s="109">
        <f t="shared" si="57"/>
        <v>8.41</v>
      </c>
      <c r="FN96" s="110">
        <f t="shared" si="190"/>
        <v>206.2800000000002</v>
      </c>
      <c r="FP96" s="108">
        <f t="shared" si="58"/>
        <v>0</v>
      </c>
      <c r="FQ96" s="109">
        <f t="shared" si="138"/>
        <v>0</v>
      </c>
      <c r="FR96" s="109">
        <f t="shared" si="59"/>
        <v>0</v>
      </c>
      <c r="FS96" s="110">
        <f t="shared" si="139"/>
        <v>0</v>
      </c>
      <c r="FU96" s="108">
        <f t="shared" si="140"/>
        <v>107.60000000000001</v>
      </c>
      <c r="FV96" s="109">
        <f t="shared" si="141"/>
        <v>99.190000000000012</v>
      </c>
      <c r="FW96" s="109">
        <f t="shared" si="60"/>
        <v>8.41</v>
      </c>
      <c r="FX96" s="110">
        <f t="shared" si="191"/>
        <v>206.2800000000002</v>
      </c>
      <c r="FZ96" s="108">
        <f t="shared" si="61"/>
        <v>0</v>
      </c>
      <c r="GA96" s="109">
        <f t="shared" si="142"/>
        <v>0</v>
      </c>
      <c r="GB96" s="109">
        <f t="shared" si="62"/>
        <v>0</v>
      </c>
      <c r="GC96" s="110">
        <f t="shared" si="143"/>
        <v>0</v>
      </c>
      <c r="GE96" s="108">
        <f t="shared" si="144"/>
        <v>107.60000000000001</v>
      </c>
      <c r="GF96" s="109">
        <f t="shared" si="145"/>
        <v>99.190000000000012</v>
      </c>
      <c r="GG96" s="109">
        <f t="shared" si="146"/>
        <v>8.41</v>
      </c>
      <c r="GH96" s="110">
        <f t="shared" si="192"/>
        <v>206.2800000000002</v>
      </c>
      <c r="GL96" s="108" t="str">
        <f t="shared" si="63"/>
        <v/>
      </c>
      <c r="GM96" s="109" t="str">
        <f t="shared" si="64"/>
        <v/>
      </c>
      <c r="GN96" s="109" t="str">
        <f t="shared" si="65"/>
        <v/>
      </c>
      <c r="GO96" s="110" t="str">
        <f t="shared" si="66"/>
        <v/>
      </c>
      <c r="GP96" s="51"/>
      <c r="GQ96" s="108" t="str">
        <f t="shared" si="67"/>
        <v/>
      </c>
      <c r="GR96" s="109" t="str">
        <f t="shared" si="147"/>
        <v/>
      </c>
      <c r="GS96" s="109" t="str">
        <f t="shared" si="68"/>
        <v/>
      </c>
      <c r="GT96" s="110" t="str">
        <f t="shared" si="69"/>
        <v/>
      </c>
      <c r="GU96" s="51"/>
      <c r="GV96" s="108" t="str">
        <f t="shared" si="148"/>
        <v/>
      </c>
      <c r="GW96" s="109" t="str">
        <f t="shared" si="149"/>
        <v/>
      </c>
      <c r="GX96" s="109" t="str">
        <f t="shared" si="70"/>
        <v/>
      </c>
      <c r="GY96" s="110" t="str">
        <f t="shared" si="150"/>
        <v/>
      </c>
      <c r="GZ96" s="51"/>
      <c r="HA96" s="108" t="str">
        <f t="shared" si="71"/>
        <v/>
      </c>
      <c r="HB96" s="109" t="str">
        <f t="shared" si="151"/>
        <v/>
      </c>
      <c r="HC96" s="109" t="str">
        <f t="shared" si="72"/>
        <v/>
      </c>
      <c r="HD96" s="110" t="str">
        <f t="shared" si="193"/>
        <v/>
      </c>
      <c r="HE96" s="51"/>
      <c r="HF96" s="108" t="str">
        <f t="shared" si="152"/>
        <v/>
      </c>
      <c r="HG96" s="109" t="str">
        <f t="shared" si="153"/>
        <v/>
      </c>
      <c r="HH96" s="109" t="str">
        <f t="shared" si="73"/>
        <v/>
      </c>
      <c r="HI96" s="110" t="str">
        <f t="shared" si="154"/>
        <v/>
      </c>
      <c r="HJ96" s="51"/>
      <c r="HK96" s="108" t="str">
        <f t="shared" si="74"/>
        <v/>
      </c>
      <c r="HL96" s="109" t="str">
        <f t="shared" si="155"/>
        <v/>
      </c>
      <c r="HM96" s="109" t="str">
        <f t="shared" si="75"/>
        <v/>
      </c>
      <c r="HN96" s="110" t="str">
        <f t="shared" si="194"/>
        <v/>
      </c>
      <c r="HO96" s="51"/>
      <c r="HP96" s="108" t="str">
        <f t="shared" si="156"/>
        <v/>
      </c>
      <c r="HQ96" s="109" t="str">
        <f t="shared" si="157"/>
        <v/>
      </c>
      <c r="HR96" s="109" t="str">
        <f t="shared" si="76"/>
        <v/>
      </c>
      <c r="HS96" s="110" t="str">
        <f t="shared" si="158"/>
        <v/>
      </c>
      <c r="HT96" s="51"/>
      <c r="HU96" s="108" t="str">
        <f t="shared" si="77"/>
        <v/>
      </c>
      <c r="HV96" s="109" t="str">
        <f t="shared" si="159"/>
        <v/>
      </c>
      <c r="HW96" s="109" t="str">
        <f t="shared" si="78"/>
        <v/>
      </c>
      <c r="HX96" s="110" t="str">
        <f t="shared" si="195"/>
        <v/>
      </c>
      <c r="HY96" s="51"/>
      <c r="HZ96" s="108" t="str">
        <f t="shared" si="160"/>
        <v/>
      </c>
      <c r="IA96" s="109" t="str">
        <f t="shared" si="161"/>
        <v/>
      </c>
      <c r="IB96" s="109" t="str">
        <f t="shared" si="79"/>
        <v/>
      </c>
      <c r="IC96" s="110" t="str">
        <f t="shared" si="162"/>
        <v/>
      </c>
      <c r="ID96" s="51"/>
      <c r="IE96" s="108" t="str">
        <f t="shared" si="80"/>
        <v/>
      </c>
      <c r="IF96" s="109" t="str">
        <f t="shared" si="163"/>
        <v/>
      </c>
      <c r="IG96" s="109" t="str">
        <f t="shared" si="81"/>
        <v/>
      </c>
      <c r="IH96" s="110" t="str">
        <f t="shared" si="196"/>
        <v/>
      </c>
      <c r="II96" s="51"/>
      <c r="IJ96" s="108" t="str">
        <f t="shared" si="164"/>
        <v/>
      </c>
      <c r="IK96" s="109" t="str">
        <f t="shared" si="165"/>
        <v/>
      </c>
      <c r="IL96" s="109" t="str">
        <f t="shared" si="82"/>
        <v/>
      </c>
      <c r="IM96" s="110" t="str">
        <f t="shared" si="166"/>
        <v/>
      </c>
      <c r="IN96" s="51"/>
      <c r="IO96" s="108" t="str">
        <f t="shared" si="83"/>
        <v/>
      </c>
      <c r="IP96" s="109" t="str">
        <f t="shared" si="167"/>
        <v/>
      </c>
      <c r="IQ96" s="109" t="str">
        <f t="shared" si="84"/>
        <v/>
      </c>
      <c r="IR96" s="110" t="str">
        <f t="shared" si="197"/>
        <v/>
      </c>
      <c r="IS96" s="51"/>
      <c r="IT96" s="108" t="str">
        <f t="shared" si="168"/>
        <v/>
      </c>
      <c r="IU96" s="109" t="str">
        <f t="shared" si="169"/>
        <v/>
      </c>
      <c r="IV96" s="109" t="str">
        <f t="shared" si="85"/>
        <v/>
      </c>
      <c r="IW96" s="110" t="str">
        <f t="shared" si="170"/>
        <v/>
      </c>
      <c r="IX96" s="51"/>
      <c r="IY96" s="108" t="str">
        <f t="shared" si="86"/>
        <v/>
      </c>
      <c r="IZ96" s="109" t="str">
        <f t="shared" si="171"/>
        <v/>
      </c>
      <c r="JA96" s="109" t="str">
        <f t="shared" si="87"/>
        <v/>
      </c>
      <c r="JB96" s="110" t="str">
        <f t="shared" si="198"/>
        <v/>
      </c>
      <c r="JC96" s="51"/>
      <c r="JD96" s="108" t="str">
        <f t="shared" si="172"/>
        <v/>
      </c>
      <c r="JE96" s="109" t="str">
        <f t="shared" si="173"/>
        <v/>
      </c>
      <c r="JF96" s="109" t="str">
        <f t="shared" si="88"/>
        <v/>
      </c>
      <c r="JG96" s="110" t="str">
        <f t="shared" si="174"/>
        <v/>
      </c>
      <c r="JH96" s="51"/>
      <c r="JI96" s="108" t="str">
        <f t="shared" si="89"/>
        <v/>
      </c>
      <c r="JJ96" s="109" t="str">
        <f t="shared" si="175"/>
        <v/>
      </c>
      <c r="JK96" s="109" t="str">
        <f t="shared" si="90"/>
        <v/>
      </c>
      <c r="JL96" s="110" t="str">
        <f t="shared" si="199"/>
        <v/>
      </c>
      <c r="JM96" s="51"/>
      <c r="JN96" s="108" t="str">
        <f t="shared" si="176"/>
        <v/>
      </c>
      <c r="JO96" s="109" t="str">
        <f t="shared" si="177"/>
        <v/>
      </c>
      <c r="JP96" s="109" t="str">
        <f t="shared" si="91"/>
        <v/>
      </c>
      <c r="JQ96" s="110" t="str">
        <f t="shared" si="178"/>
        <v/>
      </c>
      <c r="JR96" s="51"/>
      <c r="JS96" s="108" t="str">
        <f t="shared" si="92"/>
        <v/>
      </c>
      <c r="JT96" s="109" t="str">
        <f t="shared" si="179"/>
        <v/>
      </c>
      <c r="JU96" s="109" t="str">
        <f t="shared" si="93"/>
        <v/>
      </c>
      <c r="JV96" s="110" t="str">
        <f t="shared" si="200"/>
        <v/>
      </c>
      <c r="JW96" s="51"/>
      <c r="JX96" s="108" t="str">
        <f t="shared" si="180"/>
        <v/>
      </c>
      <c r="JY96" s="109" t="str">
        <f t="shared" si="181"/>
        <v/>
      </c>
      <c r="JZ96" s="109" t="str">
        <f t="shared" si="94"/>
        <v/>
      </c>
      <c r="KA96" s="110" t="str">
        <f t="shared" si="95"/>
        <v/>
      </c>
    </row>
    <row r="97" spans="1:287" ht="12" customHeight="1">
      <c r="A97" s="105">
        <f t="array" ref="A97">MAX(IF($J$80:J96&gt;0,$C$80:C96,0))</f>
        <v>43536</v>
      </c>
      <c r="B97" s="81">
        <f t="shared" si="4"/>
        <v>17</v>
      </c>
      <c r="C97" s="82">
        <f t="shared" si="182"/>
        <v>44060</v>
      </c>
      <c r="D97" s="83">
        <f t="shared" si="5"/>
        <v>107.71000000000001</v>
      </c>
      <c r="E97" s="83">
        <f t="shared" si="96"/>
        <v>0.11</v>
      </c>
      <c r="F97" s="83">
        <f t="shared" si="6"/>
        <v>101.35000000000001</v>
      </c>
      <c r="G97" s="83">
        <f t="shared" si="7"/>
        <v>6.25</v>
      </c>
      <c r="H97" s="83">
        <f t="shared" si="8"/>
        <v>104.93000000000019</v>
      </c>
      <c r="I97" s="105">
        <f t="array" ref="I97">MAX(IF($R$80:R96&gt;0,$L$80:L96,0))</f>
        <v>0</v>
      </c>
      <c r="J97" s="106"/>
      <c r="K97" s="69" t="str">
        <f t="shared" si="9"/>
        <v/>
      </c>
      <c r="L97" s="82">
        <f t="shared" si="183"/>
        <v>0</v>
      </c>
      <c r="M97" s="83" t="str">
        <f t="shared" si="97"/>
        <v/>
      </c>
      <c r="N97" s="83" t="str">
        <f t="shared" si="10"/>
        <v/>
      </c>
      <c r="O97" s="83" t="str">
        <f t="shared" si="11"/>
        <v/>
      </c>
      <c r="P97" s="83" t="str">
        <f t="shared" si="12"/>
        <v/>
      </c>
      <c r="Q97" s="83" t="str">
        <f t="shared" si="13"/>
        <v/>
      </c>
      <c r="R97" s="106"/>
      <c r="S97" s="66"/>
      <c r="U97" s="85" t="e">
        <f t="shared" si="0"/>
        <v>#NUM!</v>
      </c>
      <c r="V97" s="86" t="e">
        <f t="shared" si="98"/>
        <v>#NUM!</v>
      </c>
      <c r="W97" s="87" t="e">
        <f t="shared" si="14"/>
        <v>#NUM!</v>
      </c>
      <c r="X97" s="87" t="e">
        <f t="shared" si="15"/>
        <v>#NUM!</v>
      </c>
      <c r="Y97" s="87" t="e">
        <f t="shared" si="16"/>
        <v>#NUM!</v>
      </c>
      <c r="Z97" s="88" t="e">
        <f t="shared" si="1"/>
        <v>#NUM!</v>
      </c>
      <c r="AB97" s="89">
        <f t="shared" si="99"/>
        <v>107.71000000000001</v>
      </c>
      <c r="AC97" s="87">
        <f t="shared" si="100"/>
        <v>131.78</v>
      </c>
      <c r="AD97" s="87" t="str">
        <f t="shared" si="17"/>
        <v/>
      </c>
      <c r="AE97" s="87" t="str">
        <f t="shared" si="18"/>
        <v/>
      </c>
      <c r="AF97" s="86">
        <f t="shared" si="101"/>
        <v>44055</v>
      </c>
      <c r="AG97" s="87">
        <f t="shared" si="2"/>
        <v>1.5</v>
      </c>
      <c r="AH97" s="87">
        <f t="shared" si="102"/>
        <v>0.11</v>
      </c>
      <c r="AI97" s="90"/>
      <c r="AJ97" s="87" t="e">
        <f t="shared" si="19"/>
        <v>#NUM!</v>
      </c>
      <c r="AK97" s="87" t="e">
        <f t="shared" si="103"/>
        <v>#NUM!</v>
      </c>
      <c r="AL97" s="87" t="e">
        <f t="shared" si="104"/>
        <v>#NUM!</v>
      </c>
      <c r="AM97" s="87" t="e">
        <f t="shared" si="105"/>
        <v>#NUM!</v>
      </c>
      <c r="AN97" s="86">
        <f t="shared" si="20"/>
        <v>0</v>
      </c>
      <c r="AO97" s="87">
        <f t="shared" si="21"/>
        <v>0</v>
      </c>
      <c r="AP97" s="88">
        <f t="shared" si="22"/>
        <v>0</v>
      </c>
      <c r="AR97" s="89">
        <f t="shared" si="23"/>
        <v>107.71000000000001</v>
      </c>
      <c r="AS97" s="87">
        <f t="shared" si="24"/>
        <v>131.78</v>
      </c>
      <c r="AT97" s="87" t="str">
        <f t="shared" si="25"/>
        <v/>
      </c>
      <c r="AU97" s="87" t="str">
        <f t="shared" si="26"/>
        <v/>
      </c>
      <c r="AV97" s="86">
        <f t="shared" si="106"/>
        <v>44055</v>
      </c>
      <c r="AW97" s="87">
        <f t="shared" si="107"/>
        <v>1.5</v>
      </c>
      <c r="AX97" s="87">
        <f t="shared" si="108"/>
        <v>0.11</v>
      </c>
      <c r="AY97" s="93"/>
      <c r="AZ97" s="87">
        <f t="shared" si="201"/>
        <v>0</v>
      </c>
      <c r="BA97" s="87">
        <f t="shared" si="109"/>
        <v>0</v>
      </c>
      <c r="BB97" s="87">
        <f t="shared" si="110"/>
        <v>0</v>
      </c>
      <c r="BC97" s="87">
        <f t="shared" si="184"/>
        <v>0</v>
      </c>
      <c r="BD97" s="86" t="e">
        <f t="shared" si="27"/>
        <v>#NUM!</v>
      </c>
      <c r="BE97" s="87" t="e">
        <f t="shared" si="3"/>
        <v>#NUM!</v>
      </c>
      <c r="BF97" s="88">
        <f t="shared" si="111"/>
        <v>0</v>
      </c>
      <c r="BH97" s="87" t="e">
        <f t="shared" si="28"/>
        <v>#NUM!</v>
      </c>
      <c r="BK97" s="95">
        <v>39832</v>
      </c>
      <c r="BL97" s="96">
        <v>18</v>
      </c>
      <c r="BT97" s="51">
        <v>15000.01</v>
      </c>
      <c r="BU97" s="51">
        <v>20000</v>
      </c>
      <c r="BV97" s="30">
        <v>0.13</v>
      </c>
      <c r="BY97" s="107"/>
      <c r="BZ97" s="107"/>
      <c r="CA97" s="107"/>
      <c r="CB97" s="107"/>
      <c r="CC97" s="107"/>
      <c r="CD97" s="107"/>
      <c r="CE97" s="107"/>
      <c r="CF97" s="107">
        <v>0.01</v>
      </c>
      <c r="CG97" s="107">
        <v>6.0000000000000001E-3</v>
      </c>
      <c r="CS97" s="108">
        <f t="shared" si="29"/>
        <v>107.15</v>
      </c>
      <c r="CT97" s="109">
        <f t="shared" si="30"/>
        <v>100.63000000000001</v>
      </c>
      <c r="CU97" s="109">
        <f t="shared" si="31"/>
        <v>6.52</v>
      </c>
      <c r="CV97" s="110">
        <f t="shared" si="32"/>
        <v>114.59000000000036</v>
      </c>
      <c r="CX97" s="108">
        <f t="shared" si="33"/>
        <v>0.75</v>
      </c>
      <c r="CY97" s="109">
        <f t="shared" si="113"/>
        <v>0.7</v>
      </c>
      <c r="CZ97" s="109">
        <f t="shared" si="34"/>
        <v>0.05</v>
      </c>
      <c r="DA97" s="110">
        <f t="shared" si="35"/>
        <v>0.79000000000034976</v>
      </c>
      <c r="DC97" s="108">
        <f t="shared" si="114"/>
        <v>107.57000000000001</v>
      </c>
      <c r="DD97" s="109">
        <f t="shared" si="115"/>
        <v>101.30000000000001</v>
      </c>
      <c r="DE97" s="109">
        <f t="shared" si="36"/>
        <v>6.27</v>
      </c>
      <c r="DF97" s="110">
        <f t="shared" si="37"/>
        <v>105.54999999999993</v>
      </c>
      <c r="DH97" s="108">
        <f t="shared" si="38"/>
        <v>0.06</v>
      </c>
      <c r="DI97" s="109">
        <f t="shared" si="39"/>
        <v>0.06</v>
      </c>
      <c r="DJ97" s="109">
        <f t="shared" si="40"/>
        <v>0</v>
      </c>
      <c r="DK97" s="110">
        <f t="shared" si="41"/>
        <v>-3.000000000007913E-2</v>
      </c>
      <c r="DM97" s="108">
        <f t="shared" si="116"/>
        <v>107.61000000000001</v>
      </c>
      <c r="DN97" s="109">
        <f t="shared" si="117"/>
        <v>101.37000000000002</v>
      </c>
      <c r="DO97" s="109">
        <f t="shared" si="42"/>
        <v>6.24</v>
      </c>
      <c r="DP97" s="110">
        <f t="shared" si="185"/>
        <v>104.71</v>
      </c>
      <c r="DR97" s="108">
        <f t="shared" si="43"/>
        <v>-0.01</v>
      </c>
      <c r="DS97" s="109">
        <f t="shared" si="118"/>
        <v>-0.01</v>
      </c>
      <c r="DT97" s="109">
        <f t="shared" si="44"/>
        <v>0</v>
      </c>
      <c r="DU97" s="110">
        <f t="shared" si="119"/>
        <v>5.9999999999986356E-2</v>
      </c>
      <c r="DW97" s="108">
        <f t="shared" si="120"/>
        <v>107.60000000000001</v>
      </c>
      <c r="DX97" s="109">
        <f t="shared" si="121"/>
        <v>101.35000000000001</v>
      </c>
      <c r="DY97" s="109">
        <f t="shared" si="45"/>
        <v>6.25</v>
      </c>
      <c r="DZ97" s="110">
        <f t="shared" si="186"/>
        <v>104.93000000000019</v>
      </c>
      <c r="EB97" s="108">
        <f t="shared" si="46"/>
        <v>0</v>
      </c>
      <c r="EC97" s="109">
        <f t="shared" si="122"/>
        <v>0</v>
      </c>
      <c r="ED97" s="109">
        <f t="shared" si="47"/>
        <v>0</v>
      </c>
      <c r="EE97" s="110">
        <f t="shared" si="123"/>
        <v>0</v>
      </c>
      <c r="EG97" s="108">
        <f t="shared" si="124"/>
        <v>107.60000000000001</v>
      </c>
      <c r="EH97" s="109">
        <f t="shared" si="125"/>
        <v>101.35000000000001</v>
      </c>
      <c r="EI97" s="109">
        <f t="shared" si="48"/>
        <v>6.25</v>
      </c>
      <c r="EJ97" s="110">
        <f t="shared" si="187"/>
        <v>104.93000000000019</v>
      </c>
      <c r="EL97" s="108">
        <f t="shared" si="49"/>
        <v>0</v>
      </c>
      <c r="EM97" s="109">
        <f t="shared" si="126"/>
        <v>0</v>
      </c>
      <c r="EN97" s="109">
        <f t="shared" si="50"/>
        <v>0</v>
      </c>
      <c r="EO97" s="110">
        <f t="shared" si="127"/>
        <v>0</v>
      </c>
      <c r="EQ97" s="108">
        <f t="shared" si="128"/>
        <v>107.60000000000001</v>
      </c>
      <c r="ER97" s="109">
        <f t="shared" si="129"/>
        <v>101.35000000000001</v>
      </c>
      <c r="ES97" s="109">
        <f t="shared" si="51"/>
        <v>6.25</v>
      </c>
      <c r="ET97" s="110">
        <f t="shared" si="188"/>
        <v>104.93000000000019</v>
      </c>
      <c r="EV97" s="108">
        <f t="shared" si="52"/>
        <v>0</v>
      </c>
      <c r="EW97" s="109">
        <f t="shared" si="130"/>
        <v>0</v>
      </c>
      <c r="EX97" s="109">
        <f t="shared" si="53"/>
        <v>0</v>
      </c>
      <c r="EY97" s="110">
        <f t="shared" si="131"/>
        <v>0</v>
      </c>
      <c r="FA97" s="108">
        <f t="shared" si="132"/>
        <v>107.60000000000001</v>
      </c>
      <c r="FB97" s="109">
        <f t="shared" si="133"/>
        <v>101.35000000000001</v>
      </c>
      <c r="FC97" s="109">
        <f t="shared" si="54"/>
        <v>6.25</v>
      </c>
      <c r="FD97" s="110">
        <f t="shared" si="189"/>
        <v>104.93000000000019</v>
      </c>
      <c r="FF97" s="108">
        <f t="shared" si="55"/>
        <v>0</v>
      </c>
      <c r="FG97" s="109">
        <f t="shared" si="134"/>
        <v>0</v>
      </c>
      <c r="FH97" s="109">
        <f t="shared" si="56"/>
        <v>0</v>
      </c>
      <c r="FI97" s="110">
        <f t="shared" si="135"/>
        <v>0</v>
      </c>
      <c r="FK97" s="108">
        <f t="shared" si="136"/>
        <v>107.60000000000001</v>
      </c>
      <c r="FL97" s="109">
        <f t="shared" si="137"/>
        <v>101.35000000000001</v>
      </c>
      <c r="FM97" s="109">
        <f t="shared" si="57"/>
        <v>6.25</v>
      </c>
      <c r="FN97" s="110">
        <f t="shared" si="190"/>
        <v>104.93000000000019</v>
      </c>
      <c r="FP97" s="108">
        <f t="shared" si="58"/>
        <v>0</v>
      </c>
      <c r="FQ97" s="109">
        <f t="shared" si="138"/>
        <v>0</v>
      </c>
      <c r="FR97" s="109">
        <f t="shared" si="59"/>
        <v>0</v>
      </c>
      <c r="FS97" s="110">
        <f t="shared" si="139"/>
        <v>0</v>
      </c>
      <c r="FU97" s="108">
        <f t="shared" si="140"/>
        <v>107.60000000000001</v>
      </c>
      <c r="FV97" s="109">
        <f t="shared" si="141"/>
        <v>101.35000000000001</v>
      </c>
      <c r="FW97" s="109">
        <f t="shared" si="60"/>
        <v>6.25</v>
      </c>
      <c r="FX97" s="110">
        <f t="shared" si="191"/>
        <v>104.93000000000019</v>
      </c>
      <c r="FZ97" s="108">
        <f t="shared" si="61"/>
        <v>0</v>
      </c>
      <c r="GA97" s="109">
        <f t="shared" si="142"/>
        <v>0</v>
      </c>
      <c r="GB97" s="109">
        <f t="shared" si="62"/>
        <v>0</v>
      </c>
      <c r="GC97" s="110">
        <f t="shared" si="143"/>
        <v>0</v>
      </c>
      <c r="GE97" s="108">
        <f t="shared" si="144"/>
        <v>107.60000000000001</v>
      </c>
      <c r="GF97" s="109">
        <f t="shared" si="145"/>
        <v>101.35000000000001</v>
      </c>
      <c r="GG97" s="109">
        <f t="shared" si="146"/>
        <v>6.25</v>
      </c>
      <c r="GH97" s="110">
        <f t="shared" si="192"/>
        <v>104.93000000000019</v>
      </c>
      <c r="GL97" s="108" t="str">
        <f t="shared" si="63"/>
        <v/>
      </c>
      <c r="GM97" s="109" t="str">
        <f t="shared" si="64"/>
        <v/>
      </c>
      <c r="GN97" s="109" t="str">
        <f t="shared" si="65"/>
        <v/>
      </c>
      <c r="GO97" s="110" t="str">
        <f t="shared" si="66"/>
        <v/>
      </c>
      <c r="GP97" s="51"/>
      <c r="GQ97" s="108" t="str">
        <f t="shared" si="67"/>
        <v/>
      </c>
      <c r="GR97" s="109" t="str">
        <f t="shared" si="147"/>
        <v/>
      </c>
      <c r="GS97" s="109" t="str">
        <f t="shared" si="68"/>
        <v/>
      </c>
      <c r="GT97" s="110" t="str">
        <f t="shared" si="69"/>
        <v/>
      </c>
      <c r="GU97" s="51"/>
      <c r="GV97" s="108" t="str">
        <f t="shared" si="148"/>
        <v/>
      </c>
      <c r="GW97" s="109" t="str">
        <f t="shared" si="149"/>
        <v/>
      </c>
      <c r="GX97" s="109" t="str">
        <f t="shared" si="70"/>
        <v/>
      </c>
      <c r="GY97" s="110" t="str">
        <f t="shared" si="150"/>
        <v/>
      </c>
      <c r="GZ97" s="51"/>
      <c r="HA97" s="108" t="str">
        <f t="shared" si="71"/>
        <v/>
      </c>
      <c r="HB97" s="109" t="str">
        <f t="shared" si="151"/>
        <v/>
      </c>
      <c r="HC97" s="109" t="str">
        <f t="shared" si="72"/>
        <v/>
      </c>
      <c r="HD97" s="110" t="str">
        <f t="shared" si="193"/>
        <v/>
      </c>
      <c r="HE97" s="51"/>
      <c r="HF97" s="108" t="str">
        <f t="shared" si="152"/>
        <v/>
      </c>
      <c r="HG97" s="109" t="str">
        <f t="shared" si="153"/>
        <v/>
      </c>
      <c r="HH97" s="109" t="str">
        <f t="shared" si="73"/>
        <v/>
      </c>
      <c r="HI97" s="110" t="str">
        <f t="shared" si="154"/>
        <v/>
      </c>
      <c r="HJ97" s="51"/>
      <c r="HK97" s="108" t="str">
        <f t="shared" si="74"/>
        <v/>
      </c>
      <c r="HL97" s="109" t="str">
        <f t="shared" si="155"/>
        <v/>
      </c>
      <c r="HM97" s="109" t="str">
        <f t="shared" si="75"/>
        <v/>
      </c>
      <c r="HN97" s="110" t="str">
        <f t="shared" si="194"/>
        <v/>
      </c>
      <c r="HO97" s="51"/>
      <c r="HP97" s="108" t="str">
        <f t="shared" si="156"/>
        <v/>
      </c>
      <c r="HQ97" s="109" t="str">
        <f t="shared" si="157"/>
        <v/>
      </c>
      <c r="HR97" s="109" t="str">
        <f t="shared" si="76"/>
        <v/>
      </c>
      <c r="HS97" s="110" t="str">
        <f t="shared" si="158"/>
        <v/>
      </c>
      <c r="HT97" s="51"/>
      <c r="HU97" s="108" t="str">
        <f t="shared" si="77"/>
        <v/>
      </c>
      <c r="HV97" s="109" t="str">
        <f t="shared" si="159"/>
        <v/>
      </c>
      <c r="HW97" s="109" t="str">
        <f t="shared" si="78"/>
        <v/>
      </c>
      <c r="HX97" s="110" t="str">
        <f t="shared" si="195"/>
        <v/>
      </c>
      <c r="HY97" s="51"/>
      <c r="HZ97" s="108" t="str">
        <f t="shared" si="160"/>
        <v/>
      </c>
      <c r="IA97" s="109" t="str">
        <f t="shared" si="161"/>
        <v/>
      </c>
      <c r="IB97" s="109" t="str">
        <f t="shared" si="79"/>
        <v/>
      </c>
      <c r="IC97" s="110" t="str">
        <f t="shared" si="162"/>
        <v/>
      </c>
      <c r="ID97" s="51"/>
      <c r="IE97" s="108" t="str">
        <f t="shared" si="80"/>
        <v/>
      </c>
      <c r="IF97" s="109" t="str">
        <f t="shared" si="163"/>
        <v/>
      </c>
      <c r="IG97" s="109" t="str">
        <f t="shared" si="81"/>
        <v/>
      </c>
      <c r="IH97" s="110" t="str">
        <f t="shared" si="196"/>
        <v/>
      </c>
      <c r="II97" s="51"/>
      <c r="IJ97" s="108" t="str">
        <f t="shared" si="164"/>
        <v/>
      </c>
      <c r="IK97" s="109" t="str">
        <f t="shared" si="165"/>
        <v/>
      </c>
      <c r="IL97" s="109" t="str">
        <f t="shared" si="82"/>
        <v/>
      </c>
      <c r="IM97" s="110" t="str">
        <f t="shared" si="166"/>
        <v/>
      </c>
      <c r="IN97" s="51"/>
      <c r="IO97" s="108" t="str">
        <f t="shared" si="83"/>
        <v/>
      </c>
      <c r="IP97" s="109" t="str">
        <f t="shared" si="167"/>
        <v/>
      </c>
      <c r="IQ97" s="109" t="str">
        <f t="shared" si="84"/>
        <v/>
      </c>
      <c r="IR97" s="110" t="str">
        <f t="shared" si="197"/>
        <v/>
      </c>
      <c r="IS97" s="51"/>
      <c r="IT97" s="108" t="str">
        <f t="shared" si="168"/>
        <v/>
      </c>
      <c r="IU97" s="109" t="str">
        <f t="shared" si="169"/>
        <v/>
      </c>
      <c r="IV97" s="109" t="str">
        <f t="shared" si="85"/>
        <v/>
      </c>
      <c r="IW97" s="110" t="str">
        <f t="shared" si="170"/>
        <v/>
      </c>
      <c r="IX97" s="51"/>
      <c r="IY97" s="108" t="str">
        <f t="shared" si="86"/>
        <v/>
      </c>
      <c r="IZ97" s="109" t="str">
        <f t="shared" si="171"/>
        <v/>
      </c>
      <c r="JA97" s="109" t="str">
        <f t="shared" si="87"/>
        <v/>
      </c>
      <c r="JB97" s="110" t="str">
        <f t="shared" si="198"/>
        <v/>
      </c>
      <c r="JC97" s="51"/>
      <c r="JD97" s="108" t="str">
        <f t="shared" si="172"/>
        <v/>
      </c>
      <c r="JE97" s="109" t="str">
        <f t="shared" si="173"/>
        <v/>
      </c>
      <c r="JF97" s="109" t="str">
        <f t="shared" si="88"/>
        <v/>
      </c>
      <c r="JG97" s="110" t="str">
        <f t="shared" si="174"/>
        <v/>
      </c>
      <c r="JH97" s="51"/>
      <c r="JI97" s="108" t="str">
        <f t="shared" si="89"/>
        <v/>
      </c>
      <c r="JJ97" s="109" t="str">
        <f t="shared" si="175"/>
        <v/>
      </c>
      <c r="JK97" s="109" t="str">
        <f t="shared" si="90"/>
        <v/>
      </c>
      <c r="JL97" s="110" t="str">
        <f t="shared" si="199"/>
        <v/>
      </c>
      <c r="JM97" s="51"/>
      <c r="JN97" s="108" t="str">
        <f t="shared" si="176"/>
        <v/>
      </c>
      <c r="JO97" s="109" t="str">
        <f t="shared" si="177"/>
        <v/>
      </c>
      <c r="JP97" s="109" t="str">
        <f t="shared" si="91"/>
        <v/>
      </c>
      <c r="JQ97" s="110" t="str">
        <f t="shared" si="178"/>
        <v/>
      </c>
      <c r="JR97" s="51"/>
      <c r="JS97" s="108" t="str">
        <f t="shared" si="92"/>
        <v/>
      </c>
      <c r="JT97" s="109" t="str">
        <f t="shared" si="179"/>
        <v/>
      </c>
      <c r="JU97" s="109" t="str">
        <f t="shared" si="93"/>
        <v/>
      </c>
      <c r="JV97" s="110" t="str">
        <f t="shared" si="200"/>
        <v/>
      </c>
      <c r="JW97" s="51"/>
      <c r="JX97" s="108" t="str">
        <f t="shared" si="180"/>
        <v/>
      </c>
      <c r="JY97" s="109" t="str">
        <f t="shared" si="181"/>
        <v/>
      </c>
      <c r="JZ97" s="109" t="str">
        <f t="shared" si="94"/>
        <v/>
      </c>
      <c r="KA97" s="110" t="str">
        <f t="shared" si="95"/>
        <v/>
      </c>
    </row>
    <row r="98" spans="1:287" ht="12" customHeight="1">
      <c r="A98" s="105">
        <f t="array" ref="A98">MAX(IF($J$80:J97&gt;0,$C$80:C97,0))</f>
        <v>43536</v>
      </c>
      <c r="B98" s="81">
        <f t="shared" si="4"/>
        <v>18</v>
      </c>
      <c r="C98" s="82">
        <f t="shared" si="182"/>
        <v>44089</v>
      </c>
      <c r="D98" s="83">
        <f t="shared" si="5"/>
        <v>107.77000000000019</v>
      </c>
      <c r="E98" s="83">
        <f t="shared" si="96"/>
        <v>0.05</v>
      </c>
      <c r="F98" s="83">
        <f t="shared" si="6"/>
        <v>104.93000000000019</v>
      </c>
      <c r="G98" s="83">
        <f t="shared" si="7"/>
        <v>2.79</v>
      </c>
      <c r="H98" s="83">
        <f t="shared" si="8"/>
        <v>0</v>
      </c>
      <c r="I98" s="105">
        <f t="array" ref="I98">MAX(IF($R$80:R97&gt;0,$L$80:L97,0))</f>
        <v>0</v>
      </c>
      <c r="J98" s="106"/>
      <c r="K98" s="69" t="str">
        <f t="shared" si="9"/>
        <v/>
      </c>
      <c r="L98" s="82">
        <f t="shared" si="183"/>
        <v>0</v>
      </c>
      <c r="M98" s="83" t="str">
        <f t="shared" si="97"/>
        <v/>
      </c>
      <c r="N98" s="83" t="str">
        <f t="shared" si="10"/>
        <v/>
      </c>
      <c r="O98" s="83" t="str">
        <f t="shared" si="11"/>
        <v/>
      </c>
      <c r="P98" s="83" t="str">
        <f t="shared" si="12"/>
        <v/>
      </c>
      <c r="Q98" s="83" t="str">
        <f t="shared" si="13"/>
        <v/>
      </c>
      <c r="R98" s="106"/>
      <c r="S98" s="66"/>
      <c r="U98" s="85" t="e">
        <f t="shared" si="0"/>
        <v>#NUM!</v>
      </c>
      <c r="V98" s="86" t="e">
        <f t="shared" si="98"/>
        <v>#NUM!</v>
      </c>
      <c r="W98" s="87" t="e">
        <f t="shared" si="14"/>
        <v>#NUM!</v>
      </c>
      <c r="X98" s="87" t="e">
        <f t="shared" si="15"/>
        <v>#NUM!</v>
      </c>
      <c r="Y98" s="87" t="e">
        <f t="shared" si="16"/>
        <v>#NUM!</v>
      </c>
      <c r="Z98" s="88" t="e">
        <f t="shared" si="1"/>
        <v>#NUM!</v>
      </c>
      <c r="AB98" s="89">
        <f t="shared" si="99"/>
        <v>107.77000000000019</v>
      </c>
      <c r="AC98" s="87">
        <f t="shared" si="100"/>
        <v>133.19</v>
      </c>
      <c r="AD98" s="87" t="str">
        <f t="shared" si="17"/>
        <v/>
      </c>
      <c r="AE98" s="87" t="str">
        <f t="shared" si="18"/>
        <v/>
      </c>
      <c r="AF98" s="86">
        <f t="shared" si="101"/>
        <v>44086</v>
      </c>
      <c r="AG98" s="87">
        <f t="shared" si="2"/>
        <v>1.5</v>
      </c>
      <c r="AH98" s="87">
        <f t="shared" si="102"/>
        <v>0.05</v>
      </c>
      <c r="AI98" s="90"/>
      <c r="AJ98" s="87" t="e">
        <f t="shared" si="19"/>
        <v>#NUM!</v>
      </c>
      <c r="AK98" s="87" t="e">
        <f t="shared" si="103"/>
        <v>#NUM!</v>
      </c>
      <c r="AL98" s="87" t="e">
        <f t="shared" si="104"/>
        <v>#NUM!</v>
      </c>
      <c r="AM98" s="87" t="e">
        <f t="shared" si="105"/>
        <v>#NUM!</v>
      </c>
      <c r="AN98" s="86">
        <f t="shared" si="20"/>
        <v>0</v>
      </c>
      <c r="AO98" s="87">
        <f t="shared" si="21"/>
        <v>0</v>
      </c>
      <c r="AP98" s="88">
        <f t="shared" si="22"/>
        <v>0</v>
      </c>
      <c r="AR98" s="89">
        <f t="shared" si="23"/>
        <v>107.77000000000019</v>
      </c>
      <c r="AS98" s="87">
        <f t="shared" si="24"/>
        <v>133.19</v>
      </c>
      <c r="AT98" s="87" t="str">
        <f t="shared" si="25"/>
        <v/>
      </c>
      <c r="AU98" s="87" t="str">
        <f t="shared" si="26"/>
        <v/>
      </c>
      <c r="AV98" s="86">
        <f t="shared" si="106"/>
        <v>44086</v>
      </c>
      <c r="AW98" s="87">
        <f t="shared" si="107"/>
        <v>1.5</v>
      </c>
      <c r="AX98" s="87">
        <f t="shared" si="108"/>
        <v>0.05</v>
      </c>
      <c r="AY98" s="93"/>
      <c r="AZ98" s="87">
        <f t="shared" si="201"/>
        <v>0</v>
      </c>
      <c r="BA98" s="87">
        <f t="shared" si="109"/>
        <v>0</v>
      </c>
      <c r="BB98" s="87">
        <f t="shared" si="110"/>
        <v>0</v>
      </c>
      <c r="BC98" s="87">
        <f t="shared" si="184"/>
        <v>0</v>
      </c>
      <c r="BD98" s="86" t="e">
        <f t="shared" si="27"/>
        <v>#NUM!</v>
      </c>
      <c r="BE98" s="87" t="e">
        <f t="shared" si="3"/>
        <v>#NUM!</v>
      </c>
      <c r="BF98" s="88">
        <f t="shared" si="111"/>
        <v>0</v>
      </c>
      <c r="BH98" s="87" t="e">
        <f t="shared" si="28"/>
        <v>#NUM!</v>
      </c>
      <c r="BK98" s="95">
        <v>39875</v>
      </c>
      <c r="BL98" s="96">
        <v>19</v>
      </c>
      <c r="BT98" s="51">
        <v>20000.009999999998</v>
      </c>
      <c r="BU98" s="51">
        <v>30000</v>
      </c>
      <c r="BV98" s="30">
        <v>0.11</v>
      </c>
      <c r="BY98" s="30"/>
      <c r="BZ98" s="30"/>
      <c r="CA98" s="30"/>
      <c r="CB98" s="30"/>
      <c r="CC98" s="30"/>
      <c r="CD98" s="30"/>
      <c r="CE98" s="30"/>
      <c r="CF98" s="107">
        <v>5.0000000000000001E-3</v>
      </c>
      <c r="CG98" s="107">
        <v>6.0000000000000001E-3</v>
      </c>
      <c r="CS98" s="108">
        <f t="shared" si="29"/>
        <v>107.15</v>
      </c>
      <c r="CT98" s="109">
        <f t="shared" si="30"/>
        <v>104.10000000000001</v>
      </c>
      <c r="CU98" s="109">
        <f t="shared" si="31"/>
        <v>3.05</v>
      </c>
      <c r="CV98" s="110">
        <f t="shared" si="32"/>
        <v>10.49000000000035</v>
      </c>
      <c r="CX98" s="108">
        <f t="shared" si="33"/>
        <v>0.75</v>
      </c>
      <c r="CY98" s="109">
        <f t="shared" si="113"/>
        <v>0.73</v>
      </c>
      <c r="CZ98" s="109">
        <f t="shared" si="34"/>
        <v>0.02</v>
      </c>
      <c r="DA98" s="110">
        <f t="shared" si="35"/>
        <v>6.0000000000349774E-2</v>
      </c>
      <c r="DC98" s="108">
        <f t="shared" si="114"/>
        <v>107.57000000000001</v>
      </c>
      <c r="DD98" s="109">
        <f t="shared" si="115"/>
        <v>104.76</v>
      </c>
      <c r="DE98" s="109">
        <f t="shared" si="36"/>
        <v>2.81</v>
      </c>
      <c r="DF98" s="110">
        <f t="shared" si="37"/>
        <v>0.78999999999992099</v>
      </c>
      <c r="DH98" s="108">
        <f t="shared" si="38"/>
        <v>0.06</v>
      </c>
      <c r="DI98" s="109">
        <f t="shared" si="39"/>
        <v>0.06</v>
      </c>
      <c r="DJ98" s="109">
        <f t="shared" si="40"/>
        <v>0</v>
      </c>
      <c r="DK98" s="110">
        <f t="shared" si="41"/>
        <v>-9.0000000000079128E-2</v>
      </c>
      <c r="DM98" s="108">
        <f t="shared" si="116"/>
        <v>107.61000000000001</v>
      </c>
      <c r="DN98" s="109">
        <f t="shared" si="117"/>
        <v>104.82000000000001</v>
      </c>
      <c r="DO98" s="109">
        <f t="shared" si="42"/>
        <v>2.79</v>
      </c>
      <c r="DP98" s="110">
        <f t="shared" si="185"/>
        <v>-0.11000000000001364</v>
      </c>
      <c r="DR98" s="108">
        <f t="shared" si="43"/>
        <v>-0.01</v>
      </c>
      <c r="DS98" s="109">
        <f t="shared" si="118"/>
        <v>-0.01</v>
      </c>
      <c r="DT98" s="109">
        <f t="shared" si="44"/>
        <v>0</v>
      </c>
      <c r="DU98" s="110">
        <f t="shared" si="119"/>
        <v>6.9999999999986351E-2</v>
      </c>
      <c r="DW98" s="108">
        <f t="shared" si="120"/>
        <v>107.60000000000001</v>
      </c>
      <c r="DX98" s="109">
        <f t="shared" si="121"/>
        <v>104.81</v>
      </c>
      <c r="DY98" s="109">
        <f t="shared" si="45"/>
        <v>2.79</v>
      </c>
      <c r="DZ98" s="110">
        <f t="shared" si="186"/>
        <v>0.12000000000018929</v>
      </c>
      <c r="EB98" s="108">
        <f t="shared" si="46"/>
        <v>0</v>
      </c>
      <c r="EC98" s="109">
        <f t="shared" si="122"/>
        <v>0</v>
      </c>
      <c r="ED98" s="109">
        <f t="shared" si="47"/>
        <v>0</v>
      </c>
      <c r="EE98" s="110">
        <f t="shared" si="123"/>
        <v>0</v>
      </c>
      <c r="EG98" s="108">
        <f t="shared" si="124"/>
        <v>107.60000000000001</v>
      </c>
      <c r="EH98" s="109">
        <f t="shared" si="125"/>
        <v>104.81</v>
      </c>
      <c r="EI98" s="109">
        <f t="shared" si="48"/>
        <v>2.79</v>
      </c>
      <c r="EJ98" s="110">
        <f t="shared" si="187"/>
        <v>0.12000000000018929</v>
      </c>
      <c r="EL98" s="108">
        <f t="shared" si="49"/>
        <v>0</v>
      </c>
      <c r="EM98" s="109">
        <f t="shared" si="126"/>
        <v>0</v>
      </c>
      <c r="EN98" s="109">
        <f t="shared" si="50"/>
        <v>0</v>
      </c>
      <c r="EO98" s="110">
        <f t="shared" si="127"/>
        <v>0</v>
      </c>
      <c r="EQ98" s="108">
        <f t="shared" si="128"/>
        <v>107.60000000000001</v>
      </c>
      <c r="ER98" s="109">
        <f t="shared" si="129"/>
        <v>104.81</v>
      </c>
      <c r="ES98" s="109">
        <f t="shared" si="51"/>
        <v>2.79</v>
      </c>
      <c r="ET98" s="110">
        <f t="shared" si="188"/>
        <v>0.12000000000018929</v>
      </c>
      <c r="EV98" s="108">
        <f t="shared" si="52"/>
        <v>0</v>
      </c>
      <c r="EW98" s="109">
        <f t="shared" si="130"/>
        <v>0</v>
      </c>
      <c r="EX98" s="109">
        <f t="shared" si="53"/>
        <v>0</v>
      </c>
      <c r="EY98" s="110">
        <f t="shared" si="131"/>
        <v>0</v>
      </c>
      <c r="FA98" s="108">
        <f t="shared" si="132"/>
        <v>107.60000000000001</v>
      </c>
      <c r="FB98" s="109">
        <f t="shared" si="133"/>
        <v>104.81</v>
      </c>
      <c r="FC98" s="109">
        <f t="shared" si="54"/>
        <v>2.79</v>
      </c>
      <c r="FD98" s="110">
        <f t="shared" si="189"/>
        <v>0.12000000000018929</v>
      </c>
      <c r="FF98" s="108">
        <f t="shared" si="55"/>
        <v>0</v>
      </c>
      <c r="FG98" s="109">
        <f t="shared" si="134"/>
        <v>0</v>
      </c>
      <c r="FH98" s="109">
        <f t="shared" si="56"/>
        <v>0</v>
      </c>
      <c r="FI98" s="110">
        <f t="shared" si="135"/>
        <v>0</v>
      </c>
      <c r="FK98" s="108">
        <f t="shared" si="136"/>
        <v>107.60000000000001</v>
      </c>
      <c r="FL98" s="109">
        <f t="shared" si="137"/>
        <v>104.81</v>
      </c>
      <c r="FM98" s="109">
        <f t="shared" si="57"/>
        <v>2.79</v>
      </c>
      <c r="FN98" s="110">
        <f t="shared" si="190"/>
        <v>0.12000000000018929</v>
      </c>
      <c r="FP98" s="108">
        <f t="shared" si="58"/>
        <v>0</v>
      </c>
      <c r="FQ98" s="109">
        <f t="shared" si="138"/>
        <v>0</v>
      </c>
      <c r="FR98" s="109">
        <f t="shared" si="59"/>
        <v>0</v>
      </c>
      <c r="FS98" s="110">
        <f t="shared" si="139"/>
        <v>0</v>
      </c>
      <c r="FU98" s="108">
        <f t="shared" si="140"/>
        <v>107.60000000000001</v>
      </c>
      <c r="FV98" s="109">
        <f t="shared" si="141"/>
        <v>104.81</v>
      </c>
      <c r="FW98" s="109">
        <f t="shared" si="60"/>
        <v>2.79</v>
      </c>
      <c r="FX98" s="110">
        <f t="shared" si="191"/>
        <v>0.12000000000018929</v>
      </c>
      <c r="FZ98" s="108">
        <f t="shared" si="61"/>
        <v>0</v>
      </c>
      <c r="GA98" s="109">
        <f t="shared" si="142"/>
        <v>0</v>
      </c>
      <c r="GB98" s="109">
        <f t="shared" si="62"/>
        <v>0</v>
      </c>
      <c r="GC98" s="110">
        <f t="shared" si="143"/>
        <v>0</v>
      </c>
      <c r="GE98" s="108">
        <f t="shared" si="144"/>
        <v>107.7200000000002</v>
      </c>
      <c r="GF98" s="109">
        <f t="shared" si="145"/>
        <v>104.93000000000019</v>
      </c>
      <c r="GG98" s="109">
        <f t="shared" si="146"/>
        <v>2.79</v>
      </c>
      <c r="GH98" s="110">
        <f t="shared" si="192"/>
        <v>0</v>
      </c>
      <c r="GL98" s="108" t="str">
        <f t="shared" si="63"/>
        <v/>
      </c>
      <c r="GM98" s="109" t="str">
        <f t="shared" si="64"/>
        <v/>
      </c>
      <c r="GN98" s="109" t="str">
        <f t="shared" si="65"/>
        <v/>
      </c>
      <c r="GO98" s="110" t="str">
        <f t="shared" si="66"/>
        <v/>
      </c>
      <c r="GP98" s="51"/>
      <c r="GQ98" s="108" t="str">
        <f t="shared" si="67"/>
        <v/>
      </c>
      <c r="GR98" s="109" t="str">
        <f t="shared" si="147"/>
        <v/>
      </c>
      <c r="GS98" s="109" t="str">
        <f t="shared" si="68"/>
        <v/>
      </c>
      <c r="GT98" s="110" t="str">
        <f t="shared" si="69"/>
        <v/>
      </c>
      <c r="GU98" s="51"/>
      <c r="GV98" s="108" t="str">
        <f t="shared" si="148"/>
        <v/>
      </c>
      <c r="GW98" s="109" t="str">
        <f t="shared" si="149"/>
        <v/>
      </c>
      <c r="GX98" s="109" t="str">
        <f t="shared" si="70"/>
        <v/>
      </c>
      <c r="GY98" s="110" t="str">
        <f t="shared" si="150"/>
        <v/>
      </c>
      <c r="GZ98" s="51"/>
      <c r="HA98" s="108" t="str">
        <f t="shared" si="71"/>
        <v/>
      </c>
      <c r="HB98" s="109" t="str">
        <f t="shared" si="151"/>
        <v/>
      </c>
      <c r="HC98" s="109" t="str">
        <f t="shared" si="72"/>
        <v/>
      </c>
      <c r="HD98" s="110" t="str">
        <f t="shared" si="193"/>
        <v/>
      </c>
      <c r="HE98" s="51"/>
      <c r="HF98" s="108" t="str">
        <f t="shared" si="152"/>
        <v/>
      </c>
      <c r="HG98" s="109" t="str">
        <f t="shared" si="153"/>
        <v/>
      </c>
      <c r="HH98" s="109" t="str">
        <f t="shared" si="73"/>
        <v/>
      </c>
      <c r="HI98" s="110" t="str">
        <f t="shared" si="154"/>
        <v/>
      </c>
      <c r="HJ98" s="51"/>
      <c r="HK98" s="108" t="str">
        <f t="shared" si="74"/>
        <v/>
      </c>
      <c r="HL98" s="109" t="str">
        <f t="shared" si="155"/>
        <v/>
      </c>
      <c r="HM98" s="109" t="str">
        <f t="shared" si="75"/>
        <v/>
      </c>
      <c r="HN98" s="110" t="str">
        <f t="shared" si="194"/>
        <v/>
      </c>
      <c r="HO98" s="51"/>
      <c r="HP98" s="108" t="str">
        <f t="shared" si="156"/>
        <v/>
      </c>
      <c r="HQ98" s="109" t="str">
        <f t="shared" si="157"/>
        <v/>
      </c>
      <c r="HR98" s="109" t="str">
        <f t="shared" si="76"/>
        <v/>
      </c>
      <c r="HS98" s="110" t="str">
        <f t="shared" si="158"/>
        <v/>
      </c>
      <c r="HT98" s="51"/>
      <c r="HU98" s="108" t="str">
        <f t="shared" si="77"/>
        <v/>
      </c>
      <c r="HV98" s="109" t="str">
        <f t="shared" si="159"/>
        <v/>
      </c>
      <c r="HW98" s="109" t="str">
        <f t="shared" si="78"/>
        <v/>
      </c>
      <c r="HX98" s="110" t="str">
        <f t="shared" si="195"/>
        <v/>
      </c>
      <c r="HY98" s="51"/>
      <c r="HZ98" s="108" t="str">
        <f t="shared" si="160"/>
        <v/>
      </c>
      <c r="IA98" s="109" t="str">
        <f t="shared" si="161"/>
        <v/>
      </c>
      <c r="IB98" s="109" t="str">
        <f t="shared" si="79"/>
        <v/>
      </c>
      <c r="IC98" s="110" t="str">
        <f t="shared" si="162"/>
        <v/>
      </c>
      <c r="ID98" s="51"/>
      <c r="IE98" s="108" t="str">
        <f t="shared" si="80"/>
        <v/>
      </c>
      <c r="IF98" s="109" t="str">
        <f t="shared" si="163"/>
        <v/>
      </c>
      <c r="IG98" s="109" t="str">
        <f t="shared" si="81"/>
        <v/>
      </c>
      <c r="IH98" s="110" t="str">
        <f t="shared" si="196"/>
        <v/>
      </c>
      <c r="II98" s="51"/>
      <c r="IJ98" s="108" t="str">
        <f t="shared" si="164"/>
        <v/>
      </c>
      <c r="IK98" s="109" t="str">
        <f t="shared" si="165"/>
        <v/>
      </c>
      <c r="IL98" s="109" t="str">
        <f t="shared" si="82"/>
        <v/>
      </c>
      <c r="IM98" s="110" t="str">
        <f t="shared" si="166"/>
        <v/>
      </c>
      <c r="IN98" s="51"/>
      <c r="IO98" s="108" t="str">
        <f t="shared" si="83"/>
        <v/>
      </c>
      <c r="IP98" s="109" t="str">
        <f t="shared" si="167"/>
        <v/>
      </c>
      <c r="IQ98" s="109" t="str">
        <f t="shared" si="84"/>
        <v/>
      </c>
      <c r="IR98" s="110" t="str">
        <f t="shared" si="197"/>
        <v/>
      </c>
      <c r="IS98" s="51"/>
      <c r="IT98" s="108" t="str">
        <f t="shared" si="168"/>
        <v/>
      </c>
      <c r="IU98" s="109" t="str">
        <f t="shared" si="169"/>
        <v/>
      </c>
      <c r="IV98" s="109" t="str">
        <f t="shared" si="85"/>
        <v/>
      </c>
      <c r="IW98" s="110" t="str">
        <f t="shared" si="170"/>
        <v/>
      </c>
      <c r="IX98" s="51"/>
      <c r="IY98" s="108" t="str">
        <f t="shared" si="86"/>
        <v/>
      </c>
      <c r="IZ98" s="109" t="str">
        <f t="shared" si="171"/>
        <v/>
      </c>
      <c r="JA98" s="109" t="str">
        <f t="shared" si="87"/>
        <v/>
      </c>
      <c r="JB98" s="110" t="str">
        <f t="shared" si="198"/>
        <v/>
      </c>
      <c r="JC98" s="51"/>
      <c r="JD98" s="108" t="str">
        <f t="shared" si="172"/>
        <v/>
      </c>
      <c r="JE98" s="109" t="str">
        <f t="shared" si="173"/>
        <v/>
      </c>
      <c r="JF98" s="109" t="str">
        <f t="shared" si="88"/>
        <v/>
      </c>
      <c r="JG98" s="110" t="str">
        <f t="shared" si="174"/>
        <v/>
      </c>
      <c r="JH98" s="51"/>
      <c r="JI98" s="108" t="str">
        <f t="shared" si="89"/>
        <v/>
      </c>
      <c r="JJ98" s="109" t="str">
        <f t="shared" si="175"/>
        <v/>
      </c>
      <c r="JK98" s="109" t="str">
        <f t="shared" si="90"/>
        <v/>
      </c>
      <c r="JL98" s="110" t="str">
        <f t="shared" si="199"/>
        <v/>
      </c>
      <c r="JM98" s="51"/>
      <c r="JN98" s="108" t="str">
        <f t="shared" si="176"/>
        <v/>
      </c>
      <c r="JO98" s="109" t="str">
        <f t="shared" si="177"/>
        <v/>
      </c>
      <c r="JP98" s="109" t="str">
        <f t="shared" si="91"/>
        <v/>
      </c>
      <c r="JQ98" s="110" t="str">
        <f t="shared" si="178"/>
        <v/>
      </c>
      <c r="JR98" s="51"/>
      <c r="JS98" s="108" t="str">
        <f t="shared" si="92"/>
        <v/>
      </c>
      <c r="JT98" s="109" t="str">
        <f t="shared" si="179"/>
        <v/>
      </c>
      <c r="JU98" s="109" t="str">
        <f t="shared" si="93"/>
        <v/>
      </c>
      <c r="JV98" s="110" t="str">
        <f t="shared" si="200"/>
        <v/>
      </c>
      <c r="JW98" s="51"/>
      <c r="JX98" s="108" t="str">
        <f t="shared" si="180"/>
        <v/>
      </c>
      <c r="JY98" s="109" t="str">
        <f t="shared" si="181"/>
        <v/>
      </c>
      <c r="JZ98" s="109" t="str">
        <f t="shared" si="94"/>
        <v/>
      </c>
      <c r="KA98" s="110" t="str">
        <f t="shared" si="95"/>
        <v/>
      </c>
    </row>
    <row r="99" spans="1:287" ht="12" customHeight="1">
      <c r="A99" s="105">
        <f t="array" ref="A99">MAX(IF($J$80:J98&gt;0,$C$80:C98,0))</f>
        <v>43536</v>
      </c>
      <c r="B99" s="81" t="str">
        <f t="shared" si="4"/>
        <v/>
      </c>
      <c r="C99" s="82">
        <f t="shared" si="182"/>
        <v>0</v>
      </c>
      <c r="D99" s="83" t="str">
        <f t="shared" si="5"/>
        <v/>
      </c>
      <c r="E99" s="83" t="str">
        <f t="shared" si="96"/>
        <v/>
      </c>
      <c r="F99" s="83" t="str">
        <f t="shared" si="6"/>
        <v/>
      </c>
      <c r="G99" s="83" t="str">
        <f t="shared" si="7"/>
        <v/>
      </c>
      <c r="H99" s="83" t="str">
        <f t="shared" si="8"/>
        <v/>
      </c>
      <c r="I99" s="105">
        <f t="array" ref="I99">MAX(IF($R$80:R98&gt;0,$L$80:L98,0))</f>
        <v>0</v>
      </c>
      <c r="J99" s="106"/>
      <c r="K99" s="69" t="str">
        <f t="shared" si="9"/>
        <v/>
      </c>
      <c r="L99" s="82">
        <f t="shared" si="183"/>
        <v>0</v>
      </c>
      <c r="M99" s="83" t="str">
        <f t="shared" si="97"/>
        <v/>
      </c>
      <c r="N99" s="83" t="str">
        <f t="shared" si="10"/>
        <v/>
      </c>
      <c r="O99" s="83" t="str">
        <f t="shared" si="11"/>
        <v/>
      </c>
      <c r="P99" s="83" t="str">
        <f t="shared" si="12"/>
        <v/>
      </c>
      <c r="Q99" s="83" t="str">
        <f t="shared" si="13"/>
        <v/>
      </c>
      <c r="R99" s="106"/>
      <c r="S99" s="66"/>
      <c r="U99" s="85" t="e">
        <f t="shared" si="0"/>
        <v>#NUM!</v>
      </c>
      <c r="V99" s="86" t="e">
        <f t="shared" si="98"/>
        <v>#NUM!</v>
      </c>
      <c r="W99" s="87" t="e">
        <f t="shared" si="14"/>
        <v>#NUM!</v>
      </c>
      <c r="X99" s="87" t="e">
        <f t="shared" si="15"/>
        <v>#NUM!</v>
      </c>
      <c r="Y99" s="87" t="e">
        <f t="shared" si="16"/>
        <v>#NUM!</v>
      </c>
      <c r="Z99" s="88" t="e">
        <f t="shared" si="1"/>
        <v>#NUM!</v>
      </c>
      <c r="AB99" s="89">
        <f t="shared" si="99"/>
        <v>0</v>
      </c>
      <c r="AC99" s="87">
        <f t="shared" si="100"/>
        <v>0</v>
      </c>
      <c r="AD99" s="87" t="str">
        <f t="shared" si="17"/>
        <v/>
      </c>
      <c r="AE99" s="87" t="str">
        <f t="shared" si="18"/>
        <v/>
      </c>
      <c r="AF99" s="86">
        <f t="shared" si="101"/>
        <v>0</v>
      </c>
      <c r="AG99" s="87">
        <f t="shared" si="2"/>
        <v>0</v>
      </c>
      <c r="AH99" s="87">
        <f t="shared" si="102"/>
        <v>0</v>
      </c>
      <c r="AI99" s="90"/>
      <c r="AJ99" s="87" t="e">
        <f t="shared" si="19"/>
        <v>#NUM!</v>
      </c>
      <c r="AK99" s="87" t="e">
        <f t="shared" si="103"/>
        <v>#NUM!</v>
      </c>
      <c r="AL99" s="87" t="e">
        <f t="shared" si="104"/>
        <v>#NUM!</v>
      </c>
      <c r="AM99" s="87" t="e">
        <f t="shared" si="105"/>
        <v>#NUM!</v>
      </c>
      <c r="AN99" s="86">
        <f t="shared" si="20"/>
        <v>0</v>
      </c>
      <c r="AO99" s="87">
        <f t="shared" si="21"/>
        <v>0</v>
      </c>
      <c r="AP99" s="88">
        <f t="shared" si="22"/>
        <v>0</v>
      </c>
      <c r="AR99" s="89">
        <f t="shared" si="23"/>
        <v>0</v>
      </c>
      <c r="AS99" s="87">
        <f t="shared" si="24"/>
        <v>0</v>
      </c>
      <c r="AT99" s="87" t="str">
        <f t="shared" si="25"/>
        <v/>
      </c>
      <c r="AU99" s="87" t="str">
        <f t="shared" si="26"/>
        <v/>
      </c>
      <c r="AV99" s="86">
        <f t="shared" si="106"/>
        <v>0</v>
      </c>
      <c r="AW99" s="87">
        <f t="shared" si="107"/>
        <v>0</v>
      </c>
      <c r="AX99" s="87">
        <f t="shared" si="108"/>
        <v>0</v>
      </c>
      <c r="AY99" s="93"/>
      <c r="AZ99" s="87">
        <f t="shared" si="201"/>
        <v>0</v>
      </c>
      <c r="BA99" s="87">
        <f t="shared" si="109"/>
        <v>0</v>
      </c>
      <c r="BB99" s="87">
        <f t="shared" si="110"/>
        <v>0</v>
      </c>
      <c r="BC99" s="87">
        <f t="shared" si="184"/>
        <v>0</v>
      </c>
      <c r="BD99" s="86" t="e">
        <f t="shared" si="27"/>
        <v>#NUM!</v>
      </c>
      <c r="BE99" s="87" t="e">
        <f t="shared" si="3"/>
        <v>#NUM!</v>
      </c>
      <c r="BF99" s="88">
        <f t="shared" si="111"/>
        <v>0</v>
      </c>
      <c r="BH99" s="87" t="e">
        <f t="shared" si="28"/>
        <v>#NUM!</v>
      </c>
      <c r="BK99" s="95">
        <v>39880</v>
      </c>
      <c r="BL99" s="96">
        <v>20</v>
      </c>
      <c r="BT99" s="51">
        <v>30000.01</v>
      </c>
      <c r="BU99" s="51">
        <v>1000000</v>
      </c>
      <c r="BV99" s="30" t="s">
        <v>497</v>
      </c>
      <c r="BY99" s="30"/>
      <c r="BZ99" s="30"/>
      <c r="CA99" s="30"/>
      <c r="CB99" s="30"/>
      <c r="CC99" s="30"/>
      <c r="CD99" s="30"/>
      <c r="CE99" s="30"/>
      <c r="CF99" s="30" t="s">
        <v>497</v>
      </c>
      <c r="CG99" s="30" t="s">
        <v>497</v>
      </c>
      <c r="CS99" s="108" t="str">
        <f t="shared" si="29"/>
        <v/>
      </c>
      <c r="CT99" s="109" t="str">
        <f t="shared" si="30"/>
        <v/>
      </c>
      <c r="CU99" s="109" t="str">
        <f t="shared" si="31"/>
        <v/>
      </c>
      <c r="CV99" s="110" t="str">
        <f t="shared" si="32"/>
        <v/>
      </c>
      <c r="CX99" s="108" t="str">
        <f t="shared" si="33"/>
        <v/>
      </c>
      <c r="CY99" s="109" t="str">
        <f t="shared" si="113"/>
        <v/>
      </c>
      <c r="CZ99" s="109" t="str">
        <f t="shared" si="34"/>
        <v/>
      </c>
      <c r="DA99" s="110" t="str">
        <f t="shared" si="35"/>
        <v/>
      </c>
      <c r="DC99" s="108" t="str">
        <f t="shared" si="114"/>
        <v/>
      </c>
      <c r="DD99" s="109" t="str">
        <f t="shared" si="115"/>
        <v/>
      </c>
      <c r="DE99" s="109" t="str">
        <f t="shared" si="36"/>
        <v/>
      </c>
      <c r="DF99" s="110" t="str">
        <f t="shared" si="37"/>
        <v/>
      </c>
      <c r="DH99" s="108" t="str">
        <f t="shared" si="38"/>
        <v/>
      </c>
      <c r="DI99" s="109" t="str">
        <f t="shared" si="39"/>
        <v/>
      </c>
      <c r="DJ99" s="109" t="str">
        <f t="shared" si="40"/>
        <v/>
      </c>
      <c r="DK99" s="110" t="str">
        <f t="shared" si="41"/>
        <v/>
      </c>
      <c r="DM99" s="108" t="str">
        <f t="shared" si="116"/>
        <v/>
      </c>
      <c r="DN99" s="109" t="str">
        <f t="shared" si="117"/>
        <v/>
      </c>
      <c r="DO99" s="109" t="str">
        <f t="shared" si="42"/>
        <v/>
      </c>
      <c r="DP99" s="110" t="str">
        <f t="shared" si="185"/>
        <v/>
      </c>
      <c r="DR99" s="108" t="str">
        <f t="shared" si="43"/>
        <v/>
      </c>
      <c r="DS99" s="109" t="str">
        <f t="shared" si="118"/>
        <v/>
      </c>
      <c r="DT99" s="109" t="str">
        <f t="shared" si="44"/>
        <v/>
      </c>
      <c r="DU99" s="110" t="str">
        <f t="shared" si="119"/>
        <v/>
      </c>
      <c r="DW99" s="108" t="str">
        <f t="shared" si="120"/>
        <v/>
      </c>
      <c r="DX99" s="109" t="str">
        <f t="shared" si="121"/>
        <v/>
      </c>
      <c r="DY99" s="109" t="str">
        <f t="shared" si="45"/>
        <v/>
      </c>
      <c r="DZ99" s="110" t="str">
        <f t="shared" si="186"/>
        <v/>
      </c>
      <c r="EB99" s="108" t="str">
        <f t="shared" si="46"/>
        <v/>
      </c>
      <c r="EC99" s="109" t="str">
        <f t="shared" si="122"/>
        <v/>
      </c>
      <c r="ED99" s="109" t="str">
        <f t="shared" si="47"/>
        <v/>
      </c>
      <c r="EE99" s="110" t="str">
        <f t="shared" si="123"/>
        <v/>
      </c>
      <c r="EG99" s="108" t="str">
        <f t="shared" si="124"/>
        <v/>
      </c>
      <c r="EH99" s="109" t="str">
        <f t="shared" si="125"/>
        <v/>
      </c>
      <c r="EI99" s="109" t="str">
        <f t="shared" si="48"/>
        <v/>
      </c>
      <c r="EJ99" s="110" t="str">
        <f t="shared" si="187"/>
        <v/>
      </c>
      <c r="EL99" s="108" t="str">
        <f t="shared" si="49"/>
        <v/>
      </c>
      <c r="EM99" s="109" t="str">
        <f t="shared" si="126"/>
        <v/>
      </c>
      <c r="EN99" s="109" t="str">
        <f t="shared" si="50"/>
        <v/>
      </c>
      <c r="EO99" s="110" t="str">
        <f t="shared" si="127"/>
        <v/>
      </c>
      <c r="EQ99" s="108" t="str">
        <f t="shared" si="128"/>
        <v/>
      </c>
      <c r="ER99" s="109" t="str">
        <f t="shared" si="129"/>
        <v/>
      </c>
      <c r="ES99" s="109" t="str">
        <f t="shared" si="51"/>
        <v/>
      </c>
      <c r="ET99" s="110" t="str">
        <f t="shared" si="188"/>
        <v/>
      </c>
      <c r="EV99" s="108" t="str">
        <f t="shared" si="52"/>
        <v/>
      </c>
      <c r="EW99" s="109" t="str">
        <f t="shared" si="130"/>
        <v/>
      </c>
      <c r="EX99" s="109" t="str">
        <f t="shared" si="53"/>
        <v/>
      </c>
      <c r="EY99" s="110" t="str">
        <f t="shared" si="131"/>
        <v/>
      </c>
      <c r="FA99" s="108" t="str">
        <f t="shared" si="132"/>
        <v/>
      </c>
      <c r="FB99" s="109" t="str">
        <f t="shared" si="133"/>
        <v/>
      </c>
      <c r="FC99" s="109" t="str">
        <f t="shared" si="54"/>
        <v/>
      </c>
      <c r="FD99" s="110" t="str">
        <f t="shared" si="189"/>
        <v/>
      </c>
      <c r="FF99" s="108" t="str">
        <f t="shared" si="55"/>
        <v/>
      </c>
      <c r="FG99" s="109" t="str">
        <f t="shared" si="134"/>
        <v/>
      </c>
      <c r="FH99" s="109" t="str">
        <f t="shared" si="56"/>
        <v/>
      </c>
      <c r="FI99" s="110" t="str">
        <f t="shared" si="135"/>
        <v/>
      </c>
      <c r="FK99" s="108" t="str">
        <f t="shared" si="136"/>
        <v/>
      </c>
      <c r="FL99" s="109" t="str">
        <f t="shared" si="137"/>
        <v/>
      </c>
      <c r="FM99" s="109" t="str">
        <f t="shared" si="57"/>
        <v/>
      </c>
      <c r="FN99" s="110" t="str">
        <f t="shared" si="190"/>
        <v/>
      </c>
      <c r="FP99" s="108" t="str">
        <f t="shared" si="58"/>
        <v/>
      </c>
      <c r="FQ99" s="109" t="str">
        <f t="shared" si="138"/>
        <v/>
      </c>
      <c r="FR99" s="109" t="str">
        <f t="shared" si="59"/>
        <v/>
      </c>
      <c r="FS99" s="110" t="str">
        <f t="shared" si="139"/>
        <v/>
      </c>
      <c r="FU99" s="108" t="str">
        <f t="shared" si="140"/>
        <v/>
      </c>
      <c r="FV99" s="109" t="str">
        <f t="shared" si="141"/>
        <v/>
      </c>
      <c r="FW99" s="109" t="str">
        <f t="shared" si="60"/>
        <v/>
      </c>
      <c r="FX99" s="110" t="str">
        <f t="shared" si="191"/>
        <v/>
      </c>
      <c r="FZ99" s="108" t="str">
        <f t="shared" si="61"/>
        <v/>
      </c>
      <c r="GA99" s="109" t="str">
        <f t="shared" si="142"/>
        <v/>
      </c>
      <c r="GB99" s="109" t="str">
        <f t="shared" si="62"/>
        <v/>
      </c>
      <c r="GC99" s="110" t="str">
        <f t="shared" si="143"/>
        <v/>
      </c>
      <c r="GE99" s="108" t="str">
        <f t="shared" si="144"/>
        <v/>
      </c>
      <c r="GF99" s="109" t="str">
        <f t="shared" si="145"/>
        <v/>
      </c>
      <c r="GG99" s="109" t="str">
        <f t="shared" si="146"/>
        <v/>
      </c>
      <c r="GH99" s="110" t="str">
        <f t="shared" si="192"/>
        <v/>
      </c>
      <c r="GL99" s="108" t="str">
        <f t="shared" si="63"/>
        <v/>
      </c>
      <c r="GM99" s="109" t="str">
        <f t="shared" si="64"/>
        <v/>
      </c>
      <c r="GN99" s="109" t="str">
        <f t="shared" si="65"/>
        <v/>
      </c>
      <c r="GO99" s="110" t="str">
        <f t="shared" si="66"/>
        <v/>
      </c>
      <c r="GP99" s="51"/>
      <c r="GQ99" s="108" t="str">
        <f t="shared" si="67"/>
        <v/>
      </c>
      <c r="GR99" s="109" t="str">
        <f t="shared" si="147"/>
        <v/>
      </c>
      <c r="GS99" s="109" t="str">
        <f t="shared" si="68"/>
        <v/>
      </c>
      <c r="GT99" s="110" t="str">
        <f t="shared" si="69"/>
        <v/>
      </c>
      <c r="GU99" s="51"/>
      <c r="GV99" s="108" t="str">
        <f t="shared" si="148"/>
        <v/>
      </c>
      <c r="GW99" s="109" t="str">
        <f t="shared" si="149"/>
        <v/>
      </c>
      <c r="GX99" s="109" t="str">
        <f t="shared" si="70"/>
        <v/>
      </c>
      <c r="GY99" s="110" t="str">
        <f t="shared" si="150"/>
        <v/>
      </c>
      <c r="GZ99" s="51"/>
      <c r="HA99" s="108" t="str">
        <f t="shared" si="71"/>
        <v/>
      </c>
      <c r="HB99" s="109" t="str">
        <f t="shared" si="151"/>
        <v/>
      </c>
      <c r="HC99" s="109" t="str">
        <f t="shared" si="72"/>
        <v/>
      </c>
      <c r="HD99" s="110" t="str">
        <f t="shared" si="193"/>
        <v/>
      </c>
      <c r="HE99" s="51"/>
      <c r="HF99" s="108" t="str">
        <f t="shared" si="152"/>
        <v/>
      </c>
      <c r="HG99" s="109" t="str">
        <f t="shared" si="153"/>
        <v/>
      </c>
      <c r="HH99" s="109" t="str">
        <f t="shared" si="73"/>
        <v/>
      </c>
      <c r="HI99" s="110" t="str">
        <f t="shared" si="154"/>
        <v/>
      </c>
      <c r="HJ99" s="51"/>
      <c r="HK99" s="108" t="str">
        <f t="shared" si="74"/>
        <v/>
      </c>
      <c r="HL99" s="109" t="str">
        <f t="shared" si="155"/>
        <v/>
      </c>
      <c r="HM99" s="109" t="str">
        <f t="shared" si="75"/>
        <v/>
      </c>
      <c r="HN99" s="110" t="str">
        <f t="shared" si="194"/>
        <v/>
      </c>
      <c r="HO99" s="51"/>
      <c r="HP99" s="108" t="str">
        <f t="shared" si="156"/>
        <v/>
      </c>
      <c r="HQ99" s="109" t="str">
        <f t="shared" si="157"/>
        <v/>
      </c>
      <c r="HR99" s="109" t="str">
        <f t="shared" si="76"/>
        <v/>
      </c>
      <c r="HS99" s="110" t="str">
        <f t="shared" si="158"/>
        <v/>
      </c>
      <c r="HT99" s="51"/>
      <c r="HU99" s="108" t="str">
        <f t="shared" si="77"/>
        <v/>
      </c>
      <c r="HV99" s="109" t="str">
        <f t="shared" si="159"/>
        <v/>
      </c>
      <c r="HW99" s="109" t="str">
        <f t="shared" si="78"/>
        <v/>
      </c>
      <c r="HX99" s="110" t="str">
        <f t="shared" si="195"/>
        <v/>
      </c>
      <c r="HY99" s="51"/>
      <c r="HZ99" s="108" t="str">
        <f t="shared" si="160"/>
        <v/>
      </c>
      <c r="IA99" s="109" t="str">
        <f t="shared" si="161"/>
        <v/>
      </c>
      <c r="IB99" s="109" t="str">
        <f t="shared" si="79"/>
        <v/>
      </c>
      <c r="IC99" s="110" t="str">
        <f t="shared" si="162"/>
        <v/>
      </c>
      <c r="ID99" s="51"/>
      <c r="IE99" s="108" t="str">
        <f t="shared" si="80"/>
        <v/>
      </c>
      <c r="IF99" s="109" t="str">
        <f t="shared" si="163"/>
        <v/>
      </c>
      <c r="IG99" s="109" t="str">
        <f t="shared" si="81"/>
        <v/>
      </c>
      <c r="IH99" s="110" t="str">
        <f t="shared" si="196"/>
        <v/>
      </c>
      <c r="II99" s="51"/>
      <c r="IJ99" s="108" t="str">
        <f t="shared" si="164"/>
        <v/>
      </c>
      <c r="IK99" s="109" t="str">
        <f t="shared" si="165"/>
        <v/>
      </c>
      <c r="IL99" s="109" t="str">
        <f t="shared" si="82"/>
        <v/>
      </c>
      <c r="IM99" s="110" t="str">
        <f t="shared" si="166"/>
        <v/>
      </c>
      <c r="IN99" s="51"/>
      <c r="IO99" s="108" t="str">
        <f t="shared" si="83"/>
        <v/>
      </c>
      <c r="IP99" s="109" t="str">
        <f t="shared" si="167"/>
        <v/>
      </c>
      <c r="IQ99" s="109" t="str">
        <f t="shared" si="84"/>
        <v/>
      </c>
      <c r="IR99" s="110" t="str">
        <f t="shared" si="197"/>
        <v/>
      </c>
      <c r="IS99" s="51"/>
      <c r="IT99" s="108" t="str">
        <f t="shared" si="168"/>
        <v/>
      </c>
      <c r="IU99" s="109" t="str">
        <f t="shared" si="169"/>
        <v/>
      </c>
      <c r="IV99" s="109" t="str">
        <f t="shared" si="85"/>
        <v/>
      </c>
      <c r="IW99" s="110" t="str">
        <f t="shared" si="170"/>
        <v/>
      </c>
      <c r="IX99" s="51"/>
      <c r="IY99" s="108" t="str">
        <f t="shared" si="86"/>
        <v/>
      </c>
      <c r="IZ99" s="109" t="str">
        <f t="shared" si="171"/>
        <v/>
      </c>
      <c r="JA99" s="109" t="str">
        <f t="shared" si="87"/>
        <v/>
      </c>
      <c r="JB99" s="110" t="str">
        <f t="shared" si="198"/>
        <v/>
      </c>
      <c r="JC99" s="51"/>
      <c r="JD99" s="108" t="str">
        <f t="shared" si="172"/>
        <v/>
      </c>
      <c r="JE99" s="109" t="str">
        <f t="shared" si="173"/>
        <v/>
      </c>
      <c r="JF99" s="109" t="str">
        <f t="shared" si="88"/>
        <v/>
      </c>
      <c r="JG99" s="110" t="str">
        <f t="shared" si="174"/>
        <v/>
      </c>
      <c r="JH99" s="51"/>
      <c r="JI99" s="108" t="str">
        <f t="shared" si="89"/>
        <v/>
      </c>
      <c r="JJ99" s="109" t="str">
        <f t="shared" si="175"/>
        <v/>
      </c>
      <c r="JK99" s="109" t="str">
        <f t="shared" si="90"/>
        <v/>
      </c>
      <c r="JL99" s="110" t="str">
        <f t="shared" si="199"/>
        <v/>
      </c>
      <c r="JM99" s="51"/>
      <c r="JN99" s="108" t="str">
        <f t="shared" si="176"/>
        <v/>
      </c>
      <c r="JO99" s="109" t="str">
        <f t="shared" si="177"/>
        <v/>
      </c>
      <c r="JP99" s="109" t="str">
        <f t="shared" si="91"/>
        <v/>
      </c>
      <c r="JQ99" s="110" t="str">
        <f t="shared" si="178"/>
        <v/>
      </c>
      <c r="JR99" s="51"/>
      <c r="JS99" s="108" t="str">
        <f t="shared" si="92"/>
        <v/>
      </c>
      <c r="JT99" s="109" t="str">
        <f t="shared" si="179"/>
        <v/>
      </c>
      <c r="JU99" s="109" t="str">
        <f t="shared" si="93"/>
        <v/>
      </c>
      <c r="JV99" s="110" t="str">
        <f t="shared" si="200"/>
        <v/>
      </c>
      <c r="JW99" s="51"/>
      <c r="JX99" s="108" t="str">
        <f t="shared" si="180"/>
        <v/>
      </c>
      <c r="JY99" s="109" t="str">
        <f t="shared" si="181"/>
        <v/>
      </c>
      <c r="JZ99" s="109" t="str">
        <f t="shared" si="94"/>
        <v/>
      </c>
      <c r="KA99" s="110" t="str">
        <f t="shared" si="95"/>
        <v/>
      </c>
    </row>
    <row r="100" spans="1:287" ht="12" customHeight="1">
      <c r="A100" s="105">
        <f t="array" ref="A100">MAX(IF($J$80:J99&gt;0,$C$80:C99,0))</f>
        <v>43536</v>
      </c>
      <c r="B100" s="81" t="str">
        <f t="shared" si="4"/>
        <v/>
      </c>
      <c r="C100" s="82">
        <f t="shared" si="182"/>
        <v>0</v>
      </c>
      <c r="D100" s="83" t="str">
        <f t="shared" si="5"/>
        <v/>
      </c>
      <c r="E100" s="83" t="str">
        <f t="shared" si="96"/>
        <v/>
      </c>
      <c r="F100" s="83" t="str">
        <f t="shared" si="6"/>
        <v/>
      </c>
      <c r="G100" s="83" t="str">
        <f t="shared" si="7"/>
        <v/>
      </c>
      <c r="H100" s="83" t="str">
        <f t="shared" si="8"/>
        <v/>
      </c>
      <c r="I100" s="105">
        <f t="array" ref="I100">MAX(IF($R$80:R99&gt;0,$L$80:L99,0))</f>
        <v>0</v>
      </c>
      <c r="J100" s="106"/>
      <c r="K100" s="69" t="str">
        <f t="shared" si="9"/>
        <v/>
      </c>
      <c r="L100" s="82">
        <f t="shared" si="183"/>
        <v>0</v>
      </c>
      <c r="M100" s="83" t="str">
        <f t="shared" si="97"/>
        <v/>
      </c>
      <c r="N100" s="83" t="str">
        <f t="shared" si="10"/>
        <v/>
      </c>
      <c r="O100" s="83" t="str">
        <f t="shared" si="11"/>
        <v/>
      </c>
      <c r="P100" s="83" t="str">
        <f t="shared" si="12"/>
        <v/>
      </c>
      <c r="Q100" s="83" t="str">
        <f t="shared" si="13"/>
        <v/>
      </c>
      <c r="R100" s="106"/>
      <c r="S100" s="66"/>
      <c r="U100" s="85" t="e">
        <f t="shared" si="0"/>
        <v>#NUM!</v>
      </c>
      <c r="V100" s="86" t="e">
        <f t="shared" si="98"/>
        <v>#NUM!</v>
      </c>
      <c r="W100" s="87" t="e">
        <f t="shared" si="14"/>
        <v>#NUM!</v>
      </c>
      <c r="X100" s="87" t="e">
        <f t="shared" si="15"/>
        <v>#NUM!</v>
      </c>
      <c r="Y100" s="87" t="e">
        <f t="shared" si="16"/>
        <v>#NUM!</v>
      </c>
      <c r="Z100" s="88" t="e">
        <f t="shared" si="1"/>
        <v>#NUM!</v>
      </c>
      <c r="AB100" s="89">
        <f t="shared" si="99"/>
        <v>0</v>
      </c>
      <c r="AC100" s="87">
        <f t="shared" si="100"/>
        <v>0</v>
      </c>
      <c r="AD100" s="87" t="str">
        <f t="shared" si="17"/>
        <v/>
      </c>
      <c r="AE100" s="87" t="str">
        <f t="shared" si="18"/>
        <v/>
      </c>
      <c r="AF100" s="86">
        <f t="shared" si="101"/>
        <v>0</v>
      </c>
      <c r="AG100" s="87">
        <f t="shared" si="2"/>
        <v>0</v>
      </c>
      <c r="AH100" s="87">
        <f t="shared" si="102"/>
        <v>0</v>
      </c>
      <c r="AI100" s="90"/>
      <c r="AJ100" s="87" t="e">
        <f t="shared" si="19"/>
        <v>#NUM!</v>
      </c>
      <c r="AK100" s="87" t="e">
        <f t="shared" si="103"/>
        <v>#NUM!</v>
      </c>
      <c r="AL100" s="87" t="e">
        <f t="shared" si="104"/>
        <v>#NUM!</v>
      </c>
      <c r="AM100" s="87" t="e">
        <f t="shared" si="105"/>
        <v>#NUM!</v>
      </c>
      <c r="AN100" s="86">
        <f t="shared" si="20"/>
        <v>0</v>
      </c>
      <c r="AO100" s="87">
        <f t="shared" si="21"/>
        <v>0</v>
      </c>
      <c r="AP100" s="88">
        <f t="shared" si="22"/>
        <v>0</v>
      </c>
      <c r="AR100" s="89">
        <f t="shared" si="23"/>
        <v>0</v>
      </c>
      <c r="AS100" s="87">
        <f t="shared" si="24"/>
        <v>0</v>
      </c>
      <c r="AT100" s="87" t="str">
        <f t="shared" si="25"/>
        <v/>
      </c>
      <c r="AU100" s="87" t="str">
        <f t="shared" si="26"/>
        <v/>
      </c>
      <c r="AV100" s="86">
        <f t="shared" si="106"/>
        <v>0</v>
      </c>
      <c r="AW100" s="87">
        <f t="shared" si="107"/>
        <v>0</v>
      </c>
      <c r="AX100" s="87">
        <f t="shared" si="108"/>
        <v>0</v>
      </c>
      <c r="AY100" s="93"/>
      <c r="AZ100" s="87">
        <f t="shared" si="201"/>
        <v>0</v>
      </c>
      <c r="BA100" s="87">
        <f t="shared" si="109"/>
        <v>0</v>
      </c>
      <c r="BB100" s="87">
        <f t="shared" si="110"/>
        <v>0</v>
      </c>
      <c r="BC100" s="87">
        <f t="shared" si="184"/>
        <v>0</v>
      </c>
      <c r="BD100" s="86" t="e">
        <f t="shared" si="27"/>
        <v>#NUM!</v>
      </c>
      <c r="BE100" s="87" t="e">
        <f t="shared" si="3"/>
        <v>#NUM!</v>
      </c>
      <c r="BF100" s="88">
        <f t="shared" si="111"/>
        <v>0</v>
      </c>
      <c r="BH100" s="87" t="e">
        <f t="shared" si="28"/>
        <v>#NUM!</v>
      </c>
      <c r="BK100" s="95">
        <v>39912</v>
      </c>
      <c r="BL100" s="96">
        <v>21</v>
      </c>
      <c r="BT100" s="51"/>
      <c r="BU100" s="51"/>
      <c r="BV100" s="30"/>
      <c r="BW100" s="30"/>
      <c r="BX100" s="30"/>
      <c r="BY100" s="30"/>
      <c r="BZ100" s="30"/>
      <c r="CA100" s="30"/>
      <c r="CB100" s="30"/>
      <c r="CC100" s="30"/>
      <c r="CD100" s="30"/>
      <c r="CE100" s="30"/>
      <c r="CF100" s="30"/>
      <c r="CG100" s="30"/>
      <c r="CS100" s="108" t="str">
        <f t="shared" si="29"/>
        <v/>
      </c>
      <c r="CT100" s="109" t="str">
        <f t="shared" si="30"/>
        <v/>
      </c>
      <c r="CU100" s="109" t="str">
        <f t="shared" si="31"/>
        <v/>
      </c>
      <c r="CV100" s="110" t="str">
        <f t="shared" si="32"/>
        <v/>
      </c>
      <c r="CX100" s="108" t="str">
        <f t="shared" si="33"/>
        <v/>
      </c>
      <c r="CY100" s="109" t="str">
        <f t="shared" si="113"/>
        <v/>
      </c>
      <c r="CZ100" s="109" t="str">
        <f t="shared" si="34"/>
        <v/>
      </c>
      <c r="DA100" s="110" t="str">
        <f t="shared" si="35"/>
        <v/>
      </c>
      <c r="DC100" s="108" t="str">
        <f t="shared" si="114"/>
        <v/>
      </c>
      <c r="DD100" s="109" t="str">
        <f t="shared" si="115"/>
        <v/>
      </c>
      <c r="DE100" s="109" t="str">
        <f t="shared" si="36"/>
        <v/>
      </c>
      <c r="DF100" s="110" t="str">
        <f t="shared" si="37"/>
        <v/>
      </c>
      <c r="DH100" s="108" t="str">
        <f t="shared" si="38"/>
        <v/>
      </c>
      <c r="DI100" s="109" t="str">
        <f t="shared" si="39"/>
        <v/>
      </c>
      <c r="DJ100" s="109" t="str">
        <f t="shared" si="40"/>
        <v/>
      </c>
      <c r="DK100" s="110" t="str">
        <f t="shared" si="41"/>
        <v/>
      </c>
      <c r="DM100" s="108" t="str">
        <f t="shared" si="116"/>
        <v/>
      </c>
      <c r="DN100" s="109" t="str">
        <f t="shared" si="117"/>
        <v/>
      </c>
      <c r="DO100" s="109" t="str">
        <f t="shared" si="42"/>
        <v/>
      </c>
      <c r="DP100" s="110" t="str">
        <f t="shared" si="185"/>
        <v/>
      </c>
      <c r="DR100" s="108" t="str">
        <f t="shared" si="43"/>
        <v/>
      </c>
      <c r="DS100" s="109" t="str">
        <f t="shared" si="118"/>
        <v/>
      </c>
      <c r="DT100" s="109" t="str">
        <f t="shared" si="44"/>
        <v/>
      </c>
      <c r="DU100" s="110" t="str">
        <f t="shared" si="119"/>
        <v/>
      </c>
      <c r="DW100" s="108" t="str">
        <f t="shared" si="120"/>
        <v/>
      </c>
      <c r="DX100" s="109" t="str">
        <f t="shared" si="121"/>
        <v/>
      </c>
      <c r="DY100" s="109" t="str">
        <f t="shared" si="45"/>
        <v/>
      </c>
      <c r="DZ100" s="110" t="str">
        <f t="shared" si="186"/>
        <v/>
      </c>
      <c r="EB100" s="108" t="str">
        <f t="shared" si="46"/>
        <v/>
      </c>
      <c r="EC100" s="109" t="str">
        <f t="shared" si="122"/>
        <v/>
      </c>
      <c r="ED100" s="109" t="str">
        <f t="shared" si="47"/>
        <v/>
      </c>
      <c r="EE100" s="110" t="str">
        <f t="shared" si="123"/>
        <v/>
      </c>
      <c r="EG100" s="108" t="str">
        <f t="shared" si="124"/>
        <v/>
      </c>
      <c r="EH100" s="109" t="str">
        <f t="shared" si="125"/>
        <v/>
      </c>
      <c r="EI100" s="109" t="str">
        <f t="shared" si="48"/>
        <v/>
      </c>
      <c r="EJ100" s="110" t="str">
        <f t="shared" si="187"/>
        <v/>
      </c>
      <c r="EL100" s="108" t="str">
        <f t="shared" si="49"/>
        <v/>
      </c>
      <c r="EM100" s="109" t="str">
        <f t="shared" si="126"/>
        <v/>
      </c>
      <c r="EN100" s="109" t="str">
        <f t="shared" si="50"/>
        <v/>
      </c>
      <c r="EO100" s="110" t="str">
        <f t="shared" si="127"/>
        <v/>
      </c>
      <c r="EQ100" s="108" t="str">
        <f t="shared" si="128"/>
        <v/>
      </c>
      <c r="ER100" s="109" t="str">
        <f t="shared" si="129"/>
        <v/>
      </c>
      <c r="ES100" s="109" t="str">
        <f t="shared" si="51"/>
        <v/>
      </c>
      <c r="ET100" s="110" t="str">
        <f t="shared" si="188"/>
        <v/>
      </c>
      <c r="EV100" s="108" t="str">
        <f t="shared" si="52"/>
        <v/>
      </c>
      <c r="EW100" s="109" t="str">
        <f t="shared" si="130"/>
        <v/>
      </c>
      <c r="EX100" s="109" t="str">
        <f t="shared" si="53"/>
        <v/>
      </c>
      <c r="EY100" s="110" t="str">
        <f t="shared" si="131"/>
        <v/>
      </c>
      <c r="FA100" s="108" t="str">
        <f t="shared" si="132"/>
        <v/>
      </c>
      <c r="FB100" s="109" t="str">
        <f t="shared" si="133"/>
        <v/>
      </c>
      <c r="FC100" s="109" t="str">
        <f t="shared" si="54"/>
        <v/>
      </c>
      <c r="FD100" s="110" t="str">
        <f t="shared" si="189"/>
        <v/>
      </c>
      <c r="FF100" s="108" t="str">
        <f t="shared" si="55"/>
        <v/>
      </c>
      <c r="FG100" s="109" t="str">
        <f t="shared" si="134"/>
        <v/>
      </c>
      <c r="FH100" s="109" t="str">
        <f t="shared" si="56"/>
        <v/>
      </c>
      <c r="FI100" s="110" t="str">
        <f t="shared" si="135"/>
        <v/>
      </c>
      <c r="FK100" s="108" t="str">
        <f t="shared" si="136"/>
        <v/>
      </c>
      <c r="FL100" s="109" t="str">
        <f t="shared" si="137"/>
        <v/>
      </c>
      <c r="FM100" s="109" t="str">
        <f t="shared" si="57"/>
        <v/>
      </c>
      <c r="FN100" s="110" t="str">
        <f t="shared" si="190"/>
        <v/>
      </c>
      <c r="FP100" s="108" t="str">
        <f t="shared" si="58"/>
        <v/>
      </c>
      <c r="FQ100" s="109" t="str">
        <f t="shared" si="138"/>
        <v/>
      </c>
      <c r="FR100" s="109" t="str">
        <f t="shared" si="59"/>
        <v/>
      </c>
      <c r="FS100" s="110" t="str">
        <f t="shared" si="139"/>
        <v/>
      </c>
      <c r="FU100" s="108" t="str">
        <f t="shared" si="140"/>
        <v/>
      </c>
      <c r="FV100" s="109" t="str">
        <f t="shared" si="141"/>
        <v/>
      </c>
      <c r="FW100" s="109" t="str">
        <f t="shared" si="60"/>
        <v/>
      </c>
      <c r="FX100" s="110" t="str">
        <f t="shared" si="191"/>
        <v/>
      </c>
      <c r="FZ100" s="108" t="str">
        <f t="shared" si="61"/>
        <v/>
      </c>
      <c r="GA100" s="109" t="str">
        <f t="shared" si="142"/>
        <v/>
      </c>
      <c r="GB100" s="109" t="str">
        <f t="shared" si="62"/>
        <v/>
      </c>
      <c r="GC100" s="110" t="str">
        <f t="shared" si="143"/>
        <v/>
      </c>
      <c r="GE100" s="108" t="str">
        <f t="shared" si="144"/>
        <v/>
      </c>
      <c r="GF100" s="109" t="str">
        <f t="shared" si="145"/>
        <v/>
      </c>
      <c r="GG100" s="109" t="str">
        <f t="shared" si="146"/>
        <v/>
      </c>
      <c r="GH100" s="110" t="str">
        <f t="shared" si="192"/>
        <v/>
      </c>
      <c r="GL100" s="108" t="str">
        <f t="shared" si="63"/>
        <v/>
      </c>
      <c r="GM100" s="109" t="str">
        <f t="shared" si="64"/>
        <v/>
      </c>
      <c r="GN100" s="109" t="str">
        <f t="shared" si="65"/>
        <v/>
      </c>
      <c r="GO100" s="110" t="str">
        <f t="shared" si="66"/>
        <v/>
      </c>
      <c r="GP100" s="51"/>
      <c r="GQ100" s="108" t="str">
        <f t="shared" si="67"/>
        <v/>
      </c>
      <c r="GR100" s="109" t="str">
        <f t="shared" si="147"/>
        <v/>
      </c>
      <c r="GS100" s="109" t="str">
        <f t="shared" si="68"/>
        <v/>
      </c>
      <c r="GT100" s="110" t="str">
        <f t="shared" si="69"/>
        <v/>
      </c>
      <c r="GU100" s="51"/>
      <c r="GV100" s="108" t="str">
        <f t="shared" si="148"/>
        <v/>
      </c>
      <c r="GW100" s="109" t="str">
        <f t="shared" si="149"/>
        <v/>
      </c>
      <c r="GX100" s="109" t="str">
        <f t="shared" si="70"/>
        <v/>
      </c>
      <c r="GY100" s="110" t="str">
        <f t="shared" si="150"/>
        <v/>
      </c>
      <c r="GZ100" s="51"/>
      <c r="HA100" s="108" t="str">
        <f t="shared" si="71"/>
        <v/>
      </c>
      <c r="HB100" s="109" t="str">
        <f t="shared" si="151"/>
        <v/>
      </c>
      <c r="HC100" s="109" t="str">
        <f t="shared" si="72"/>
        <v/>
      </c>
      <c r="HD100" s="110" t="str">
        <f t="shared" si="193"/>
        <v/>
      </c>
      <c r="HE100" s="51"/>
      <c r="HF100" s="108" t="str">
        <f t="shared" si="152"/>
        <v/>
      </c>
      <c r="HG100" s="109" t="str">
        <f t="shared" si="153"/>
        <v/>
      </c>
      <c r="HH100" s="109" t="str">
        <f t="shared" si="73"/>
        <v/>
      </c>
      <c r="HI100" s="110" t="str">
        <f t="shared" si="154"/>
        <v/>
      </c>
      <c r="HJ100" s="51"/>
      <c r="HK100" s="108" t="str">
        <f t="shared" si="74"/>
        <v/>
      </c>
      <c r="HL100" s="109" t="str">
        <f t="shared" si="155"/>
        <v/>
      </c>
      <c r="HM100" s="109" t="str">
        <f t="shared" si="75"/>
        <v/>
      </c>
      <c r="HN100" s="110" t="str">
        <f t="shared" si="194"/>
        <v/>
      </c>
      <c r="HO100" s="51"/>
      <c r="HP100" s="108" t="str">
        <f t="shared" si="156"/>
        <v/>
      </c>
      <c r="HQ100" s="109" t="str">
        <f t="shared" si="157"/>
        <v/>
      </c>
      <c r="HR100" s="109" t="str">
        <f t="shared" si="76"/>
        <v/>
      </c>
      <c r="HS100" s="110" t="str">
        <f t="shared" si="158"/>
        <v/>
      </c>
      <c r="HT100" s="51"/>
      <c r="HU100" s="108" t="str">
        <f t="shared" si="77"/>
        <v/>
      </c>
      <c r="HV100" s="109" t="str">
        <f t="shared" si="159"/>
        <v/>
      </c>
      <c r="HW100" s="109" t="str">
        <f t="shared" si="78"/>
        <v/>
      </c>
      <c r="HX100" s="110" t="str">
        <f t="shared" si="195"/>
        <v/>
      </c>
      <c r="HY100" s="51"/>
      <c r="HZ100" s="108" t="str">
        <f t="shared" si="160"/>
        <v/>
      </c>
      <c r="IA100" s="109" t="str">
        <f t="shared" si="161"/>
        <v/>
      </c>
      <c r="IB100" s="109" t="str">
        <f t="shared" si="79"/>
        <v/>
      </c>
      <c r="IC100" s="110" t="str">
        <f t="shared" si="162"/>
        <v/>
      </c>
      <c r="ID100" s="51"/>
      <c r="IE100" s="108" t="str">
        <f t="shared" si="80"/>
        <v/>
      </c>
      <c r="IF100" s="109" t="str">
        <f t="shared" si="163"/>
        <v/>
      </c>
      <c r="IG100" s="109" t="str">
        <f t="shared" si="81"/>
        <v/>
      </c>
      <c r="IH100" s="110" t="str">
        <f t="shared" si="196"/>
        <v/>
      </c>
      <c r="II100" s="51"/>
      <c r="IJ100" s="108" t="str">
        <f t="shared" si="164"/>
        <v/>
      </c>
      <c r="IK100" s="109" t="str">
        <f t="shared" si="165"/>
        <v/>
      </c>
      <c r="IL100" s="109" t="str">
        <f t="shared" si="82"/>
        <v/>
      </c>
      <c r="IM100" s="110" t="str">
        <f t="shared" si="166"/>
        <v/>
      </c>
      <c r="IN100" s="51"/>
      <c r="IO100" s="108" t="str">
        <f t="shared" si="83"/>
        <v/>
      </c>
      <c r="IP100" s="109" t="str">
        <f t="shared" si="167"/>
        <v/>
      </c>
      <c r="IQ100" s="109" t="str">
        <f t="shared" si="84"/>
        <v/>
      </c>
      <c r="IR100" s="110" t="str">
        <f t="shared" si="197"/>
        <v/>
      </c>
      <c r="IS100" s="51"/>
      <c r="IT100" s="108" t="str">
        <f t="shared" si="168"/>
        <v/>
      </c>
      <c r="IU100" s="109" t="str">
        <f t="shared" si="169"/>
        <v/>
      </c>
      <c r="IV100" s="109" t="str">
        <f t="shared" si="85"/>
        <v/>
      </c>
      <c r="IW100" s="110" t="str">
        <f t="shared" si="170"/>
        <v/>
      </c>
      <c r="IX100" s="51"/>
      <c r="IY100" s="108" t="str">
        <f t="shared" si="86"/>
        <v/>
      </c>
      <c r="IZ100" s="109" t="str">
        <f t="shared" si="171"/>
        <v/>
      </c>
      <c r="JA100" s="109" t="str">
        <f t="shared" si="87"/>
        <v/>
      </c>
      <c r="JB100" s="110" t="str">
        <f t="shared" si="198"/>
        <v/>
      </c>
      <c r="JC100" s="51"/>
      <c r="JD100" s="108" t="str">
        <f t="shared" si="172"/>
        <v/>
      </c>
      <c r="JE100" s="109" t="str">
        <f t="shared" si="173"/>
        <v/>
      </c>
      <c r="JF100" s="109" t="str">
        <f t="shared" si="88"/>
        <v/>
      </c>
      <c r="JG100" s="110" t="str">
        <f t="shared" si="174"/>
        <v/>
      </c>
      <c r="JH100" s="51"/>
      <c r="JI100" s="108" t="str">
        <f t="shared" si="89"/>
        <v/>
      </c>
      <c r="JJ100" s="109" t="str">
        <f t="shared" si="175"/>
        <v/>
      </c>
      <c r="JK100" s="109" t="str">
        <f t="shared" si="90"/>
        <v/>
      </c>
      <c r="JL100" s="110" t="str">
        <f t="shared" si="199"/>
        <v/>
      </c>
      <c r="JM100" s="51"/>
      <c r="JN100" s="108" t="str">
        <f t="shared" si="176"/>
        <v/>
      </c>
      <c r="JO100" s="109" t="str">
        <f t="shared" si="177"/>
        <v/>
      </c>
      <c r="JP100" s="109" t="str">
        <f t="shared" si="91"/>
        <v/>
      </c>
      <c r="JQ100" s="110" t="str">
        <f t="shared" si="178"/>
        <v/>
      </c>
      <c r="JR100" s="51"/>
      <c r="JS100" s="108" t="str">
        <f t="shared" si="92"/>
        <v/>
      </c>
      <c r="JT100" s="109" t="str">
        <f t="shared" si="179"/>
        <v/>
      </c>
      <c r="JU100" s="109" t="str">
        <f t="shared" si="93"/>
        <v/>
      </c>
      <c r="JV100" s="110" t="str">
        <f t="shared" si="200"/>
        <v/>
      </c>
      <c r="JW100" s="51"/>
      <c r="JX100" s="108" t="str">
        <f t="shared" si="180"/>
        <v/>
      </c>
      <c r="JY100" s="109" t="str">
        <f t="shared" si="181"/>
        <v/>
      </c>
      <c r="JZ100" s="109" t="str">
        <f t="shared" si="94"/>
        <v/>
      </c>
      <c r="KA100" s="110" t="str">
        <f t="shared" si="95"/>
        <v/>
      </c>
    </row>
    <row r="101" spans="1:287" ht="12" customHeight="1">
      <c r="A101" s="105">
        <f t="array" ref="A101">MAX(IF($J$80:J100&gt;0,$C$80:C100,0))</f>
        <v>43536</v>
      </c>
      <c r="B101" s="81" t="str">
        <f t="shared" si="4"/>
        <v/>
      </c>
      <c r="C101" s="82">
        <f t="shared" si="182"/>
        <v>0</v>
      </c>
      <c r="D101" s="83" t="str">
        <f t="shared" si="5"/>
        <v/>
      </c>
      <c r="E101" s="83" t="str">
        <f t="shared" si="96"/>
        <v/>
      </c>
      <c r="F101" s="83" t="str">
        <f t="shared" si="6"/>
        <v/>
      </c>
      <c r="G101" s="83" t="str">
        <f t="shared" si="7"/>
        <v/>
      </c>
      <c r="H101" s="83" t="str">
        <f t="shared" si="8"/>
        <v/>
      </c>
      <c r="I101" s="105">
        <f t="array" ref="I101">MAX(IF($R$80:R100&gt;0,$L$80:L100,0))</f>
        <v>0</v>
      </c>
      <c r="J101" s="106"/>
      <c r="K101" s="69" t="str">
        <f t="shared" si="9"/>
        <v/>
      </c>
      <c r="L101" s="82">
        <f t="shared" si="183"/>
        <v>0</v>
      </c>
      <c r="M101" s="83" t="str">
        <f t="shared" si="97"/>
        <v/>
      </c>
      <c r="N101" s="83" t="str">
        <f t="shared" si="10"/>
        <v/>
      </c>
      <c r="O101" s="83" t="str">
        <f t="shared" si="11"/>
        <v/>
      </c>
      <c r="P101" s="83" t="str">
        <f t="shared" si="12"/>
        <v/>
      </c>
      <c r="Q101" s="83" t="str">
        <f t="shared" si="13"/>
        <v/>
      </c>
      <c r="R101" s="106"/>
      <c r="S101" s="66"/>
      <c r="U101" s="85" t="e">
        <f t="shared" si="0"/>
        <v>#NUM!</v>
      </c>
      <c r="V101" s="86" t="e">
        <f t="shared" si="98"/>
        <v>#NUM!</v>
      </c>
      <c r="W101" s="87" t="e">
        <f t="shared" si="14"/>
        <v>#NUM!</v>
      </c>
      <c r="X101" s="87" t="e">
        <f t="shared" si="15"/>
        <v>#NUM!</v>
      </c>
      <c r="Y101" s="87" t="e">
        <f t="shared" si="16"/>
        <v>#NUM!</v>
      </c>
      <c r="Z101" s="88" t="e">
        <f t="shared" si="1"/>
        <v>#NUM!</v>
      </c>
      <c r="AB101" s="89">
        <f t="shared" si="99"/>
        <v>0</v>
      </c>
      <c r="AC101" s="87">
        <f t="shared" si="100"/>
        <v>0</v>
      </c>
      <c r="AD101" s="87" t="str">
        <f t="shared" si="17"/>
        <v/>
      </c>
      <c r="AE101" s="87" t="str">
        <f t="shared" si="18"/>
        <v/>
      </c>
      <c r="AF101" s="86">
        <f t="shared" si="101"/>
        <v>0</v>
      </c>
      <c r="AG101" s="87">
        <f t="shared" si="2"/>
        <v>0</v>
      </c>
      <c r="AH101" s="87">
        <f t="shared" si="102"/>
        <v>0</v>
      </c>
      <c r="AI101" s="90"/>
      <c r="AJ101" s="87" t="e">
        <f t="shared" si="19"/>
        <v>#NUM!</v>
      </c>
      <c r="AK101" s="87" t="e">
        <f t="shared" si="103"/>
        <v>#NUM!</v>
      </c>
      <c r="AL101" s="87" t="e">
        <f t="shared" si="104"/>
        <v>#NUM!</v>
      </c>
      <c r="AM101" s="87" t="e">
        <f t="shared" si="105"/>
        <v>#NUM!</v>
      </c>
      <c r="AN101" s="86">
        <f t="shared" si="20"/>
        <v>0</v>
      </c>
      <c r="AO101" s="87">
        <f t="shared" si="21"/>
        <v>0</v>
      </c>
      <c r="AP101" s="88">
        <f t="shared" si="22"/>
        <v>0</v>
      </c>
      <c r="AR101" s="89">
        <f t="shared" si="23"/>
        <v>0</v>
      </c>
      <c r="AS101" s="87">
        <f t="shared" si="24"/>
        <v>0</v>
      </c>
      <c r="AT101" s="87" t="str">
        <f t="shared" si="25"/>
        <v/>
      </c>
      <c r="AU101" s="87" t="str">
        <f t="shared" si="26"/>
        <v/>
      </c>
      <c r="AV101" s="86">
        <f t="shared" si="106"/>
        <v>0</v>
      </c>
      <c r="AW101" s="87">
        <f t="shared" si="107"/>
        <v>0</v>
      </c>
      <c r="AX101" s="87">
        <f t="shared" si="108"/>
        <v>0</v>
      </c>
      <c r="AY101" s="93"/>
      <c r="AZ101" s="87">
        <f t="shared" si="201"/>
        <v>0</v>
      </c>
      <c r="BA101" s="87">
        <f t="shared" si="109"/>
        <v>0</v>
      </c>
      <c r="BB101" s="87">
        <f t="shared" si="110"/>
        <v>0</v>
      </c>
      <c r="BC101" s="87">
        <f t="shared" si="184"/>
        <v>0</v>
      </c>
      <c r="BD101" s="86" t="e">
        <f t="shared" si="27"/>
        <v>#NUM!</v>
      </c>
      <c r="BE101" s="87" t="e">
        <f t="shared" si="3"/>
        <v>#NUM!</v>
      </c>
      <c r="BF101" s="88">
        <f t="shared" si="111"/>
        <v>0</v>
      </c>
      <c r="BH101" s="87" t="e">
        <f t="shared" si="28"/>
        <v>#NUM!</v>
      </c>
      <c r="BK101" s="95">
        <v>39920</v>
      </c>
      <c r="BL101" s="96">
        <v>22</v>
      </c>
      <c r="BT101" t="s">
        <v>144</v>
      </c>
      <c r="BU101" t="s">
        <v>500</v>
      </c>
      <c r="BW101">
        <v>1</v>
      </c>
      <c r="BX101">
        <v>6</v>
      </c>
      <c r="BY101">
        <v>11</v>
      </c>
      <c r="BZ101">
        <v>15</v>
      </c>
      <c r="CA101">
        <v>24</v>
      </c>
      <c r="CB101">
        <v>36</v>
      </c>
      <c r="CC101">
        <v>48</v>
      </c>
      <c r="CD101">
        <v>60</v>
      </c>
      <c r="CE101">
        <v>61</v>
      </c>
      <c r="CS101" s="108" t="str">
        <f t="shared" si="29"/>
        <v/>
      </c>
      <c r="CT101" s="109" t="str">
        <f t="shared" si="30"/>
        <v/>
      </c>
      <c r="CU101" s="109" t="str">
        <f t="shared" si="31"/>
        <v/>
      </c>
      <c r="CV101" s="110" t="str">
        <f t="shared" si="32"/>
        <v/>
      </c>
      <c r="CX101" s="108" t="str">
        <f t="shared" si="33"/>
        <v/>
      </c>
      <c r="CY101" s="109" t="str">
        <f t="shared" si="113"/>
        <v/>
      </c>
      <c r="CZ101" s="109" t="str">
        <f t="shared" si="34"/>
        <v/>
      </c>
      <c r="DA101" s="110" t="str">
        <f t="shared" si="35"/>
        <v/>
      </c>
      <c r="DC101" s="108" t="str">
        <f t="shared" si="114"/>
        <v/>
      </c>
      <c r="DD101" s="109" t="str">
        <f t="shared" si="115"/>
        <v/>
      </c>
      <c r="DE101" s="109" t="str">
        <f t="shared" si="36"/>
        <v/>
      </c>
      <c r="DF101" s="110" t="str">
        <f t="shared" si="37"/>
        <v/>
      </c>
      <c r="DH101" s="108" t="str">
        <f t="shared" si="38"/>
        <v/>
      </c>
      <c r="DI101" s="109" t="str">
        <f t="shared" si="39"/>
        <v/>
      </c>
      <c r="DJ101" s="109" t="str">
        <f t="shared" si="40"/>
        <v/>
      </c>
      <c r="DK101" s="110" t="str">
        <f t="shared" si="41"/>
        <v/>
      </c>
      <c r="DM101" s="108" t="str">
        <f t="shared" si="116"/>
        <v/>
      </c>
      <c r="DN101" s="109" t="str">
        <f t="shared" si="117"/>
        <v/>
      </c>
      <c r="DO101" s="109" t="str">
        <f t="shared" si="42"/>
        <v/>
      </c>
      <c r="DP101" s="110" t="str">
        <f t="shared" si="185"/>
        <v/>
      </c>
      <c r="DR101" s="108" t="str">
        <f t="shared" si="43"/>
        <v/>
      </c>
      <c r="DS101" s="109" t="str">
        <f t="shared" si="118"/>
        <v/>
      </c>
      <c r="DT101" s="109" t="str">
        <f t="shared" si="44"/>
        <v/>
      </c>
      <c r="DU101" s="110" t="str">
        <f t="shared" si="119"/>
        <v/>
      </c>
      <c r="DW101" s="108" t="str">
        <f t="shared" si="120"/>
        <v/>
      </c>
      <c r="DX101" s="109" t="str">
        <f t="shared" si="121"/>
        <v/>
      </c>
      <c r="DY101" s="109" t="str">
        <f t="shared" si="45"/>
        <v/>
      </c>
      <c r="DZ101" s="110" t="str">
        <f t="shared" si="186"/>
        <v/>
      </c>
      <c r="EB101" s="108" t="str">
        <f t="shared" si="46"/>
        <v/>
      </c>
      <c r="EC101" s="109" t="str">
        <f t="shared" si="122"/>
        <v/>
      </c>
      <c r="ED101" s="109" t="str">
        <f t="shared" si="47"/>
        <v/>
      </c>
      <c r="EE101" s="110" t="str">
        <f t="shared" si="123"/>
        <v/>
      </c>
      <c r="EG101" s="108" t="str">
        <f t="shared" si="124"/>
        <v/>
      </c>
      <c r="EH101" s="109" t="str">
        <f t="shared" si="125"/>
        <v/>
      </c>
      <c r="EI101" s="109" t="str">
        <f t="shared" si="48"/>
        <v/>
      </c>
      <c r="EJ101" s="110" t="str">
        <f t="shared" si="187"/>
        <v/>
      </c>
      <c r="EL101" s="108" t="str">
        <f t="shared" si="49"/>
        <v/>
      </c>
      <c r="EM101" s="109" t="str">
        <f t="shared" si="126"/>
        <v/>
      </c>
      <c r="EN101" s="109" t="str">
        <f t="shared" si="50"/>
        <v/>
      </c>
      <c r="EO101" s="110" t="str">
        <f t="shared" si="127"/>
        <v/>
      </c>
      <c r="EQ101" s="108" t="str">
        <f t="shared" si="128"/>
        <v/>
      </c>
      <c r="ER101" s="109" t="str">
        <f t="shared" si="129"/>
        <v/>
      </c>
      <c r="ES101" s="109" t="str">
        <f t="shared" si="51"/>
        <v/>
      </c>
      <c r="ET101" s="110" t="str">
        <f t="shared" si="188"/>
        <v/>
      </c>
      <c r="EV101" s="108" t="str">
        <f t="shared" si="52"/>
        <v/>
      </c>
      <c r="EW101" s="109" t="str">
        <f t="shared" si="130"/>
        <v/>
      </c>
      <c r="EX101" s="109" t="str">
        <f t="shared" si="53"/>
        <v/>
      </c>
      <c r="EY101" s="110" t="str">
        <f t="shared" si="131"/>
        <v/>
      </c>
      <c r="FA101" s="108" t="str">
        <f t="shared" si="132"/>
        <v/>
      </c>
      <c r="FB101" s="109" t="str">
        <f t="shared" si="133"/>
        <v/>
      </c>
      <c r="FC101" s="109" t="str">
        <f t="shared" si="54"/>
        <v/>
      </c>
      <c r="FD101" s="110" t="str">
        <f t="shared" si="189"/>
        <v/>
      </c>
      <c r="FF101" s="108" t="str">
        <f t="shared" si="55"/>
        <v/>
      </c>
      <c r="FG101" s="109" t="str">
        <f t="shared" si="134"/>
        <v/>
      </c>
      <c r="FH101" s="109" t="str">
        <f t="shared" si="56"/>
        <v/>
      </c>
      <c r="FI101" s="110" t="str">
        <f t="shared" si="135"/>
        <v/>
      </c>
      <c r="FK101" s="108" t="str">
        <f t="shared" si="136"/>
        <v/>
      </c>
      <c r="FL101" s="109" t="str">
        <f t="shared" si="137"/>
        <v/>
      </c>
      <c r="FM101" s="109" t="str">
        <f t="shared" si="57"/>
        <v/>
      </c>
      <c r="FN101" s="110" t="str">
        <f t="shared" si="190"/>
        <v/>
      </c>
      <c r="FP101" s="108" t="str">
        <f t="shared" si="58"/>
        <v/>
      </c>
      <c r="FQ101" s="109" t="str">
        <f t="shared" si="138"/>
        <v/>
      </c>
      <c r="FR101" s="109" t="str">
        <f t="shared" si="59"/>
        <v/>
      </c>
      <c r="FS101" s="110" t="str">
        <f t="shared" si="139"/>
        <v/>
      </c>
      <c r="FU101" s="108" t="str">
        <f t="shared" si="140"/>
        <v/>
      </c>
      <c r="FV101" s="109" t="str">
        <f t="shared" si="141"/>
        <v/>
      </c>
      <c r="FW101" s="109" t="str">
        <f t="shared" si="60"/>
        <v/>
      </c>
      <c r="FX101" s="110" t="str">
        <f t="shared" si="191"/>
        <v/>
      </c>
      <c r="FZ101" s="108" t="str">
        <f t="shared" si="61"/>
        <v/>
      </c>
      <c r="GA101" s="109" t="str">
        <f t="shared" si="142"/>
        <v/>
      </c>
      <c r="GB101" s="109" t="str">
        <f t="shared" si="62"/>
        <v/>
      </c>
      <c r="GC101" s="110" t="str">
        <f t="shared" si="143"/>
        <v/>
      </c>
      <c r="GE101" s="108" t="str">
        <f t="shared" si="144"/>
        <v/>
      </c>
      <c r="GF101" s="109" t="str">
        <f t="shared" si="145"/>
        <v/>
      </c>
      <c r="GG101" s="109" t="str">
        <f t="shared" si="146"/>
        <v/>
      </c>
      <c r="GH101" s="110" t="str">
        <f t="shared" si="192"/>
        <v/>
      </c>
      <c r="GL101" s="108" t="str">
        <f t="shared" si="63"/>
        <v/>
      </c>
      <c r="GM101" s="109" t="str">
        <f t="shared" si="64"/>
        <v/>
      </c>
      <c r="GN101" s="109" t="str">
        <f t="shared" si="65"/>
        <v/>
      </c>
      <c r="GO101" s="110" t="str">
        <f t="shared" si="66"/>
        <v/>
      </c>
      <c r="GP101" s="51"/>
      <c r="GQ101" s="108" t="str">
        <f t="shared" si="67"/>
        <v/>
      </c>
      <c r="GR101" s="109" t="str">
        <f t="shared" si="147"/>
        <v/>
      </c>
      <c r="GS101" s="109" t="str">
        <f t="shared" si="68"/>
        <v/>
      </c>
      <c r="GT101" s="110" t="str">
        <f t="shared" si="69"/>
        <v/>
      </c>
      <c r="GU101" s="51"/>
      <c r="GV101" s="108" t="str">
        <f t="shared" si="148"/>
        <v/>
      </c>
      <c r="GW101" s="109" t="str">
        <f t="shared" si="149"/>
        <v/>
      </c>
      <c r="GX101" s="109" t="str">
        <f t="shared" si="70"/>
        <v/>
      </c>
      <c r="GY101" s="110" t="str">
        <f t="shared" si="150"/>
        <v/>
      </c>
      <c r="GZ101" s="51"/>
      <c r="HA101" s="108" t="str">
        <f t="shared" si="71"/>
        <v/>
      </c>
      <c r="HB101" s="109" t="str">
        <f t="shared" si="151"/>
        <v/>
      </c>
      <c r="HC101" s="109" t="str">
        <f t="shared" si="72"/>
        <v/>
      </c>
      <c r="HD101" s="110" t="str">
        <f t="shared" si="193"/>
        <v/>
      </c>
      <c r="HE101" s="51"/>
      <c r="HF101" s="108" t="str">
        <f t="shared" si="152"/>
        <v/>
      </c>
      <c r="HG101" s="109" t="str">
        <f t="shared" si="153"/>
        <v/>
      </c>
      <c r="HH101" s="109" t="str">
        <f t="shared" si="73"/>
        <v/>
      </c>
      <c r="HI101" s="110" t="str">
        <f t="shared" si="154"/>
        <v/>
      </c>
      <c r="HJ101" s="51"/>
      <c r="HK101" s="108" t="str">
        <f t="shared" si="74"/>
        <v/>
      </c>
      <c r="HL101" s="109" t="str">
        <f t="shared" si="155"/>
        <v/>
      </c>
      <c r="HM101" s="109" t="str">
        <f t="shared" si="75"/>
        <v/>
      </c>
      <c r="HN101" s="110" t="str">
        <f t="shared" si="194"/>
        <v/>
      </c>
      <c r="HO101" s="51"/>
      <c r="HP101" s="108" t="str">
        <f t="shared" si="156"/>
        <v/>
      </c>
      <c r="HQ101" s="109" t="str">
        <f t="shared" si="157"/>
        <v/>
      </c>
      <c r="HR101" s="109" t="str">
        <f t="shared" si="76"/>
        <v/>
      </c>
      <c r="HS101" s="110" t="str">
        <f t="shared" si="158"/>
        <v/>
      </c>
      <c r="HT101" s="51"/>
      <c r="HU101" s="108" t="str">
        <f t="shared" si="77"/>
        <v/>
      </c>
      <c r="HV101" s="109" t="str">
        <f t="shared" si="159"/>
        <v/>
      </c>
      <c r="HW101" s="109" t="str">
        <f t="shared" si="78"/>
        <v/>
      </c>
      <c r="HX101" s="110" t="str">
        <f t="shared" si="195"/>
        <v/>
      </c>
      <c r="HY101" s="51"/>
      <c r="HZ101" s="108" t="str">
        <f t="shared" si="160"/>
        <v/>
      </c>
      <c r="IA101" s="109" t="str">
        <f t="shared" si="161"/>
        <v/>
      </c>
      <c r="IB101" s="109" t="str">
        <f t="shared" si="79"/>
        <v/>
      </c>
      <c r="IC101" s="110" t="str">
        <f t="shared" si="162"/>
        <v/>
      </c>
      <c r="ID101" s="51"/>
      <c r="IE101" s="108" t="str">
        <f t="shared" si="80"/>
        <v/>
      </c>
      <c r="IF101" s="109" t="str">
        <f t="shared" si="163"/>
        <v/>
      </c>
      <c r="IG101" s="109" t="str">
        <f t="shared" si="81"/>
        <v/>
      </c>
      <c r="IH101" s="110" t="str">
        <f t="shared" si="196"/>
        <v/>
      </c>
      <c r="II101" s="51"/>
      <c r="IJ101" s="108" t="str">
        <f t="shared" si="164"/>
        <v/>
      </c>
      <c r="IK101" s="109" t="str">
        <f t="shared" si="165"/>
        <v/>
      </c>
      <c r="IL101" s="109" t="str">
        <f t="shared" si="82"/>
        <v/>
      </c>
      <c r="IM101" s="110" t="str">
        <f t="shared" si="166"/>
        <v/>
      </c>
      <c r="IN101" s="51"/>
      <c r="IO101" s="108" t="str">
        <f t="shared" si="83"/>
        <v/>
      </c>
      <c r="IP101" s="109" t="str">
        <f t="shared" si="167"/>
        <v/>
      </c>
      <c r="IQ101" s="109" t="str">
        <f t="shared" si="84"/>
        <v/>
      </c>
      <c r="IR101" s="110" t="str">
        <f t="shared" si="197"/>
        <v/>
      </c>
      <c r="IS101" s="51"/>
      <c r="IT101" s="108" t="str">
        <f t="shared" si="168"/>
        <v/>
      </c>
      <c r="IU101" s="109" t="str">
        <f t="shared" si="169"/>
        <v/>
      </c>
      <c r="IV101" s="109" t="str">
        <f t="shared" si="85"/>
        <v/>
      </c>
      <c r="IW101" s="110" t="str">
        <f t="shared" si="170"/>
        <v/>
      </c>
      <c r="IX101" s="51"/>
      <c r="IY101" s="108" t="str">
        <f t="shared" si="86"/>
        <v/>
      </c>
      <c r="IZ101" s="109" t="str">
        <f t="shared" si="171"/>
        <v/>
      </c>
      <c r="JA101" s="109" t="str">
        <f t="shared" si="87"/>
        <v/>
      </c>
      <c r="JB101" s="110" t="str">
        <f t="shared" si="198"/>
        <v/>
      </c>
      <c r="JC101" s="51"/>
      <c r="JD101" s="108" t="str">
        <f t="shared" si="172"/>
        <v/>
      </c>
      <c r="JE101" s="109" t="str">
        <f t="shared" si="173"/>
        <v/>
      </c>
      <c r="JF101" s="109" t="str">
        <f t="shared" si="88"/>
        <v/>
      </c>
      <c r="JG101" s="110" t="str">
        <f t="shared" si="174"/>
        <v/>
      </c>
      <c r="JH101" s="51"/>
      <c r="JI101" s="108" t="str">
        <f t="shared" si="89"/>
        <v/>
      </c>
      <c r="JJ101" s="109" t="str">
        <f t="shared" si="175"/>
        <v/>
      </c>
      <c r="JK101" s="109" t="str">
        <f t="shared" si="90"/>
        <v/>
      </c>
      <c r="JL101" s="110" t="str">
        <f t="shared" si="199"/>
        <v/>
      </c>
      <c r="JM101" s="51"/>
      <c r="JN101" s="108" t="str">
        <f t="shared" si="176"/>
        <v/>
      </c>
      <c r="JO101" s="109" t="str">
        <f t="shared" si="177"/>
        <v/>
      </c>
      <c r="JP101" s="109" t="str">
        <f t="shared" si="91"/>
        <v/>
      </c>
      <c r="JQ101" s="110" t="str">
        <f t="shared" si="178"/>
        <v/>
      </c>
      <c r="JR101" s="51"/>
      <c r="JS101" s="108" t="str">
        <f t="shared" si="92"/>
        <v/>
      </c>
      <c r="JT101" s="109" t="str">
        <f t="shared" si="179"/>
        <v/>
      </c>
      <c r="JU101" s="109" t="str">
        <f t="shared" si="93"/>
        <v/>
      </c>
      <c r="JV101" s="110" t="str">
        <f t="shared" si="200"/>
        <v/>
      </c>
      <c r="JW101" s="51"/>
      <c r="JX101" s="108" t="str">
        <f t="shared" si="180"/>
        <v/>
      </c>
      <c r="JY101" s="109" t="str">
        <f t="shared" si="181"/>
        <v/>
      </c>
      <c r="JZ101" s="109" t="str">
        <f t="shared" si="94"/>
        <v/>
      </c>
      <c r="KA101" s="110" t="str">
        <f t="shared" si="95"/>
        <v/>
      </c>
    </row>
    <row r="102" spans="1:287" ht="12" customHeight="1">
      <c r="A102" s="105">
        <f t="array" ref="A102">MAX(IF($J$80:J101&gt;0,$C$80:C101,0))</f>
        <v>43536</v>
      </c>
      <c r="B102" s="81" t="str">
        <f t="shared" si="4"/>
        <v/>
      </c>
      <c r="C102" s="82">
        <f t="shared" si="182"/>
        <v>0</v>
      </c>
      <c r="D102" s="83" t="str">
        <f t="shared" si="5"/>
        <v/>
      </c>
      <c r="E102" s="83" t="str">
        <f t="shared" si="96"/>
        <v/>
      </c>
      <c r="F102" s="83" t="str">
        <f t="shared" si="6"/>
        <v/>
      </c>
      <c r="G102" s="83" t="str">
        <f t="shared" si="7"/>
        <v/>
      </c>
      <c r="H102" s="83" t="str">
        <f t="shared" si="8"/>
        <v/>
      </c>
      <c r="I102" s="105">
        <f t="array" ref="I102">MAX(IF($R$80:R101&gt;0,$L$80:L101,0))</f>
        <v>0</v>
      </c>
      <c r="J102" s="106"/>
      <c r="K102" s="69" t="str">
        <f t="shared" si="9"/>
        <v/>
      </c>
      <c r="L102" s="82">
        <f t="shared" si="183"/>
        <v>0</v>
      </c>
      <c r="M102" s="83" t="str">
        <f t="shared" si="97"/>
        <v/>
      </c>
      <c r="N102" s="83" t="str">
        <f t="shared" si="10"/>
        <v/>
      </c>
      <c r="O102" s="83" t="str">
        <f t="shared" si="11"/>
        <v/>
      </c>
      <c r="P102" s="83" t="str">
        <f t="shared" si="12"/>
        <v/>
      </c>
      <c r="Q102" s="83" t="str">
        <f t="shared" si="13"/>
        <v/>
      </c>
      <c r="R102" s="106"/>
      <c r="S102" s="66"/>
      <c r="U102" s="85" t="e">
        <f t="shared" si="0"/>
        <v>#NUM!</v>
      </c>
      <c r="V102" s="86" t="e">
        <f t="shared" si="98"/>
        <v>#NUM!</v>
      </c>
      <c r="W102" s="87" t="e">
        <f t="shared" si="14"/>
        <v>#NUM!</v>
      </c>
      <c r="X102" s="87" t="e">
        <f t="shared" si="15"/>
        <v>#NUM!</v>
      </c>
      <c r="Y102" s="87" t="e">
        <f t="shared" si="16"/>
        <v>#NUM!</v>
      </c>
      <c r="Z102" s="88" t="e">
        <f t="shared" si="1"/>
        <v>#NUM!</v>
      </c>
      <c r="AB102" s="89">
        <f t="shared" si="99"/>
        <v>0</v>
      </c>
      <c r="AC102" s="87">
        <f t="shared" si="100"/>
        <v>0</v>
      </c>
      <c r="AD102" s="87" t="str">
        <f t="shared" si="17"/>
        <v/>
      </c>
      <c r="AE102" s="87" t="str">
        <f t="shared" si="18"/>
        <v/>
      </c>
      <c r="AF102" s="86">
        <f t="shared" si="101"/>
        <v>0</v>
      </c>
      <c r="AG102" s="87">
        <f t="shared" si="2"/>
        <v>0</v>
      </c>
      <c r="AH102" s="87">
        <f t="shared" si="102"/>
        <v>0</v>
      </c>
      <c r="AI102" s="90"/>
      <c r="AJ102" s="87" t="e">
        <f t="shared" si="19"/>
        <v>#NUM!</v>
      </c>
      <c r="AK102" s="87" t="e">
        <f t="shared" si="103"/>
        <v>#NUM!</v>
      </c>
      <c r="AL102" s="87" t="e">
        <f t="shared" si="104"/>
        <v>#NUM!</v>
      </c>
      <c r="AM102" s="87" t="e">
        <f t="shared" si="105"/>
        <v>#NUM!</v>
      </c>
      <c r="AN102" s="86">
        <f t="shared" si="20"/>
        <v>0</v>
      </c>
      <c r="AO102" s="87">
        <f t="shared" si="21"/>
        <v>0</v>
      </c>
      <c r="AP102" s="88">
        <f t="shared" si="22"/>
        <v>0</v>
      </c>
      <c r="AR102" s="89">
        <f t="shared" si="23"/>
        <v>0</v>
      </c>
      <c r="AS102" s="87">
        <f t="shared" si="24"/>
        <v>0</v>
      </c>
      <c r="AT102" s="87" t="str">
        <f t="shared" si="25"/>
        <v/>
      </c>
      <c r="AU102" s="87" t="str">
        <f t="shared" si="26"/>
        <v/>
      </c>
      <c r="AV102" s="86">
        <f t="shared" si="106"/>
        <v>0</v>
      </c>
      <c r="AW102" s="87">
        <f t="shared" si="107"/>
        <v>0</v>
      </c>
      <c r="AX102" s="87">
        <f t="shared" si="108"/>
        <v>0</v>
      </c>
      <c r="AY102" s="93"/>
      <c r="AZ102" s="87">
        <f t="shared" si="201"/>
        <v>0</v>
      </c>
      <c r="BA102" s="87">
        <f t="shared" si="109"/>
        <v>0</v>
      </c>
      <c r="BB102" s="87">
        <f t="shared" si="110"/>
        <v>0</v>
      </c>
      <c r="BC102" s="87">
        <f t="shared" si="184"/>
        <v>0</v>
      </c>
      <c r="BD102" s="86" t="e">
        <f t="shared" si="27"/>
        <v>#NUM!</v>
      </c>
      <c r="BE102" s="87" t="e">
        <f t="shared" si="3"/>
        <v>#NUM!</v>
      </c>
      <c r="BF102" s="88">
        <f t="shared" si="111"/>
        <v>0</v>
      </c>
      <c r="BH102" s="87" t="e">
        <f t="shared" si="28"/>
        <v>#NUM!</v>
      </c>
      <c r="BK102" s="95">
        <v>39923</v>
      </c>
      <c r="BL102" s="96">
        <v>23</v>
      </c>
      <c r="BT102" s="51"/>
      <c r="BU102" s="51"/>
      <c r="BV102" s="30"/>
      <c r="BW102">
        <v>5</v>
      </c>
      <c r="BX102">
        <v>10</v>
      </c>
      <c r="BY102">
        <v>14</v>
      </c>
      <c r="BZ102">
        <v>23</v>
      </c>
      <c r="CA102">
        <v>35</v>
      </c>
      <c r="CB102">
        <v>47</v>
      </c>
      <c r="CC102">
        <v>59</v>
      </c>
      <c r="CD102">
        <v>60</v>
      </c>
      <c r="CF102" s="107"/>
      <c r="CG102" s="107"/>
      <c r="CS102" s="108" t="str">
        <f t="shared" si="29"/>
        <v/>
      </c>
      <c r="CT102" s="109" t="str">
        <f t="shared" si="30"/>
        <v/>
      </c>
      <c r="CU102" s="109" t="str">
        <f t="shared" si="31"/>
        <v/>
      </c>
      <c r="CV102" s="110" t="str">
        <f t="shared" si="32"/>
        <v/>
      </c>
      <c r="CX102" s="108" t="str">
        <f t="shared" si="33"/>
        <v/>
      </c>
      <c r="CY102" s="109" t="str">
        <f t="shared" si="113"/>
        <v/>
      </c>
      <c r="CZ102" s="109" t="str">
        <f t="shared" si="34"/>
        <v/>
      </c>
      <c r="DA102" s="110" t="str">
        <f t="shared" si="35"/>
        <v/>
      </c>
      <c r="DC102" s="108" t="str">
        <f t="shared" si="114"/>
        <v/>
      </c>
      <c r="DD102" s="109" t="str">
        <f t="shared" si="115"/>
        <v/>
      </c>
      <c r="DE102" s="109" t="str">
        <f t="shared" si="36"/>
        <v/>
      </c>
      <c r="DF102" s="110" t="str">
        <f t="shared" si="37"/>
        <v/>
      </c>
      <c r="DH102" s="108" t="str">
        <f t="shared" si="38"/>
        <v/>
      </c>
      <c r="DI102" s="109" t="str">
        <f t="shared" si="39"/>
        <v/>
      </c>
      <c r="DJ102" s="109" t="str">
        <f t="shared" si="40"/>
        <v/>
      </c>
      <c r="DK102" s="110" t="str">
        <f t="shared" si="41"/>
        <v/>
      </c>
      <c r="DM102" s="108" t="str">
        <f t="shared" si="116"/>
        <v/>
      </c>
      <c r="DN102" s="109" t="str">
        <f t="shared" si="117"/>
        <v/>
      </c>
      <c r="DO102" s="109" t="str">
        <f t="shared" si="42"/>
        <v/>
      </c>
      <c r="DP102" s="110" t="str">
        <f t="shared" si="185"/>
        <v/>
      </c>
      <c r="DR102" s="108" t="str">
        <f t="shared" si="43"/>
        <v/>
      </c>
      <c r="DS102" s="109" t="str">
        <f t="shared" si="118"/>
        <v/>
      </c>
      <c r="DT102" s="109" t="str">
        <f t="shared" si="44"/>
        <v/>
      </c>
      <c r="DU102" s="110" t="str">
        <f t="shared" si="119"/>
        <v/>
      </c>
      <c r="DW102" s="108" t="str">
        <f t="shared" si="120"/>
        <v/>
      </c>
      <c r="DX102" s="109" t="str">
        <f t="shared" si="121"/>
        <v/>
      </c>
      <c r="DY102" s="109" t="str">
        <f t="shared" si="45"/>
        <v/>
      </c>
      <c r="DZ102" s="110" t="str">
        <f t="shared" si="186"/>
        <v/>
      </c>
      <c r="EB102" s="108" t="str">
        <f t="shared" si="46"/>
        <v/>
      </c>
      <c r="EC102" s="109" t="str">
        <f t="shared" si="122"/>
        <v/>
      </c>
      <c r="ED102" s="109" t="str">
        <f t="shared" si="47"/>
        <v/>
      </c>
      <c r="EE102" s="110" t="str">
        <f t="shared" si="123"/>
        <v/>
      </c>
      <c r="EG102" s="108" t="str">
        <f t="shared" si="124"/>
        <v/>
      </c>
      <c r="EH102" s="109" t="str">
        <f t="shared" si="125"/>
        <v/>
      </c>
      <c r="EI102" s="109" t="str">
        <f t="shared" si="48"/>
        <v/>
      </c>
      <c r="EJ102" s="110" t="str">
        <f t="shared" si="187"/>
        <v/>
      </c>
      <c r="EL102" s="108" t="str">
        <f t="shared" si="49"/>
        <v/>
      </c>
      <c r="EM102" s="109" t="str">
        <f t="shared" si="126"/>
        <v/>
      </c>
      <c r="EN102" s="109" t="str">
        <f t="shared" si="50"/>
        <v/>
      </c>
      <c r="EO102" s="110" t="str">
        <f t="shared" si="127"/>
        <v/>
      </c>
      <c r="EQ102" s="108" t="str">
        <f t="shared" si="128"/>
        <v/>
      </c>
      <c r="ER102" s="109" t="str">
        <f t="shared" si="129"/>
        <v/>
      </c>
      <c r="ES102" s="109" t="str">
        <f t="shared" si="51"/>
        <v/>
      </c>
      <c r="ET102" s="110" t="str">
        <f t="shared" si="188"/>
        <v/>
      </c>
      <c r="EV102" s="108" t="str">
        <f t="shared" si="52"/>
        <v/>
      </c>
      <c r="EW102" s="109" t="str">
        <f t="shared" si="130"/>
        <v/>
      </c>
      <c r="EX102" s="109" t="str">
        <f t="shared" si="53"/>
        <v/>
      </c>
      <c r="EY102" s="110" t="str">
        <f t="shared" si="131"/>
        <v/>
      </c>
      <c r="FA102" s="108" t="str">
        <f t="shared" si="132"/>
        <v/>
      </c>
      <c r="FB102" s="109" t="str">
        <f t="shared" si="133"/>
        <v/>
      </c>
      <c r="FC102" s="109" t="str">
        <f t="shared" si="54"/>
        <v/>
      </c>
      <c r="FD102" s="110" t="str">
        <f t="shared" si="189"/>
        <v/>
      </c>
      <c r="FF102" s="108" t="str">
        <f t="shared" si="55"/>
        <v/>
      </c>
      <c r="FG102" s="109" t="str">
        <f t="shared" si="134"/>
        <v/>
      </c>
      <c r="FH102" s="109" t="str">
        <f t="shared" si="56"/>
        <v/>
      </c>
      <c r="FI102" s="110" t="str">
        <f t="shared" si="135"/>
        <v/>
      </c>
      <c r="FK102" s="108" t="str">
        <f t="shared" si="136"/>
        <v/>
      </c>
      <c r="FL102" s="109" t="str">
        <f t="shared" si="137"/>
        <v/>
      </c>
      <c r="FM102" s="109" t="str">
        <f t="shared" si="57"/>
        <v/>
      </c>
      <c r="FN102" s="110" t="str">
        <f t="shared" si="190"/>
        <v/>
      </c>
      <c r="FP102" s="108" t="str">
        <f t="shared" si="58"/>
        <v/>
      </c>
      <c r="FQ102" s="109" t="str">
        <f t="shared" si="138"/>
        <v/>
      </c>
      <c r="FR102" s="109" t="str">
        <f t="shared" si="59"/>
        <v/>
      </c>
      <c r="FS102" s="110" t="str">
        <f t="shared" si="139"/>
        <v/>
      </c>
      <c r="FU102" s="108" t="str">
        <f t="shared" si="140"/>
        <v/>
      </c>
      <c r="FV102" s="109" t="str">
        <f t="shared" si="141"/>
        <v/>
      </c>
      <c r="FW102" s="109" t="str">
        <f t="shared" si="60"/>
        <v/>
      </c>
      <c r="FX102" s="110" t="str">
        <f t="shared" si="191"/>
        <v/>
      </c>
      <c r="FZ102" s="108" t="str">
        <f t="shared" si="61"/>
        <v/>
      </c>
      <c r="GA102" s="109" t="str">
        <f t="shared" si="142"/>
        <v/>
      </c>
      <c r="GB102" s="109" t="str">
        <f t="shared" si="62"/>
        <v/>
      </c>
      <c r="GC102" s="110" t="str">
        <f t="shared" si="143"/>
        <v/>
      </c>
      <c r="GE102" s="108" t="str">
        <f t="shared" si="144"/>
        <v/>
      </c>
      <c r="GF102" s="109" t="str">
        <f t="shared" si="145"/>
        <v/>
      </c>
      <c r="GG102" s="109" t="str">
        <f t="shared" si="146"/>
        <v/>
      </c>
      <c r="GH102" s="110" t="str">
        <f t="shared" si="192"/>
        <v/>
      </c>
      <c r="GL102" s="108" t="str">
        <f t="shared" si="63"/>
        <v/>
      </c>
      <c r="GM102" s="109" t="str">
        <f t="shared" si="64"/>
        <v/>
      </c>
      <c r="GN102" s="109" t="str">
        <f t="shared" si="65"/>
        <v/>
      </c>
      <c r="GO102" s="110" t="str">
        <f t="shared" si="66"/>
        <v/>
      </c>
      <c r="GP102" s="51"/>
      <c r="GQ102" s="108" t="str">
        <f t="shared" si="67"/>
        <v/>
      </c>
      <c r="GR102" s="109" t="str">
        <f t="shared" si="147"/>
        <v/>
      </c>
      <c r="GS102" s="109" t="str">
        <f t="shared" si="68"/>
        <v/>
      </c>
      <c r="GT102" s="110" t="str">
        <f t="shared" si="69"/>
        <v/>
      </c>
      <c r="GU102" s="51"/>
      <c r="GV102" s="108" t="str">
        <f t="shared" si="148"/>
        <v/>
      </c>
      <c r="GW102" s="109" t="str">
        <f t="shared" si="149"/>
        <v/>
      </c>
      <c r="GX102" s="109" t="str">
        <f t="shared" si="70"/>
        <v/>
      </c>
      <c r="GY102" s="110" t="str">
        <f t="shared" si="150"/>
        <v/>
      </c>
      <c r="GZ102" s="51"/>
      <c r="HA102" s="108" t="str">
        <f t="shared" si="71"/>
        <v/>
      </c>
      <c r="HB102" s="109" t="str">
        <f t="shared" si="151"/>
        <v/>
      </c>
      <c r="HC102" s="109" t="str">
        <f t="shared" si="72"/>
        <v/>
      </c>
      <c r="HD102" s="110" t="str">
        <f t="shared" si="193"/>
        <v/>
      </c>
      <c r="HE102" s="51"/>
      <c r="HF102" s="108" t="str">
        <f t="shared" si="152"/>
        <v/>
      </c>
      <c r="HG102" s="109" t="str">
        <f t="shared" si="153"/>
        <v/>
      </c>
      <c r="HH102" s="109" t="str">
        <f t="shared" si="73"/>
        <v/>
      </c>
      <c r="HI102" s="110" t="str">
        <f t="shared" si="154"/>
        <v/>
      </c>
      <c r="HJ102" s="51"/>
      <c r="HK102" s="108" t="str">
        <f t="shared" si="74"/>
        <v/>
      </c>
      <c r="HL102" s="109" t="str">
        <f t="shared" si="155"/>
        <v/>
      </c>
      <c r="HM102" s="109" t="str">
        <f t="shared" si="75"/>
        <v/>
      </c>
      <c r="HN102" s="110" t="str">
        <f t="shared" si="194"/>
        <v/>
      </c>
      <c r="HO102" s="51"/>
      <c r="HP102" s="108" t="str">
        <f t="shared" si="156"/>
        <v/>
      </c>
      <c r="HQ102" s="109" t="str">
        <f t="shared" si="157"/>
        <v/>
      </c>
      <c r="HR102" s="109" t="str">
        <f t="shared" si="76"/>
        <v/>
      </c>
      <c r="HS102" s="110" t="str">
        <f t="shared" si="158"/>
        <v/>
      </c>
      <c r="HT102" s="51"/>
      <c r="HU102" s="108" t="str">
        <f t="shared" si="77"/>
        <v/>
      </c>
      <c r="HV102" s="109" t="str">
        <f t="shared" si="159"/>
        <v/>
      </c>
      <c r="HW102" s="109" t="str">
        <f t="shared" si="78"/>
        <v/>
      </c>
      <c r="HX102" s="110" t="str">
        <f t="shared" si="195"/>
        <v/>
      </c>
      <c r="HY102" s="51"/>
      <c r="HZ102" s="108" t="str">
        <f t="shared" si="160"/>
        <v/>
      </c>
      <c r="IA102" s="109" t="str">
        <f t="shared" si="161"/>
        <v/>
      </c>
      <c r="IB102" s="109" t="str">
        <f t="shared" si="79"/>
        <v/>
      </c>
      <c r="IC102" s="110" t="str">
        <f t="shared" si="162"/>
        <v/>
      </c>
      <c r="ID102" s="51"/>
      <c r="IE102" s="108" t="str">
        <f t="shared" si="80"/>
        <v/>
      </c>
      <c r="IF102" s="109" t="str">
        <f t="shared" si="163"/>
        <v/>
      </c>
      <c r="IG102" s="109" t="str">
        <f t="shared" si="81"/>
        <v/>
      </c>
      <c r="IH102" s="110" t="str">
        <f t="shared" si="196"/>
        <v/>
      </c>
      <c r="II102" s="51"/>
      <c r="IJ102" s="108" t="str">
        <f t="shared" si="164"/>
        <v/>
      </c>
      <c r="IK102" s="109" t="str">
        <f t="shared" si="165"/>
        <v/>
      </c>
      <c r="IL102" s="109" t="str">
        <f t="shared" si="82"/>
        <v/>
      </c>
      <c r="IM102" s="110" t="str">
        <f t="shared" si="166"/>
        <v/>
      </c>
      <c r="IN102" s="51"/>
      <c r="IO102" s="108" t="str">
        <f t="shared" si="83"/>
        <v/>
      </c>
      <c r="IP102" s="109" t="str">
        <f t="shared" si="167"/>
        <v/>
      </c>
      <c r="IQ102" s="109" t="str">
        <f t="shared" si="84"/>
        <v/>
      </c>
      <c r="IR102" s="110" t="str">
        <f t="shared" si="197"/>
        <v/>
      </c>
      <c r="IS102" s="51"/>
      <c r="IT102" s="108" t="str">
        <f t="shared" si="168"/>
        <v/>
      </c>
      <c r="IU102" s="109" t="str">
        <f t="shared" si="169"/>
        <v/>
      </c>
      <c r="IV102" s="109" t="str">
        <f t="shared" si="85"/>
        <v/>
      </c>
      <c r="IW102" s="110" t="str">
        <f t="shared" si="170"/>
        <v/>
      </c>
      <c r="IX102" s="51"/>
      <c r="IY102" s="108" t="str">
        <f t="shared" si="86"/>
        <v/>
      </c>
      <c r="IZ102" s="109" t="str">
        <f t="shared" si="171"/>
        <v/>
      </c>
      <c r="JA102" s="109" t="str">
        <f t="shared" si="87"/>
        <v/>
      </c>
      <c r="JB102" s="110" t="str">
        <f t="shared" si="198"/>
        <v/>
      </c>
      <c r="JC102" s="51"/>
      <c r="JD102" s="108" t="str">
        <f t="shared" si="172"/>
        <v/>
      </c>
      <c r="JE102" s="109" t="str">
        <f t="shared" si="173"/>
        <v/>
      </c>
      <c r="JF102" s="109" t="str">
        <f t="shared" si="88"/>
        <v/>
      </c>
      <c r="JG102" s="110" t="str">
        <f t="shared" si="174"/>
        <v/>
      </c>
      <c r="JH102" s="51"/>
      <c r="JI102" s="108" t="str">
        <f t="shared" si="89"/>
        <v/>
      </c>
      <c r="JJ102" s="109" t="str">
        <f t="shared" si="175"/>
        <v/>
      </c>
      <c r="JK102" s="109" t="str">
        <f t="shared" si="90"/>
        <v/>
      </c>
      <c r="JL102" s="110" t="str">
        <f t="shared" si="199"/>
        <v/>
      </c>
      <c r="JM102" s="51"/>
      <c r="JN102" s="108" t="str">
        <f t="shared" si="176"/>
        <v/>
      </c>
      <c r="JO102" s="109" t="str">
        <f t="shared" si="177"/>
        <v/>
      </c>
      <c r="JP102" s="109" t="str">
        <f t="shared" si="91"/>
        <v/>
      </c>
      <c r="JQ102" s="110" t="str">
        <f t="shared" si="178"/>
        <v/>
      </c>
      <c r="JR102" s="51"/>
      <c r="JS102" s="108" t="str">
        <f t="shared" si="92"/>
        <v/>
      </c>
      <c r="JT102" s="109" t="str">
        <f t="shared" si="179"/>
        <v/>
      </c>
      <c r="JU102" s="109" t="str">
        <f t="shared" si="93"/>
        <v/>
      </c>
      <c r="JV102" s="110" t="str">
        <f t="shared" si="200"/>
        <v/>
      </c>
      <c r="JW102" s="51"/>
      <c r="JX102" s="108" t="str">
        <f t="shared" si="180"/>
        <v/>
      </c>
      <c r="JY102" s="109" t="str">
        <f t="shared" si="181"/>
        <v/>
      </c>
      <c r="JZ102" s="109" t="str">
        <f t="shared" si="94"/>
        <v/>
      </c>
      <c r="KA102" s="110" t="str">
        <f t="shared" si="95"/>
        <v/>
      </c>
    </row>
    <row r="103" spans="1:287" ht="12" customHeight="1">
      <c r="A103" s="105">
        <f t="array" ref="A103">MAX(IF($J$80:J102&gt;0,$C$80:C102,0))</f>
        <v>43536</v>
      </c>
      <c r="B103" s="81" t="str">
        <f t="shared" si="4"/>
        <v/>
      </c>
      <c r="C103" s="82">
        <f t="shared" si="182"/>
        <v>0</v>
      </c>
      <c r="D103" s="83" t="str">
        <f t="shared" si="5"/>
        <v/>
      </c>
      <c r="E103" s="83" t="str">
        <f t="shared" si="96"/>
        <v/>
      </c>
      <c r="F103" s="83" t="str">
        <f t="shared" si="6"/>
        <v/>
      </c>
      <c r="G103" s="83" t="str">
        <f t="shared" si="7"/>
        <v/>
      </c>
      <c r="H103" s="83" t="str">
        <f t="shared" si="8"/>
        <v/>
      </c>
      <c r="I103" s="105">
        <f t="array" ref="I103">MAX(IF($R$80:R102&gt;0,$L$80:L102,0))</f>
        <v>0</v>
      </c>
      <c r="J103" s="106"/>
      <c r="K103" s="69" t="str">
        <f t="shared" si="9"/>
        <v/>
      </c>
      <c r="L103" s="82">
        <f t="shared" si="183"/>
        <v>0</v>
      </c>
      <c r="M103" s="83" t="str">
        <f t="shared" si="97"/>
        <v/>
      </c>
      <c r="N103" s="83" t="str">
        <f t="shared" si="10"/>
        <v/>
      </c>
      <c r="O103" s="83" t="str">
        <f t="shared" si="11"/>
        <v/>
      </c>
      <c r="P103" s="83" t="str">
        <f t="shared" si="12"/>
        <v/>
      </c>
      <c r="Q103" s="83" t="str">
        <f t="shared" si="13"/>
        <v/>
      </c>
      <c r="R103" s="106"/>
      <c r="S103" s="66"/>
      <c r="U103" s="85" t="e">
        <f t="shared" si="0"/>
        <v>#NUM!</v>
      </c>
      <c r="V103" s="86" t="e">
        <f t="shared" si="98"/>
        <v>#NUM!</v>
      </c>
      <c r="W103" s="87" t="e">
        <f t="shared" si="14"/>
        <v>#NUM!</v>
      </c>
      <c r="X103" s="87" t="e">
        <f t="shared" si="15"/>
        <v>#NUM!</v>
      </c>
      <c r="Y103" s="87" t="e">
        <f t="shared" si="16"/>
        <v>#NUM!</v>
      </c>
      <c r="Z103" s="88" t="e">
        <f t="shared" si="1"/>
        <v>#NUM!</v>
      </c>
      <c r="AB103" s="89">
        <f t="shared" si="99"/>
        <v>0</v>
      </c>
      <c r="AC103" s="87">
        <f t="shared" si="100"/>
        <v>0</v>
      </c>
      <c r="AD103" s="87" t="str">
        <f t="shared" si="17"/>
        <v/>
      </c>
      <c r="AE103" s="87" t="str">
        <f t="shared" si="18"/>
        <v/>
      </c>
      <c r="AF103" s="86">
        <f t="shared" si="101"/>
        <v>0</v>
      </c>
      <c r="AG103" s="87">
        <f t="shared" si="2"/>
        <v>0</v>
      </c>
      <c r="AH103" s="87">
        <f t="shared" si="102"/>
        <v>0</v>
      </c>
      <c r="AI103" s="90"/>
      <c r="AJ103" s="87" t="e">
        <f t="shared" si="19"/>
        <v>#NUM!</v>
      </c>
      <c r="AK103" s="87" t="e">
        <f t="shared" si="103"/>
        <v>#NUM!</v>
      </c>
      <c r="AL103" s="87" t="e">
        <f t="shared" si="104"/>
        <v>#NUM!</v>
      </c>
      <c r="AM103" s="87" t="e">
        <f t="shared" si="105"/>
        <v>#NUM!</v>
      </c>
      <c r="AN103" s="86">
        <f t="shared" si="20"/>
        <v>0</v>
      </c>
      <c r="AO103" s="87">
        <f t="shared" si="21"/>
        <v>0</v>
      </c>
      <c r="AP103" s="88">
        <f t="shared" si="22"/>
        <v>0</v>
      </c>
      <c r="AR103" s="89">
        <f t="shared" si="23"/>
        <v>0</v>
      </c>
      <c r="AS103" s="87">
        <f t="shared" si="24"/>
        <v>0</v>
      </c>
      <c r="AT103" s="87" t="str">
        <f t="shared" si="25"/>
        <v/>
      </c>
      <c r="AU103" s="87" t="str">
        <f t="shared" si="26"/>
        <v/>
      </c>
      <c r="AV103" s="86">
        <f t="shared" si="106"/>
        <v>0</v>
      </c>
      <c r="AW103" s="87">
        <f t="shared" si="107"/>
        <v>0</v>
      </c>
      <c r="AX103" s="87">
        <f t="shared" si="108"/>
        <v>0</v>
      </c>
      <c r="AY103" s="93"/>
      <c r="AZ103" s="87">
        <f t="shared" si="201"/>
        <v>0</v>
      </c>
      <c r="BA103" s="87">
        <f t="shared" si="109"/>
        <v>0</v>
      </c>
      <c r="BB103" s="87">
        <f t="shared" si="110"/>
        <v>0</v>
      </c>
      <c r="BC103" s="87">
        <f t="shared" si="184"/>
        <v>0</v>
      </c>
      <c r="BD103" s="86" t="e">
        <f t="shared" si="27"/>
        <v>#NUM!</v>
      </c>
      <c r="BE103" s="87" t="e">
        <f t="shared" si="3"/>
        <v>#NUM!</v>
      </c>
      <c r="BF103" s="88">
        <f t="shared" si="111"/>
        <v>0</v>
      </c>
      <c r="BH103" s="87" t="e">
        <f t="shared" si="28"/>
        <v>#NUM!</v>
      </c>
      <c r="BK103" s="95">
        <v>39942</v>
      </c>
      <c r="BL103" s="96">
        <v>24</v>
      </c>
      <c r="BT103" s="51"/>
      <c r="BU103" s="51"/>
      <c r="BV103" s="30"/>
      <c r="BW103" s="107" t="str">
        <f>CONCATENATE(BW101,"&gt;&gt;",BW102)</f>
        <v>1&gt;&gt;5</v>
      </c>
      <c r="BX103" s="107" t="str">
        <f t="shared" ref="BX103:CE103" si="203">CONCATENATE(BX101,"&gt;&gt;",BX102)</f>
        <v>6&gt;&gt;10</v>
      </c>
      <c r="BY103" s="107" t="str">
        <f t="shared" si="203"/>
        <v>11&gt;&gt;14</v>
      </c>
      <c r="BZ103" s="107" t="str">
        <f t="shared" si="203"/>
        <v>15&gt;&gt;23</v>
      </c>
      <c r="CA103" s="107" t="str">
        <f t="shared" si="203"/>
        <v>24&gt;&gt;35</v>
      </c>
      <c r="CB103" s="107" t="str">
        <f t="shared" si="203"/>
        <v>36&gt;&gt;47</v>
      </c>
      <c r="CC103" s="107" t="str">
        <f t="shared" si="203"/>
        <v>48&gt;&gt;59</v>
      </c>
      <c r="CD103" s="107" t="str">
        <f t="shared" si="203"/>
        <v>60&gt;&gt;60</v>
      </c>
      <c r="CE103" s="107" t="str">
        <f t="shared" si="203"/>
        <v>61&gt;&gt;</v>
      </c>
      <c r="CF103" s="107"/>
      <c r="CG103" s="107"/>
      <c r="CS103" s="108" t="str">
        <f t="shared" si="29"/>
        <v/>
      </c>
      <c r="CT103" s="109" t="str">
        <f t="shared" si="30"/>
        <v/>
      </c>
      <c r="CU103" s="109" t="str">
        <f t="shared" si="31"/>
        <v/>
      </c>
      <c r="CV103" s="110" t="str">
        <f t="shared" si="32"/>
        <v/>
      </c>
      <c r="CX103" s="108" t="str">
        <f t="shared" si="33"/>
        <v/>
      </c>
      <c r="CY103" s="109" t="str">
        <f t="shared" si="113"/>
        <v/>
      </c>
      <c r="CZ103" s="109" t="str">
        <f t="shared" si="34"/>
        <v/>
      </c>
      <c r="DA103" s="110" t="str">
        <f t="shared" si="35"/>
        <v/>
      </c>
      <c r="DC103" s="108" t="str">
        <f t="shared" si="114"/>
        <v/>
      </c>
      <c r="DD103" s="109" t="str">
        <f t="shared" si="115"/>
        <v/>
      </c>
      <c r="DE103" s="109" t="str">
        <f t="shared" si="36"/>
        <v/>
      </c>
      <c r="DF103" s="110" t="str">
        <f t="shared" si="37"/>
        <v/>
      </c>
      <c r="DH103" s="108" t="str">
        <f t="shared" si="38"/>
        <v/>
      </c>
      <c r="DI103" s="109" t="str">
        <f t="shared" si="39"/>
        <v/>
      </c>
      <c r="DJ103" s="109" t="str">
        <f t="shared" si="40"/>
        <v/>
      </c>
      <c r="DK103" s="110" t="str">
        <f t="shared" si="41"/>
        <v/>
      </c>
      <c r="DM103" s="108" t="str">
        <f t="shared" si="116"/>
        <v/>
      </c>
      <c r="DN103" s="109" t="str">
        <f t="shared" si="117"/>
        <v/>
      </c>
      <c r="DO103" s="109" t="str">
        <f t="shared" si="42"/>
        <v/>
      </c>
      <c r="DP103" s="110" t="str">
        <f t="shared" si="185"/>
        <v/>
      </c>
      <c r="DR103" s="108" t="str">
        <f t="shared" si="43"/>
        <v/>
      </c>
      <c r="DS103" s="109" t="str">
        <f t="shared" si="118"/>
        <v/>
      </c>
      <c r="DT103" s="109" t="str">
        <f t="shared" si="44"/>
        <v/>
      </c>
      <c r="DU103" s="110" t="str">
        <f t="shared" si="119"/>
        <v/>
      </c>
      <c r="DW103" s="108" t="str">
        <f t="shared" si="120"/>
        <v/>
      </c>
      <c r="DX103" s="109" t="str">
        <f t="shared" si="121"/>
        <v/>
      </c>
      <c r="DY103" s="109" t="str">
        <f t="shared" si="45"/>
        <v/>
      </c>
      <c r="DZ103" s="110" t="str">
        <f t="shared" si="186"/>
        <v/>
      </c>
      <c r="EB103" s="108" t="str">
        <f t="shared" si="46"/>
        <v/>
      </c>
      <c r="EC103" s="109" t="str">
        <f t="shared" si="122"/>
        <v/>
      </c>
      <c r="ED103" s="109" t="str">
        <f t="shared" si="47"/>
        <v/>
      </c>
      <c r="EE103" s="110" t="str">
        <f t="shared" si="123"/>
        <v/>
      </c>
      <c r="EG103" s="108" t="str">
        <f t="shared" si="124"/>
        <v/>
      </c>
      <c r="EH103" s="109" t="str">
        <f t="shared" si="125"/>
        <v/>
      </c>
      <c r="EI103" s="109" t="str">
        <f t="shared" si="48"/>
        <v/>
      </c>
      <c r="EJ103" s="110" t="str">
        <f t="shared" si="187"/>
        <v/>
      </c>
      <c r="EL103" s="108" t="str">
        <f t="shared" si="49"/>
        <v/>
      </c>
      <c r="EM103" s="109" t="str">
        <f t="shared" si="126"/>
        <v/>
      </c>
      <c r="EN103" s="109" t="str">
        <f t="shared" si="50"/>
        <v/>
      </c>
      <c r="EO103" s="110" t="str">
        <f t="shared" si="127"/>
        <v/>
      </c>
      <c r="EQ103" s="108" t="str">
        <f t="shared" si="128"/>
        <v/>
      </c>
      <c r="ER103" s="109" t="str">
        <f t="shared" si="129"/>
        <v/>
      </c>
      <c r="ES103" s="109" t="str">
        <f t="shared" si="51"/>
        <v/>
      </c>
      <c r="ET103" s="110" t="str">
        <f t="shared" si="188"/>
        <v/>
      </c>
      <c r="EV103" s="108" t="str">
        <f t="shared" si="52"/>
        <v/>
      </c>
      <c r="EW103" s="109" t="str">
        <f t="shared" si="130"/>
        <v/>
      </c>
      <c r="EX103" s="109" t="str">
        <f t="shared" si="53"/>
        <v/>
      </c>
      <c r="EY103" s="110" t="str">
        <f t="shared" si="131"/>
        <v/>
      </c>
      <c r="FA103" s="108" t="str">
        <f t="shared" si="132"/>
        <v/>
      </c>
      <c r="FB103" s="109" t="str">
        <f t="shared" si="133"/>
        <v/>
      </c>
      <c r="FC103" s="109" t="str">
        <f t="shared" si="54"/>
        <v/>
      </c>
      <c r="FD103" s="110" t="str">
        <f t="shared" si="189"/>
        <v/>
      </c>
      <c r="FF103" s="108" t="str">
        <f t="shared" si="55"/>
        <v/>
      </c>
      <c r="FG103" s="109" t="str">
        <f t="shared" si="134"/>
        <v/>
      </c>
      <c r="FH103" s="109" t="str">
        <f t="shared" si="56"/>
        <v/>
      </c>
      <c r="FI103" s="110" t="str">
        <f t="shared" si="135"/>
        <v/>
      </c>
      <c r="FK103" s="108" t="str">
        <f t="shared" si="136"/>
        <v/>
      </c>
      <c r="FL103" s="109" t="str">
        <f t="shared" si="137"/>
        <v/>
      </c>
      <c r="FM103" s="109" t="str">
        <f t="shared" si="57"/>
        <v/>
      </c>
      <c r="FN103" s="110" t="str">
        <f t="shared" si="190"/>
        <v/>
      </c>
      <c r="FP103" s="108" t="str">
        <f t="shared" si="58"/>
        <v/>
      </c>
      <c r="FQ103" s="109" t="str">
        <f t="shared" si="138"/>
        <v/>
      </c>
      <c r="FR103" s="109" t="str">
        <f t="shared" si="59"/>
        <v/>
      </c>
      <c r="FS103" s="110" t="str">
        <f t="shared" si="139"/>
        <v/>
      </c>
      <c r="FU103" s="108" t="str">
        <f t="shared" si="140"/>
        <v/>
      </c>
      <c r="FV103" s="109" t="str">
        <f t="shared" si="141"/>
        <v/>
      </c>
      <c r="FW103" s="109" t="str">
        <f t="shared" si="60"/>
        <v/>
      </c>
      <c r="FX103" s="110" t="str">
        <f t="shared" si="191"/>
        <v/>
      </c>
      <c r="FZ103" s="108" t="str">
        <f t="shared" si="61"/>
        <v/>
      </c>
      <c r="GA103" s="109" t="str">
        <f t="shared" si="142"/>
        <v/>
      </c>
      <c r="GB103" s="109" t="str">
        <f t="shared" si="62"/>
        <v/>
      </c>
      <c r="GC103" s="110" t="str">
        <f t="shared" si="143"/>
        <v/>
      </c>
      <c r="GE103" s="108" t="str">
        <f t="shared" si="144"/>
        <v/>
      </c>
      <c r="GF103" s="109" t="str">
        <f t="shared" si="145"/>
        <v/>
      </c>
      <c r="GG103" s="109" t="str">
        <f t="shared" si="146"/>
        <v/>
      </c>
      <c r="GH103" s="110" t="str">
        <f t="shared" si="192"/>
        <v/>
      </c>
      <c r="GL103" s="108" t="str">
        <f t="shared" si="63"/>
        <v/>
      </c>
      <c r="GM103" s="109" t="str">
        <f t="shared" si="64"/>
        <v/>
      </c>
      <c r="GN103" s="109" t="str">
        <f t="shared" si="65"/>
        <v/>
      </c>
      <c r="GO103" s="110" t="str">
        <f t="shared" si="66"/>
        <v/>
      </c>
      <c r="GP103" s="51"/>
      <c r="GQ103" s="108" t="str">
        <f t="shared" si="67"/>
        <v/>
      </c>
      <c r="GR103" s="109" t="str">
        <f t="shared" si="147"/>
        <v/>
      </c>
      <c r="GS103" s="109" t="str">
        <f t="shared" si="68"/>
        <v/>
      </c>
      <c r="GT103" s="110" t="str">
        <f t="shared" si="69"/>
        <v/>
      </c>
      <c r="GU103" s="51"/>
      <c r="GV103" s="108" t="str">
        <f t="shared" si="148"/>
        <v/>
      </c>
      <c r="GW103" s="109" t="str">
        <f t="shared" si="149"/>
        <v/>
      </c>
      <c r="GX103" s="109" t="str">
        <f t="shared" si="70"/>
        <v/>
      </c>
      <c r="GY103" s="110" t="str">
        <f t="shared" si="150"/>
        <v/>
      </c>
      <c r="GZ103" s="51"/>
      <c r="HA103" s="108" t="str">
        <f t="shared" si="71"/>
        <v/>
      </c>
      <c r="HB103" s="109" t="str">
        <f t="shared" si="151"/>
        <v/>
      </c>
      <c r="HC103" s="109" t="str">
        <f t="shared" si="72"/>
        <v/>
      </c>
      <c r="HD103" s="110" t="str">
        <f t="shared" si="193"/>
        <v/>
      </c>
      <c r="HE103" s="51"/>
      <c r="HF103" s="108" t="str">
        <f t="shared" si="152"/>
        <v/>
      </c>
      <c r="HG103" s="109" t="str">
        <f t="shared" si="153"/>
        <v/>
      </c>
      <c r="HH103" s="109" t="str">
        <f t="shared" si="73"/>
        <v/>
      </c>
      <c r="HI103" s="110" t="str">
        <f t="shared" si="154"/>
        <v/>
      </c>
      <c r="HJ103" s="51"/>
      <c r="HK103" s="108" t="str">
        <f t="shared" si="74"/>
        <v/>
      </c>
      <c r="HL103" s="109" t="str">
        <f t="shared" si="155"/>
        <v/>
      </c>
      <c r="HM103" s="109" t="str">
        <f t="shared" si="75"/>
        <v/>
      </c>
      <c r="HN103" s="110" t="str">
        <f t="shared" si="194"/>
        <v/>
      </c>
      <c r="HO103" s="51"/>
      <c r="HP103" s="108" t="str">
        <f t="shared" si="156"/>
        <v/>
      </c>
      <c r="HQ103" s="109" t="str">
        <f t="shared" si="157"/>
        <v/>
      </c>
      <c r="HR103" s="109" t="str">
        <f t="shared" si="76"/>
        <v/>
      </c>
      <c r="HS103" s="110" t="str">
        <f t="shared" si="158"/>
        <v/>
      </c>
      <c r="HT103" s="51"/>
      <c r="HU103" s="108" t="str">
        <f t="shared" si="77"/>
        <v/>
      </c>
      <c r="HV103" s="109" t="str">
        <f t="shared" si="159"/>
        <v/>
      </c>
      <c r="HW103" s="109" t="str">
        <f t="shared" si="78"/>
        <v/>
      </c>
      <c r="HX103" s="110" t="str">
        <f t="shared" si="195"/>
        <v/>
      </c>
      <c r="HY103" s="51"/>
      <c r="HZ103" s="108" t="str">
        <f t="shared" si="160"/>
        <v/>
      </c>
      <c r="IA103" s="109" t="str">
        <f t="shared" si="161"/>
        <v/>
      </c>
      <c r="IB103" s="109" t="str">
        <f t="shared" si="79"/>
        <v/>
      </c>
      <c r="IC103" s="110" t="str">
        <f t="shared" si="162"/>
        <v/>
      </c>
      <c r="ID103" s="51"/>
      <c r="IE103" s="108" t="str">
        <f t="shared" si="80"/>
        <v/>
      </c>
      <c r="IF103" s="109" t="str">
        <f t="shared" si="163"/>
        <v/>
      </c>
      <c r="IG103" s="109" t="str">
        <f t="shared" si="81"/>
        <v/>
      </c>
      <c r="IH103" s="110" t="str">
        <f t="shared" si="196"/>
        <v/>
      </c>
      <c r="II103" s="51"/>
      <c r="IJ103" s="108" t="str">
        <f t="shared" si="164"/>
        <v/>
      </c>
      <c r="IK103" s="109" t="str">
        <f t="shared" si="165"/>
        <v/>
      </c>
      <c r="IL103" s="109" t="str">
        <f t="shared" si="82"/>
        <v/>
      </c>
      <c r="IM103" s="110" t="str">
        <f t="shared" si="166"/>
        <v/>
      </c>
      <c r="IN103" s="51"/>
      <c r="IO103" s="108" t="str">
        <f t="shared" si="83"/>
        <v/>
      </c>
      <c r="IP103" s="109" t="str">
        <f t="shared" si="167"/>
        <v/>
      </c>
      <c r="IQ103" s="109" t="str">
        <f t="shared" si="84"/>
        <v/>
      </c>
      <c r="IR103" s="110" t="str">
        <f t="shared" si="197"/>
        <v/>
      </c>
      <c r="IS103" s="51"/>
      <c r="IT103" s="108" t="str">
        <f t="shared" si="168"/>
        <v/>
      </c>
      <c r="IU103" s="109" t="str">
        <f t="shared" si="169"/>
        <v/>
      </c>
      <c r="IV103" s="109" t="str">
        <f t="shared" si="85"/>
        <v/>
      </c>
      <c r="IW103" s="110" t="str">
        <f t="shared" si="170"/>
        <v/>
      </c>
      <c r="IX103" s="51"/>
      <c r="IY103" s="108" t="str">
        <f t="shared" si="86"/>
        <v/>
      </c>
      <c r="IZ103" s="109" t="str">
        <f t="shared" si="171"/>
        <v/>
      </c>
      <c r="JA103" s="109" t="str">
        <f t="shared" si="87"/>
        <v/>
      </c>
      <c r="JB103" s="110" t="str">
        <f t="shared" si="198"/>
        <v/>
      </c>
      <c r="JC103" s="51"/>
      <c r="JD103" s="108" t="str">
        <f t="shared" si="172"/>
        <v/>
      </c>
      <c r="JE103" s="109" t="str">
        <f t="shared" si="173"/>
        <v/>
      </c>
      <c r="JF103" s="109" t="str">
        <f t="shared" si="88"/>
        <v/>
      </c>
      <c r="JG103" s="110" t="str">
        <f t="shared" si="174"/>
        <v/>
      </c>
      <c r="JH103" s="51"/>
      <c r="JI103" s="108" t="str">
        <f t="shared" si="89"/>
        <v/>
      </c>
      <c r="JJ103" s="109" t="str">
        <f t="shared" si="175"/>
        <v/>
      </c>
      <c r="JK103" s="109" t="str">
        <f t="shared" si="90"/>
        <v/>
      </c>
      <c r="JL103" s="110" t="str">
        <f t="shared" si="199"/>
        <v/>
      </c>
      <c r="JM103" s="51"/>
      <c r="JN103" s="108" t="str">
        <f t="shared" si="176"/>
        <v/>
      </c>
      <c r="JO103" s="109" t="str">
        <f t="shared" si="177"/>
        <v/>
      </c>
      <c r="JP103" s="109" t="str">
        <f t="shared" si="91"/>
        <v/>
      </c>
      <c r="JQ103" s="110" t="str">
        <f t="shared" si="178"/>
        <v/>
      </c>
      <c r="JR103" s="51"/>
      <c r="JS103" s="108" t="str">
        <f t="shared" si="92"/>
        <v/>
      </c>
      <c r="JT103" s="109" t="str">
        <f t="shared" si="179"/>
        <v/>
      </c>
      <c r="JU103" s="109" t="str">
        <f t="shared" si="93"/>
        <v/>
      </c>
      <c r="JV103" s="110" t="str">
        <f t="shared" si="200"/>
        <v/>
      </c>
      <c r="JW103" s="51"/>
      <c r="JX103" s="108" t="str">
        <f t="shared" si="180"/>
        <v/>
      </c>
      <c r="JY103" s="109" t="str">
        <f t="shared" si="181"/>
        <v/>
      </c>
      <c r="JZ103" s="109" t="str">
        <f t="shared" si="94"/>
        <v/>
      </c>
      <c r="KA103" s="110" t="str">
        <f t="shared" si="95"/>
        <v/>
      </c>
    </row>
    <row r="104" spans="1:287" ht="12" customHeight="1">
      <c r="A104" s="105">
        <f t="array" ref="A104">MAX(IF($J$80:J103&gt;0,$C$80:C103,0))</f>
        <v>43536</v>
      </c>
      <c r="B104" s="81" t="str">
        <f t="shared" si="4"/>
        <v/>
      </c>
      <c r="C104" s="82">
        <f t="shared" si="182"/>
        <v>0</v>
      </c>
      <c r="D104" s="83" t="str">
        <f t="shared" si="5"/>
        <v/>
      </c>
      <c r="E104" s="83" t="str">
        <f t="shared" si="96"/>
        <v/>
      </c>
      <c r="F104" s="83" t="str">
        <f t="shared" si="6"/>
        <v/>
      </c>
      <c r="G104" s="83" t="str">
        <f t="shared" si="7"/>
        <v/>
      </c>
      <c r="H104" s="83" t="str">
        <f t="shared" si="8"/>
        <v/>
      </c>
      <c r="I104" s="105">
        <f t="array" ref="I104">MAX(IF($R$80:R103&gt;0,$L$80:L103,0))</f>
        <v>0</v>
      </c>
      <c r="J104" s="106"/>
      <c r="K104" s="69" t="str">
        <f t="shared" si="9"/>
        <v/>
      </c>
      <c r="L104" s="82">
        <f t="shared" si="183"/>
        <v>0</v>
      </c>
      <c r="M104" s="83" t="str">
        <f t="shared" si="97"/>
        <v/>
      </c>
      <c r="N104" s="83" t="str">
        <f t="shared" si="10"/>
        <v/>
      </c>
      <c r="O104" s="83" t="str">
        <f t="shared" si="11"/>
        <v/>
      </c>
      <c r="P104" s="83" t="str">
        <f t="shared" si="12"/>
        <v/>
      </c>
      <c r="Q104" s="83" t="str">
        <f t="shared" si="13"/>
        <v/>
      </c>
      <c r="R104" s="106"/>
      <c r="S104" s="66"/>
      <c r="U104" s="85" t="e">
        <f t="shared" si="0"/>
        <v>#NUM!</v>
      </c>
      <c r="V104" s="86" t="e">
        <f t="shared" si="98"/>
        <v>#NUM!</v>
      </c>
      <c r="W104" s="87" t="e">
        <f t="shared" si="14"/>
        <v>#NUM!</v>
      </c>
      <c r="X104" s="87" t="e">
        <f t="shared" si="15"/>
        <v>#NUM!</v>
      </c>
      <c r="Y104" s="87" t="e">
        <f t="shared" si="16"/>
        <v>#NUM!</v>
      </c>
      <c r="Z104" s="88" t="e">
        <f t="shared" si="1"/>
        <v>#NUM!</v>
      </c>
      <c r="AB104" s="89">
        <f t="shared" si="99"/>
        <v>0</v>
      </c>
      <c r="AC104" s="87">
        <f t="shared" si="100"/>
        <v>0</v>
      </c>
      <c r="AD104" s="87" t="str">
        <f t="shared" si="17"/>
        <v/>
      </c>
      <c r="AE104" s="87" t="str">
        <f t="shared" si="18"/>
        <v/>
      </c>
      <c r="AF104" s="86">
        <f t="shared" si="101"/>
        <v>0</v>
      </c>
      <c r="AG104" s="87">
        <f t="shared" si="2"/>
        <v>0</v>
      </c>
      <c r="AH104" s="87">
        <f t="shared" si="102"/>
        <v>0</v>
      </c>
      <c r="AI104" s="90"/>
      <c r="AJ104" s="87" t="e">
        <f t="shared" si="19"/>
        <v>#NUM!</v>
      </c>
      <c r="AK104" s="87" t="e">
        <f t="shared" si="103"/>
        <v>#NUM!</v>
      </c>
      <c r="AL104" s="87" t="e">
        <f t="shared" si="104"/>
        <v>#NUM!</v>
      </c>
      <c r="AM104" s="87" t="e">
        <f t="shared" si="105"/>
        <v>#NUM!</v>
      </c>
      <c r="AN104" s="86">
        <f t="shared" si="20"/>
        <v>0</v>
      </c>
      <c r="AO104" s="87">
        <f t="shared" si="21"/>
        <v>0</v>
      </c>
      <c r="AP104" s="88">
        <f t="shared" si="22"/>
        <v>0</v>
      </c>
      <c r="AR104" s="89">
        <f t="shared" si="23"/>
        <v>0</v>
      </c>
      <c r="AS104" s="87">
        <f t="shared" si="24"/>
        <v>0</v>
      </c>
      <c r="AT104" s="87" t="str">
        <f t="shared" si="25"/>
        <v/>
      </c>
      <c r="AU104" s="87" t="str">
        <f t="shared" si="26"/>
        <v/>
      </c>
      <c r="AV104" s="86">
        <f t="shared" si="106"/>
        <v>0</v>
      </c>
      <c r="AW104" s="87">
        <f t="shared" si="107"/>
        <v>0</v>
      </c>
      <c r="AX104" s="87">
        <f t="shared" si="108"/>
        <v>0</v>
      </c>
      <c r="AY104" s="93"/>
      <c r="AZ104" s="87">
        <f t="shared" si="201"/>
        <v>0</v>
      </c>
      <c r="BA104" s="87">
        <f t="shared" si="109"/>
        <v>0</v>
      </c>
      <c r="BB104" s="87">
        <f t="shared" si="110"/>
        <v>0</v>
      </c>
      <c r="BC104" s="87">
        <f t="shared" si="184"/>
        <v>0</v>
      </c>
      <c r="BD104" s="86" t="e">
        <f t="shared" si="27"/>
        <v>#NUM!</v>
      </c>
      <c r="BE104" s="87" t="e">
        <f t="shared" si="3"/>
        <v>#NUM!</v>
      </c>
      <c r="BF104" s="88">
        <f t="shared" si="111"/>
        <v>0</v>
      </c>
      <c r="BH104" s="87" t="e">
        <f t="shared" si="28"/>
        <v>#NUM!</v>
      </c>
      <c r="BK104" s="95">
        <v>39945</v>
      </c>
      <c r="BL104" s="96">
        <v>25</v>
      </c>
      <c r="BT104">
        <v>0</v>
      </c>
      <c r="BU104">
        <v>999.99</v>
      </c>
      <c r="BV104" s="30" t="str">
        <f>CONCATENATE(BT104,"-",BU104)</f>
        <v>0-999.99</v>
      </c>
      <c r="BW104" s="30" t="s">
        <v>497</v>
      </c>
      <c r="BX104" s="30" t="s">
        <v>497</v>
      </c>
      <c r="BY104" s="30" t="s">
        <v>497</v>
      </c>
      <c r="BZ104" s="30" t="s">
        <v>497</v>
      </c>
      <c r="CA104" s="30" t="s">
        <v>497</v>
      </c>
      <c r="CB104" s="30" t="s">
        <v>497</v>
      </c>
      <c r="CC104" s="30" t="s">
        <v>497</v>
      </c>
      <c r="CD104" s="30" t="s">
        <v>497</v>
      </c>
      <c r="CE104" s="30" t="s">
        <v>497</v>
      </c>
      <c r="CF104" s="30" t="s">
        <v>497</v>
      </c>
      <c r="CG104" s="30" t="s">
        <v>497</v>
      </c>
      <c r="CS104" s="108" t="str">
        <f t="shared" si="29"/>
        <v/>
      </c>
      <c r="CT104" s="109" t="str">
        <f t="shared" si="30"/>
        <v/>
      </c>
      <c r="CU104" s="109" t="str">
        <f t="shared" si="31"/>
        <v/>
      </c>
      <c r="CV104" s="110" t="str">
        <f t="shared" si="32"/>
        <v/>
      </c>
      <c r="CX104" s="108" t="str">
        <f t="shared" si="33"/>
        <v/>
      </c>
      <c r="CY104" s="109" t="str">
        <f t="shared" si="113"/>
        <v/>
      </c>
      <c r="CZ104" s="109" t="str">
        <f t="shared" si="34"/>
        <v/>
      </c>
      <c r="DA104" s="110" t="str">
        <f t="shared" si="35"/>
        <v/>
      </c>
      <c r="DC104" s="108" t="str">
        <f t="shared" si="114"/>
        <v/>
      </c>
      <c r="DD104" s="109" t="str">
        <f t="shared" si="115"/>
        <v/>
      </c>
      <c r="DE104" s="109" t="str">
        <f t="shared" si="36"/>
        <v/>
      </c>
      <c r="DF104" s="110" t="str">
        <f t="shared" si="37"/>
        <v/>
      </c>
      <c r="DH104" s="108" t="str">
        <f t="shared" si="38"/>
        <v/>
      </c>
      <c r="DI104" s="109" t="str">
        <f t="shared" si="39"/>
        <v/>
      </c>
      <c r="DJ104" s="109" t="str">
        <f t="shared" si="40"/>
        <v/>
      </c>
      <c r="DK104" s="110" t="str">
        <f t="shared" si="41"/>
        <v/>
      </c>
      <c r="DM104" s="108" t="str">
        <f t="shared" si="116"/>
        <v/>
      </c>
      <c r="DN104" s="109" t="str">
        <f t="shared" si="117"/>
        <v/>
      </c>
      <c r="DO104" s="109" t="str">
        <f t="shared" si="42"/>
        <v/>
      </c>
      <c r="DP104" s="110" t="str">
        <f t="shared" si="185"/>
        <v/>
      </c>
      <c r="DR104" s="108" t="str">
        <f t="shared" si="43"/>
        <v/>
      </c>
      <c r="DS104" s="109" t="str">
        <f t="shared" si="118"/>
        <v/>
      </c>
      <c r="DT104" s="109" t="str">
        <f t="shared" si="44"/>
        <v/>
      </c>
      <c r="DU104" s="110" t="str">
        <f t="shared" si="119"/>
        <v/>
      </c>
      <c r="DW104" s="108" t="str">
        <f t="shared" si="120"/>
        <v/>
      </c>
      <c r="DX104" s="109" t="str">
        <f t="shared" si="121"/>
        <v/>
      </c>
      <c r="DY104" s="109" t="str">
        <f t="shared" si="45"/>
        <v/>
      </c>
      <c r="DZ104" s="110" t="str">
        <f t="shared" si="186"/>
        <v/>
      </c>
      <c r="EB104" s="108" t="str">
        <f t="shared" si="46"/>
        <v/>
      </c>
      <c r="EC104" s="109" t="str">
        <f t="shared" si="122"/>
        <v/>
      </c>
      <c r="ED104" s="109" t="str">
        <f t="shared" si="47"/>
        <v/>
      </c>
      <c r="EE104" s="110" t="str">
        <f t="shared" si="123"/>
        <v/>
      </c>
      <c r="EG104" s="108" t="str">
        <f t="shared" si="124"/>
        <v/>
      </c>
      <c r="EH104" s="109" t="str">
        <f t="shared" si="125"/>
        <v/>
      </c>
      <c r="EI104" s="109" t="str">
        <f t="shared" si="48"/>
        <v/>
      </c>
      <c r="EJ104" s="110" t="str">
        <f t="shared" si="187"/>
        <v/>
      </c>
      <c r="EL104" s="108" t="str">
        <f t="shared" si="49"/>
        <v/>
      </c>
      <c r="EM104" s="109" t="str">
        <f t="shared" si="126"/>
        <v/>
      </c>
      <c r="EN104" s="109" t="str">
        <f t="shared" si="50"/>
        <v/>
      </c>
      <c r="EO104" s="110" t="str">
        <f t="shared" si="127"/>
        <v/>
      </c>
      <c r="EQ104" s="108" t="str">
        <f t="shared" si="128"/>
        <v/>
      </c>
      <c r="ER104" s="109" t="str">
        <f t="shared" si="129"/>
        <v/>
      </c>
      <c r="ES104" s="109" t="str">
        <f t="shared" si="51"/>
        <v/>
      </c>
      <c r="ET104" s="110" t="str">
        <f t="shared" si="188"/>
        <v/>
      </c>
      <c r="EV104" s="108" t="str">
        <f t="shared" si="52"/>
        <v/>
      </c>
      <c r="EW104" s="109" t="str">
        <f t="shared" si="130"/>
        <v/>
      </c>
      <c r="EX104" s="109" t="str">
        <f t="shared" si="53"/>
        <v/>
      </c>
      <c r="EY104" s="110" t="str">
        <f t="shared" si="131"/>
        <v/>
      </c>
      <c r="FA104" s="108" t="str">
        <f t="shared" si="132"/>
        <v/>
      </c>
      <c r="FB104" s="109" t="str">
        <f t="shared" si="133"/>
        <v/>
      </c>
      <c r="FC104" s="109" t="str">
        <f t="shared" si="54"/>
        <v/>
      </c>
      <c r="FD104" s="110" t="str">
        <f t="shared" si="189"/>
        <v/>
      </c>
      <c r="FF104" s="108" t="str">
        <f t="shared" si="55"/>
        <v/>
      </c>
      <c r="FG104" s="109" t="str">
        <f t="shared" si="134"/>
        <v/>
      </c>
      <c r="FH104" s="109" t="str">
        <f t="shared" si="56"/>
        <v/>
      </c>
      <c r="FI104" s="110" t="str">
        <f t="shared" si="135"/>
        <v/>
      </c>
      <c r="FK104" s="108" t="str">
        <f t="shared" si="136"/>
        <v/>
      </c>
      <c r="FL104" s="109" t="str">
        <f t="shared" si="137"/>
        <v/>
      </c>
      <c r="FM104" s="109" t="str">
        <f t="shared" si="57"/>
        <v/>
      </c>
      <c r="FN104" s="110" t="str">
        <f t="shared" si="190"/>
        <v/>
      </c>
      <c r="FP104" s="108" t="str">
        <f t="shared" si="58"/>
        <v/>
      </c>
      <c r="FQ104" s="109" t="str">
        <f t="shared" si="138"/>
        <v/>
      </c>
      <c r="FR104" s="109" t="str">
        <f t="shared" si="59"/>
        <v/>
      </c>
      <c r="FS104" s="110" t="str">
        <f t="shared" si="139"/>
        <v/>
      </c>
      <c r="FU104" s="108" t="str">
        <f t="shared" si="140"/>
        <v/>
      </c>
      <c r="FV104" s="109" t="str">
        <f t="shared" si="141"/>
        <v/>
      </c>
      <c r="FW104" s="109" t="str">
        <f t="shared" si="60"/>
        <v/>
      </c>
      <c r="FX104" s="110" t="str">
        <f t="shared" si="191"/>
        <v/>
      </c>
      <c r="FZ104" s="108" t="str">
        <f t="shared" si="61"/>
        <v/>
      </c>
      <c r="GA104" s="109" t="str">
        <f t="shared" si="142"/>
        <v/>
      </c>
      <c r="GB104" s="109" t="str">
        <f t="shared" si="62"/>
        <v/>
      </c>
      <c r="GC104" s="110" t="str">
        <f t="shared" si="143"/>
        <v/>
      </c>
      <c r="GE104" s="108" t="str">
        <f t="shared" si="144"/>
        <v/>
      </c>
      <c r="GF104" s="109" t="str">
        <f t="shared" si="145"/>
        <v/>
      </c>
      <c r="GG104" s="109" t="str">
        <f t="shared" si="146"/>
        <v/>
      </c>
      <c r="GH104" s="110" t="str">
        <f t="shared" si="192"/>
        <v/>
      </c>
      <c r="GL104" s="108" t="str">
        <f t="shared" si="63"/>
        <v/>
      </c>
      <c r="GM104" s="109" t="str">
        <f t="shared" si="64"/>
        <v/>
      </c>
      <c r="GN104" s="109" t="str">
        <f t="shared" si="65"/>
        <v/>
      </c>
      <c r="GO104" s="110" t="str">
        <f t="shared" si="66"/>
        <v/>
      </c>
      <c r="GP104" s="51"/>
      <c r="GQ104" s="108" t="str">
        <f t="shared" si="67"/>
        <v/>
      </c>
      <c r="GR104" s="109" t="str">
        <f t="shared" si="147"/>
        <v/>
      </c>
      <c r="GS104" s="109" t="str">
        <f t="shared" si="68"/>
        <v/>
      </c>
      <c r="GT104" s="110" t="str">
        <f t="shared" si="69"/>
        <v/>
      </c>
      <c r="GU104" s="51"/>
      <c r="GV104" s="108" t="str">
        <f t="shared" si="148"/>
        <v/>
      </c>
      <c r="GW104" s="109" t="str">
        <f t="shared" si="149"/>
        <v/>
      </c>
      <c r="GX104" s="109" t="str">
        <f t="shared" si="70"/>
        <v/>
      </c>
      <c r="GY104" s="110" t="str">
        <f t="shared" si="150"/>
        <v/>
      </c>
      <c r="GZ104" s="51"/>
      <c r="HA104" s="108" t="str">
        <f t="shared" si="71"/>
        <v/>
      </c>
      <c r="HB104" s="109" t="str">
        <f t="shared" si="151"/>
        <v/>
      </c>
      <c r="HC104" s="109" t="str">
        <f t="shared" si="72"/>
        <v/>
      </c>
      <c r="HD104" s="110" t="str">
        <f t="shared" si="193"/>
        <v/>
      </c>
      <c r="HE104" s="51"/>
      <c r="HF104" s="108" t="str">
        <f t="shared" si="152"/>
        <v/>
      </c>
      <c r="HG104" s="109" t="str">
        <f t="shared" si="153"/>
        <v/>
      </c>
      <c r="HH104" s="109" t="str">
        <f t="shared" si="73"/>
        <v/>
      </c>
      <c r="HI104" s="110" t="str">
        <f t="shared" si="154"/>
        <v/>
      </c>
      <c r="HJ104" s="51"/>
      <c r="HK104" s="108" t="str">
        <f t="shared" si="74"/>
        <v/>
      </c>
      <c r="HL104" s="109" t="str">
        <f t="shared" si="155"/>
        <v/>
      </c>
      <c r="HM104" s="109" t="str">
        <f t="shared" si="75"/>
        <v/>
      </c>
      <c r="HN104" s="110" t="str">
        <f t="shared" si="194"/>
        <v/>
      </c>
      <c r="HO104" s="51"/>
      <c r="HP104" s="108" t="str">
        <f t="shared" si="156"/>
        <v/>
      </c>
      <c r="HQ104" s="109" t="str">
        <f t="shared" si="157"/>
        <v/>
      </c>
      <c r="HR104" s="109" t="str">
        <f t="shared" si="76"/>
        <v/>
      </c>
      <c r="HS104" s="110" t="str">
        <f t="shared" si="158"/>
        <v/>
      </c>
      <c r="HT104" s="51"/>
      <c r="HU104" s="108" t="str">
        <f t="shared" si="77"/>
        <v/>
      </c>
      <c r="HV104" s="109" t="str">
        <f t="shared" si="159"/>
        <v/>
      </c>
      <c r="HW104" s="109" t="str">
        <f t="shared" si="78"/>
        <v/>
      </c>
      <c r="HX104" s="110" t="str">
        <f t="shared" si="195"/>
        <v/>
      </c>
      <c r="HY104" s="51"/>
      <c r="HZ104" s="108" t="str">
        <f t="shared" si="160"/>
        <v/>
      </c>
      <c r="IA104" s="109" t="str">
        <f t="shared" si="161"/>
        <v/>
      </c>
      <c r="IB104" s="109" t="str">
        <f t="shared" si="79"/>
        <v/>
      </c>
      <c r="IC104" s="110" t="str">
        <f t="shared" si="162"/>
        <v/>
      </c>
      <c r="ID104" s="51"/>
      <c r="IE104" s="108" t="str">
        <f t="shared" si="80"/>
        <v/>
      </c>
      <c r="IF104" s="109" t="str">
        <f t="shared" si="163"/>
        <v/>
      </c>
      <c r="IG104" s="109" t="str">
        <f t="shared" si="81"/>
        <v/>
      </c>
      <c r="IH104" s="110" t="str">
        <f t="shared" si="196"/>
        <v/>
      </c>
      <c r="II104" s="51"/>
      <c r="IJ104" s="108" t="str">
        <f t="shared" si="164"/>
        <v/>
      </c>
      <c r="IK104" s="109" t="str">
        <f t="shared" si="165"/>
        <v/>
      </c>
      <c r="IL104" s="109" t="str">
        <f t="shared" si="82"/>
        <v/>
      </c>
      <c r="IM104" s="110" t="str">
        <f t="shared" si="166"/>
        <v/>
      </c>
      <c r="IN104" s="51"/>
      <c r="IO104" s="108" t="str">
        <f t="shared" si="83"/>
        <v/>
      </c>
      <c r="IP104" s="109" t="str">
        <f t="shared" si="167"/>
        <v/>
      </c>
      <c r="IQ104" s="109" t="str">
        <f t="shared" si="84"/>
        <v/>
      </c>
      <c r="IR104" s="110" t="str">
        <f t="shared" si="197"/>
        <v/>
      </c>
      <c r="IS104" s="51"/>
      <c r="IT104" s="108" t="str">
        <f t="shared" si="168"/>
        <v/>
      </c>
      <c r="IU104" s="109" t="str">
        <f t="shared" si="169"/>
        <v/>
      </c>
      <c r="IV104" s="109" t="str">
        <f t="shared" si="85"/>
        <v/>
      </c>
      <c r="IW104" s="110" t="str">
        <f t="shared" si="170"/>
        <v/>
      </c>
      <c r="IX104" s="51"/>
      <c r="IY104" s="108" t="str">
        <f t="shared" si="86"/>
        <v/>
      </c>
      <c r="IZ104" s="109" t="str">
        <f t="shared" si="171"/>
        <v/>
      </c>
      <c r="JA104" s="109" t="str">
        <f t="shared" si="87"/>
        <v/>
      </c>
      <c r="JB104" s="110" t="str">
        <f t="shared" si="198"/>
        <v/>
      </c>
      <c r="JC104" s="51"/>
      <c r="JD104" s="108" t="str">
        <f t="shared" si="172"/>
        <v/>
      </c>
      <c r="JE104" s="109" t="str">
        <f t="shared" si="173"/>
        <v/>
      </c>
      <c r="JF104" s="109" t="str">
        <f t="shared" si="88"/>
        <v/>
      </c>
      <c r="JG104" s="110" t="str">
        <f t="shared" si="174"/>
        <v/>
      </c>
      <c r="JH104" s="51"/>
      <c r="JI104" s="108" t="str">
        <f t="shared" si="89"/>
        <v/>
      </c>
      <c r="JJ104" s="109" t="str">
        <f t="shared" si="175"/>
        <v/>
      </c>
      <c r="JK104" s="109" t="str">
        <f t="shared" si="90"/>
        <v/>
      </c>
      <c r="JL104" s="110" t="str">
        <f t="shared" si="199"/>
        <v/>
      </c>
      <c r="JM104" s="51"/>
      <c r="JN104" s="108" t="str">
        <f t="shared" si="176"/>
        <v/>
      </c>
      <c r="JO104" s="109" t="str">
        <f t="shared" si="177"/>
        <v/>
      </c>
      <c r="JP104" s="109" t="str">
        <f t="shared" si="91"/>
        <v/>
      </c>
      <c r="JQ104" s="110" t="str">
        <f t="shared" si="178"/>
        <v/>
      </c>
      <c r="JR104" s="51"/>
      <c r="JS104" s="108" t="str">
        <f t="shared" si="92"/>
        <v/>
      </c>
      <c r="JT104" s="109" t="str">
        <f t="shared" si="179"/>
        <v/>
      </c>
      <c r="JU104" s="109" t="str">
        <f t="shared" si="93"/>
        <v/>
      </c>
      <c r="JV104" s="110" t="str">
        <f t="shared" si="200"/>
        <v/>
      </c>
      <c r="JW104" s="51"/>
      <c r="JX104" s="108" t="str">
        <f t="shared" si="180"/>
        <v/>
      </c>
      <c r="JY104" s="109" t="str">
        <f t="shared" si="181"/>
        <v/>
      </c>
      <c r="JZ104" s="109" t="str">
        <f t="shared" si="94"/>
        <v/>
      </c>
      <c r="KA104" s="110" t="str">
        <f t="shared" si="95"/>
        <v/>
      </c>
    </row>
    <row r="105" spans="1:287" ht="12" customHeight="1">
      <c r="A105" s="105">
        <f t="array" ref="A105">MAX(IF($J$80:J104&gt;0,$C$80:C104,0))</f>
        <v>43536</v>
      </c>
      <c r="B105" s="81" t="str">
        <f t="shared" si="4"/>
        <v/>
      </c>
      <c r="C105" s="82">
        <f t="shared" si="182"/>
        <v>0</v>
      </c>
      <c r="D105" s="83" t="str">
        <f t="shared" si="5"/>
        <v/>
      </c>
      <c r="E105" s="83" t="str">
        <f t="shared" si="96"/>
        <v/>
      </c>
      <c r="F105" s="83" t="str">
        <f t="shared" si="6"/>
        <v/>
      </c>
      <c r="G105" s="83" t="str">
        <f t="shared" si="7"/>
        <v/>
      </c>
      <c r="H105" s="83" t="str">
        <f t="shared" si="8"/>
        <v/>
      </c>
      <c r="I105" s="105">
        <f t="array" ref="I105">MAX(IF($R$80:R104&gt;0,$L$80:L104,0))</f>
        <v>0</v>
      </c>
      <c r="J105" s="106"/>
      <c r="K105" s="114" t="str">
        <f t="shared" si="9"/>
        <v/>
      </c>
      <c r="L105" s="82">
        <f t="shared" si="183"/>
        <v>0</v>
      </c>
      <c r="M105" s="83" t="str">
        <f t="shared" si="97"/>
        <v/>
      </c>
      <c r="N105" s="83" t="str">
        <f t="shared" si="10"/>
        <v/>
      </c>
      <c r="O105" s="83" t="str">
        <f t="shared" si="11"/>
        <v/>
      </c>
      <c r="P105" s="83" t="str">
        <f t="shared" si="12"/>
        <v/>
      </c>
      <c r="Q105" s="83" t="str">
        <f t="shared" si="13"/>
        <v/>
      </c>
      <c r="R105" s="106"/>
      <c r="S105" s="115"/>
      <c r="U105" s="85" t="e">
        <f t="shared" si="0"/>
        <v>#NUM!</v>
      </c>
      <c r="V105" s="86" t="e">
        <f t="shared" si="98"/>
        <v>#NUM!</v>
      </c>
      <c r="W105" s="87" t="e">
        <f t="shared" si="14"/>
        <v>#NUM!</v>
      </c>
      <c r="X105" s="87" t="e">
        <f t="shared" si="15"/>
        <v>#NUM!</v>
      </c>
      <c r="Y105" s="87" t="e">
        <f t="shared" si="16"/>
        <v>#NUM!</v>
      </c>
      <c r="Z105" s="88" t="e">
        <f t="shared" si="1"/>
        <v>#NUM!</v>
      </c>
      <c r="AB105" s="89">
        <f t="shared" si="99"/>
        <v>0</v>
      </c>
      <c r="AC105" s="87">
        <f t="shared" si="100"/>
        <v>0</v>
      </c>
      <c r="AD105" s="87" t="str">
        <f t="shared" si="17"/>
        <v/>
      </c>
      <c r="AE105" s="87" t="str">
        <f t="shared" si="18"/>
        <v/>
      </c>
      <c r="AF105" s="86">
        <f t="shared" si="101"/>
        <v>0</v>
      </c>
      <c r="AG105" s="87">
        <f t="shared" si="2"/>
        <v>0</v>
      </c>
      <c r="AH105" s="87">
        <f t="shared" si="102"/>
        <v>0</v>
      </c>
      <c r="AI105" s="90"/>
      <c r="AJ105" s="87" t="e">
        <f t="shared" si="19"/>
        <v>#NUM!</v>
      </c>
      <c r="AK105" s="87" t="e">
        <f t="shared" si="103"/>
        <v>#NUM!</v>
      </c>
      <c r="AL105" s="87" t="e">
        <f t="shared" si="104"/>
        <v>#NUM!</v>
      </c>
      <c r="AM105" s="87" t="e">
        <f t="shared" si="105"/>
        <v>#NUM!</v>
      </c>
      <c r="AN105" s="86">
        <f t="shared" si="20"/>
        <v>0</v>
      </c>
      <c r="AO105" s="87">
        <f t="shared" si="21"/>
        <v>0</v>
      </c>
      <c r="AP105" s="88">
        <f t="shared" si="22"/>
        <v>0</v>
      </c>
      <c r="AR105" s="89">
        <f t="shared" si="23"/>
        <v>0</v>
      </c>
      <c r="AS105" s="87">
        <f t="shared" si="24"/>
        <v>0</v>
      </c>
      <c r="AT105" s="87" t="str">
        <f t="shared" si="25"/>
        <v/>
      </c>
      <c r="AU105" s="87" t="str">
        <f t="shared" si="26"/>
        <v/>
      </c>
      <c r="AV105" s="86">
        <f t="shared" si="106"/>
        <v>0</v>
      </c>
      <c r="AW105" s="87">
        <f t="shared" si="107"/>
        <v>0</v>
      </c>
      <c r="AX105" s="87">
        <f t="shared" si="108"/>
        <v>0</v>
      </c>
      <c r="AY105" s="93"/>
      <c r="AZ105" s="87">
        <f t="shared" si="201"/>
        <v>0</v>
      </c>
      <c r="BA105" s="87">
        <f t="shared" si="109"/>
        <v>0</v>
      </c>
      <c r="BB105" s="87">
        <f t="shared" si="110"/>
        <v>0</v>
      </c>
      <c r="BC105" s="87">
        <f t="shared" si="184"/>
        <v>0</v>
      </c>
      <c r="BD105" s="86" t="e">
        <f t="shared" si="27"/>
        <v>#NUM!</v>
      </c>
      <c r="BE105" s="87" t="e">
        <f t="shared" si="3"/>
        <v>#NUM!</v>
      </c>
      <c r="BF105" s="88">
        <f t="shared" si="111"/>
        <v>0</v>
      </c>
      <c r="BH105" s="87" t="e">
        <f t="shared" si="28"/>
        <v>#NUM!</v>
      </c>
      <c r="BK105" s="95">
        <v>39959</v>
      </c>
      <c r="BL105" s="96">
        <v>26</v>
      </c>
      <c r="BT105" s="51">
        <v>1000</v>
      </c>
      <c r="BU105" s="51">
        <v>10000</v>
      </c>
      <c r="BV105" s="30" t="str">
        <f t="shared" ref="BV105:BV110" si="204">CONCATENATE(BT105,"-",BU105)</f>
        <v>1000-10000</v>
      </c>
      <c r="BW105" s="30" t="s">
        <v>497</v>
      </c>
      <c r="BX105" s="30" t="s">
        <v>497</v>
      </c>
      <c r="BY105" s="107">
        <v>0.27</v>
      </c>
      <c r="BZ105" s="107">
        <v>0.29499999999999998</v>
      </c>
      <c r="CA105" s="107">
        <v>0.32</v>
      </c>
      <c r="CB105" s="107">
        <v>0.33</v>
      </c>
      <c r="CC105" s="107">
        <v>0.33500000000000002</v>
      </c>
      <c r="CD105" s="107">
        <v>0.33999999999999997</v>
      </c>
      <c r="CE105" s="30" t="s">
        <v>497</v>
      </c>
      <c r="CF105" s="107">
        <v>0.04</v>
      </c>
      <c r="CG105" s="107">
        <v>6.0000000000000001E-3</v>
      </c>
      <c r="CS105" s="108" t="str">
        <f t="shared" si="29"/>
        <v/>
      </c>
      <c r="CT105" s="109" t="str">
        <f t="shared" si="30"/>
        <v/>
      </c>
      <c r="CU105" s="109" t="str">
        <f t="shared" si="31"/>
        <v/>
      </c>
      <c r="CV105" s="110" t="str">
        <f t="shared" si="32"/>
        <v/>
      </c>
      <c r="CX105" s="108" t="str">
        <f t="shared" si="33"/>
        <v/>
      </c>
      <c r="CY105" s="109" t="str">
        <f t="shared" si="113"/>
        <v/>
      </c>
      <c r="CZ105" s="109" t="str">
        <f t="shared" si="34"/>
        <v/>
      </c>
      <c r="DA105" s="110" t="str">
        <f t="shared" si="35"/>
        <v/>
      </c>
      <c r="DC105" s="108" t="str">
        <f t="shared" si="114"/>
        <v/>
      </c>
      <c r="DD105" s="109" t="str">
        <f t="shared" si="115"/>
        <v/>
      </c>
      <c r="DE105" s="109" t="str">
        <f t="shared" si="36"/>
        <v/>
      </c>
      <c r="DF105" s="110" t="str">
        <f t="shared" si="37"/>
        <v/>
      </c>
      <c r="DH105" s="108" t="str">
        <f t="shared" si="38"/>
        <v/>
      </c>
      <c r="DI105" s="109" t="str">
        <f t="shared" si="39"/>
        <v/>
      </c>
      <c r="DJ105" s="109" t="str">
        <f t="shared" si="40"/>
        <v/>
      </c>
      <c r="DK105" s="110" t="str">
        <f t="shared" si="41"/>
        <v/>
      </c>
      <c r="DM105" s="108" t="str">
        <f t="shared" si="116"/>
        <v/>
      </c>
      <c r="DN105" s="109" t="str">
        <f t="shared" si="117"/>
        <v/>
      </c>
      <c r="DO105" s="109" t="str">
        <f t="shared" si="42"/>
        <v/>
      </c>
      <c r="DP105" s="110" t="str">
        <f t="shared" si="185"/>
        <v/>
      </c>
      <c r="DR105" s="108" t="str">
        <f t="shared" si="43"/>
        <v/>
      </c>
      <c r="DS105" s="109" t="str">
        <f t="shared" si="118"/>
        <v/>
      </c>
      <c r="DT105" s="109" t="str">
        <f t="shared" si="44"/>
        <v/>
      </c>
      <c r="DU105" s="110" t="str">
        <f t="shared" si="119"/>
        <v/>
      </c>
      <c r="DW105" s="108" t="str">
        <f t="shared" si="120"/>
        <v/>
      </c>
      <c r="DX105" s="109" t="str">
        <f t="shared" si="121"/>
        <v/>
      </c>
      <c r="DY105" s="109" t="str">
        <f t="shared" si="45"/>
        <v/>
      </c>
      <c r="DZ105" s="110" t="str">
        <f t="shared" si="186"/>
        <v/>
      </c>
      <c r="EB105" s="108" t="str">
        <f t="shared" si="46"/>
        <v/>
      </c>
      <c r="EC105" s="109" t="str">
        <f t="shared" si="122"/>
        <v/>
      </c>
      <c r="ED105" s="109" t="str">
        <f t="shared" si="47"/>
        <v/>
      </c>
      <c r="EE105" s="110" t="str">
        <f t="shared" si="123"/>
        <v/>
      </c>
      <c r="EG105" s="108" t="str">
        <f t="shared" si="124"/>
        <v/>
      </c>
      <c r="EH105" s="109" t="str">
        <f t="shared" si="125"/>
        <v/>
      </c>
      <c r="EI105" s="109" t="str">
        <f t="shared" si="48"/>
        <v/>
      </c>
      <c r="EJ105" s="110" t="str">
        <f t="shared" si="187"/>
        <v/>
      </c>
      <c r="EL105" s="108" t="str">
        <f t="shared" si="49"/>
        <v/>
      </c>
      <c r="EM105" s="109" t="str">
        <f t="shared" si="126"/>
        <v/>
      </c>
      <c r="EN105" s="109" t="str">
        <f t="shared" si="50"/>
        <v/>
      </c>
      <c r="EO105" s="110" t="str">
        <f t="shared" si="127"/>
        <v/>
      </c>
      <c r="EQ105" s="108" t="str">
        <f t="shared" si="128"/>
        <v/>
      </c>
      <c r="ER105" s="109" t="str">
        <f t="shared" si="129"/>
        <v/>
      </c>
      <c r="ES105" s="109" t="str">
        <f t="shared" si="51"/>
        <v/>
      </c>
      <c r="ET105" s="110" t="str">
        <f t="shared" si="188"/>
        <v/>
      </c>
      <c r="EV105" s="108" t="str">
        <f t="shared" si="52"/>
        <v/>
      </c>
      <c r="EW105" s="109" t="str">
        <f t="shared" si="130"/>
        <v/>
      </c>
      <c r="EX105" s="109" t="str">
        <f t="shared" si="53"/>
        <v/>
      </c>
      <c r="EY105" s="110" t="str">
        <f t="shared" si="131"/>
        <v/>
      </c>
      <c r="FA105" s="108" t="str">
        <f t="shared" si="132"/>
        <v/>
      </c>
      <c r="FB105" s="109" t="str">
        <f t="shared" si="133"/>
        <v/>
      </c>
      <c r="FC105" s="109" t="str">
        <f t="shared" si="54"/>
        <v/>
      </c>
      <c r="FD105" s="110" t="str">
        <f t="shared" si="189"/>
        <v/>
      </c>
      <c r="FF105" s="108" t="str">
        <f t="shared" si="55"/>
        <v/>
      </c>
      <c r="FG105" s="109" t="str">
        <f t="shared" si="134"/>
        <v/>
      </c>
      <c r="FH105" s="109" t="str">
        <f t="shared" si="56"/>
        <v/>
      </c>
      <c r="FI105" s="110" t="str">
        <f t="shared" si="135"/>
        <v/>
      </c>
      <c r="FK105" s="108" t="str">
        <f t="shared" si="136"/>
        <v/>
      </c>
      <c r="FL105" s="109" t="str">
        <f t="shared" si="137"/>
        <v/>
      </c>
      <c r="FM105" s="109" t="str">
        <f t="shared" si="57"/>
        <v/>
      </c>
      <c r="FN105" s="110" t="str">
        <f t="shared" si="190"/>
        <v/>
      </c>
      <c r="FP105" s="108" t="str">
        <f t="shared" si="58"/>
        <v/>
      </c>
      <c r="FQ105" s="109" t="str">
        <f t="shared" si="138"/>
        <v/>
      </c>
      <c r="FR105" s="109" t="str">
        <f t="shared" si="59"/>
        <v/>
      </c>
      <c r="FS105" s="110" t="str">
        <f t="shared" si="139"/>
        <v/>
      </c>
      <c r="FU105" s="108" t="str">
        <f t="shared" si="140"/>
        <v/>
      </c>
      <c r="FV105" s="109" t="str">
        <f t="shared" si="141"/>
        <v/>
      </c>
      <c r="FW105" s="109" t="str">
        <f t="shared" si="60"/>
        <v/>
      </c>
      <c r="FX105" s="110" t="str">
        <f t="shared" si="191"/>
        <v/>
      </c>
      <c r="FZ105" s="108" t="str">
        <f t="shared" si="61"/>
        <v/>
      </c>
      <c r="GA105" s="109" t="str">
        <f t="shared" si="142"/>
        <v/>
      </c>
      <c r="GB105" s="109" t="str">
        <f t="shared" si="62"/>
        <v/>
      </c>
      <c r="GC105" s="110" t="str">
        <f t="shared" si="143"/>
        <v/>
      </c>
      <c r="GE105" s="108" t="str">
        <f t="shared" si="144"/>
        <v/>
      </c>
      <c r="GF105" s="109" t="str">
        <f t="shared" si="145"/>
        <v/>
      </c>
      <c r="GG105" s="109" t="str">
        <f t="shared" si="146"/>
        <v/>
      </c>
      <c r="GH105" s="110" t="str">
        <f t="shared" si="192"/>
        <v/>
      </c>
      <c r="GL105" s="108" t="str">
        <f t="shared" si="63"/>
        <v/>
      </c>
      <c r="GM105" s="109" t="str">
        <f t="shared" si="64"/>
        <v/>
      </c>
      <c r="GN105" s="109" t="str">
        <f t="shared" si="65"/>
        <v/>
      </c>
      <c r="GO105" s="110" t="str">
        <f t="shared" si="66"/>
        <v/>
      </c>
      <c r="GP105" s="51"/>
      <c r="GQ105" s="108" t="str">
        <f t="shared" si="67"/>
        <v/>
      </c>
      <c r="GR105" s="109" t="str">
        <f t="shared" si="147"/>
        <v/>
      </c>
      <c r="GS105" s="109" t="str">
        <f t="shared" si="68"/>
        <v/>
      </c>
      <c r="GT105" s="110" t="str">
        <f t="shared" si="69"/>
        <v/>
      </c>
      <c r="GU105" s="51"/>
      <c r="GV105" s="108" t="str">
        <f t="shared" si="148"/>
        <v/>
      </c>
      <c r="GW105" s="109" t="str">
        <f t="shared" si="149"/>
        <v/>
      </c>
      <c r="GX105" s="109" t="str">
        <f t="shared" si="70"/>
        <v/>
      </c>
      <c r="GY105" s="110" t="str">
        <f t="shared" si="150"/>
        <v/>
      </c>
      <c r="GZ105" s="51"/>
      <c r="HA105" s="108" t="str">
        <f t="shared" si="71"/>
        <v/>
      </c>
      <c r="HB105" s="109" t="str">
        <f t="shared" si="151"/>
        <v/>
      </c>
      <c r="HC105" s="109" t="str">
        <f t="shared" si="72"/>
        <v/>
      </c>
      <c r="HD105" s="110" t="str">
        <f t="shared" si="193"/>
        <v/>
      </c>
      <c r="HE105" s="51"/>
      <c r="HF105" s="108" t="str">
        <f t="shared" si="152"/>
        <v/>
      </c>
      <c r="HG105" s="109" t="str">
        <f t="shared" si="153"/>
        <v/>
      </c>
      <c r="HH105" s="109" t="str">
        <f t="shared" si="73"/>
        <v/>
      </c>
      <c r="HI105" s="110" t="str">
        <f t="shared" si="154"/>
        <v/>
      </c>
      <c r="HJ105" s="51"/>
      <c r="HK105" s="108" t="str">
        <f t="shared" si="74"/>
        <v/>
      </c>
      <c r="HL105" s="109" t="str">
        <f t="shared" si="155"/>
        <v/>
      </c>
      <c r="HM105" s="109" t="str">
        <f t="shared" si="75"/>
        <v/>
      </c>
      <c r="HN105" s="110" t="str">
        <f t="shared" si="194"/>
        <v/>
      </c>
      <c r="HO105" s="51"/>
      <c r="HP105" s="108" t="str">
        <f t="shared" si="156"/>
        <v/>
      </c>
      <c r="HQ105" s="109" t="str">
        <f t="shared" si="157"/>
        <v/>
      </c>
      <c r="HR105" s="109" t="str">
        <f t="shared" si="76"/>
        <v/>
      </c>
      <c r="HS105" s="110" t="str">
        <f t="shared" si="158"/>
        <v/>
      </c>
      <c r="HT105" s="51"/>
      <c r="HU105" s="108" t="str">
        <f t="shared" si="77"/>
        <v/>
      </c>
      <c r="HV105" s="109" t="str">
        <f t="shared" si="159"/>
        <v/>
      </c>
      <c r="HW105" s="109" t="str">
        <f t="shared" si="78"/>
        <v/>
      </c>
      <c r="HX105" s="110" t="str">
        <f t="shared" si="195"/>
        <v/>
      </c>
      <c r="HY105" s="51"/>
      <c r="HZ105" s="108" t="str">
        <f t="shared" si="160"/>
        <v/>
      </c>
      <c r="IA105" s="109" t="str">
        <f t="shared" si="161"/>
        <v/>
      </c>
      <c r="IB105" s="109" t="str">
        <f t="shared" si="79"/>
        <v/>
      </c>
      <c r="IC105" s="110" t="str">
        <f t="shared" si="162"/>
        <v/>
      </c>
      <c r="ID105" s="51"/>
      <c r="IE105" s="108" t="str">
        <f t="shared" si="80"/>
        <v/>
      </c>
      <c r="IF105" s="109" t="str">
        <f t="shared" si="163"/>
        <v/>
      </c>
      <c r="IG105" s="109" t="str">
        <f t="shared" si="81"/>
        <v/>
      </c>
      <c r="IH105" s="110" t="str">
        <f t="shared" si="196"/>
        <v/>
      </c>
      <c r="II105" s="51"/>
      <c r="IJ105" s="108" t="str">
        <f t="shared" si="164"/>
        <v/>
      </c>
      <c r="IK105" s="109" t="str">
        <f t="shared" si="165"/>
        <v/>
      </c>
      <c r="IL105" s="109" t="str">
        <f t="shared" si="82"/>
        <v/>
      </c>
      <c r="IM105" s="110" t="str">
        <f t="shared" si="166"/>
        <v/>
      </c>
      <c r="IN105" s="51"/>
      <c r="IO105" s="108" t="str">
        <f t="shared" si="83"/>
        <v/>
      </c>
      <c r="IP105" s="109" t="str">
        <f t="shared" si="167"/>
        <v/>
      </c>
      <c r="IQ105" s="109" t="str">
        <f t="shared" si="84"/>
        <v/>
      </c>
      <c r="IR105" s="110" t="str">
        <f t="shared" si="197"/>
        <v/>
      </c>
      <c r="IS105" s="51"/>
      <c r="IT105" s="108" t="str">
        <f t="shared" si="168"/>
        <v/>
      </c>
      <c r="IU105" s="109" t="str">
        <f t="shared" si="169"/>
        <v/>
      </c>
      <c r="IV105" s="109" t="str">
        <f t="shared" si="85"/>
        <v/>
      </c>
      <c r="IW105" s="110" t="str">
        <f t="shared" si="170"/>
        <v/>
      </c>
      <c r="IX105" s="51"/>
      <c r="IY105" s="108" t="str">
        <f t="shared" si="86"/>
        <v/>
      </c>
      <c r="IZ105" s="109" t="str">
        <f t="shared" si="171"/>
        <v/>
      </c>
      <c r="JA105" s="109" t="str">
        <f t="shared" si="87"/>
        <v/>
      </c>
      <c r="JB105" s="110" t="str">
        <f t="shared" si="198"/>
        <v/>
      </c>
      <c r="JC105" s="51"/>
      <c r="JD105" s="108" t="str">
        <f t="shared" si="172"/>
        <v/>
      </c>
      <c r="JE105" s="109" t="str">
        <f t="shared" si="173"/>
        <v/>
      </c>
      <c r="JF105" s="109" t="str">
        <f t="shared" si="88"/>
        <v/>
      </c>
      <c r="JG105" s="110" t="str">
        <f t="shared" si="174"/>
        <v/>
      </c>
      <c r="JH105" s="51"/>
      <c r="JI105" s="108" t="str">
        <f t="shared" si="89"/>
        <v/>
      </c>
      <c r="JJ105" s="109" t="str">
        <f t="shared" si="175"/>
        <v/>
      </c>
      <c r="JK105" s="109" t="str">
        <f t="shared" si="90"/>
        <v/>
      </c>
      <c r="JL105" s="110" t="str">
        <f t="shared" si="199"/>
        <v/>
      </c>
      <c r="JM105" s="51"/>
      <c r="JN105" s="108" t="str">
        <f t="shared" si="176"/>
        <v/>
      </c>
      <c r="JO105" s="109" t="str">
        <f t="shared" si="177"/>
        <v/>
      </c>
      <c r="JP105" s="109" t="str">
        <f t="shared" si="91"/>
        <v/>
      </c>
      <c r="JQ105" s="110" t="str">
        <f t="shared" si="178"/>
        <v/>
      </c>
      <c r="JR105" s="51"/>
      <c r="JS105" s="108" t="str">
        <f t="shared" si="92"/>
        <v/>
      </c>
      <c r="JT105" s="109" t="str">
        <f t="shared" si="179"/>
        <v/>
      </c>
      <c r="JU105" s="109" t="str">
        <f t="shared" si="93"/>
        <v/>
      </c>
      <c r="JV105" s="110" t="str">
        <f t="shared" si="200"/>
        <v/>
      </c>
      <c r="JW105" s="51"/>
      <c r="JX105" s="108" t="str">
        <f t="shared" si="180"/>
        <v/>
      </c>
      <c r="JY105" s="109" t="str">
        <f t="shared" si="181"/>
        <v/>
      </c>
      <c r="JZ105" s="109" t="str">
        <f t="shared" si="94"/>
        <v/>
      </c>
      <c r="KA105" s="110" t="str">
        <f t="shared" si="95"/>
        <v/>
      </c>
    </row>
    <row r="106" spans="1:287" ht="12" customHeight="1">
      <c r="A106" s="105">
        <f t="array" ref="A106">MAX(IF($J$80:J105&gt;0,$C$80:C105,0))</f>
        <v>43536</v>
      </c>
      <c r="B106" s="81" t="str">
        <f t="shared" si="4"/>
        <v/>
      </c>
      <c r="C106" s="82">
        <f t="shared" si="182"/>
        <v>0</v>
      </c>
      <c r="D106" s="83" t="str">
        <f t="shared" si="5"/>
        <v/>
      </c>
      <c r="E106" s="83" t="str">
        <f t="shared" si="96"/>
        <v/>
      </c>
      <c r="F106" s="83" t="str">
        <f t="shared" si="6"/>
        <v/>
      </c>
      <c r="G106" s="83" t="str">
        <f t="shared" si="7"/>
        <v/>
      </c>
      <c r="H106" s="83" t="str">
        <f t="shared" si="8"/>
        <v/>
      </c>
      <c r="I106" s="105">
        <f t="array" ref="I106">MAX(IF($R$80:R105&gt;0,$L$80:L105,0))</f>
        <v>0</v>
      </c>
      <c r="J106" s="106"/>
      <c r="K106" s="2" t="str">
        <f t="shared" si="9"/>
        <v/>
      </c>
      <c r="L106" s="82">
        <f t="shared" si="183"/>
        <v>0</v>
      </c>
      <c r="M106" s="83" t="str">
        <f t="shared" si="97"/>
        <v/>
      </c>
      <c r="N106" s="83" t="str">
        <f t="shared" si="10"/>
        <v/>
      </c>
      <c r="O106" s="83" t="str">
        <f t="shared" si="11"/>
        <v/>
      </c>
      <c r="P106" s="83" t="str">
        <f t="shared" si="12"/>
        <v/>
      </c>
      <c r="Q106" s="83" t="str">
        <f t="shared" si="13"/>
        <v/>
      </c>
      <c r="R106" s="106"/>
      <c r="S106" s="1"/>
      <c r="U106" s="85" t="e">
        <f t="shared" si="0"/>
        <v>#NUM!</v>
      </c>
      <c r="V106" s="86" t="e">
        <f t="shared" si="98"/>
        <v>#NUM!</v>
      </c>
      <c r="W106" s="87" t="e">
        <f t="shared" si="14"/>
        <v>#NUM!</v>
      </c>
      <c r="X106" s="87" t="e">
        <f t="shared" si="15"/>
        <v>#NUM!</v>
      </c>
      <c r="Y106" s="87" t="e">
        <f t="shared" si="16"/>
        <v>#NUM!</v>
      </c>
      <c r="Z106" s="88" t="e">
        <f t="shared" si="1"/>
        <v>#NUM!</v>
      </c>
      <c r="AB106" s="89">
        <f t="shared" si="99"/>
        <v>0</v>
      </c>
      <c r="AC106" s="87">
        <f t="shared" si="100"/>
        <v>0</v>
      </c>
      <c r="AD106" s="87" t="str">
        <f t="shared" si="17"/>
        <v/>
      </c>
      <c r="AE106" s="87" t="str">
        <f t="shared" si="18"/>
        <v/>
      </c>
      <c r="AF106" s="86">
        <f t="shared" si="101"/>
        <v>0</v>
      </c>
      <c r="AG106" s="87">
        <f t="shared" si="2"/>
        <v>0</v>
      </c>
      <c r="AH106" s="87">
        <f t="shared" si="102"/>
        <v>0</v>
      </c>
      <c r="AI106" s="90"/>
      <c r="AJ106" s="87" t="e">
        <f t="shared" si="19"/>
        <v>#NUM!</v>
      </c>
      <c r="AK106" s="87" t="e">
        <f t="shared" si="103"/>
        <v>#NUM!</v>
      </c>
      <c r="AL106" s="87" t="e">
        <f t="shared" si="104"/>
        <v>#NUM!</v>
      </c>
      <c r="AM106" s="87" t="e">
        <f t="shared" si="105"/>
        <v>#NUM!</v>
      </c>
      <c r="AN106" s="86">
        <f t="shared" si="20"/>
        <v>0</v>
      </c>
      <c r="AO106" s="87">
        <f t="shared" si="21"/>
        <v>0</v>
      </c>
      <c r="AP106" s="88">
        <f t="shared" si="22"/>
        <v>0</v>
      </c>
      <c r="AR106" s="89">
        <f t="shared" si="23"/>
        <v>0</v>
      </c>
      <c r="AS106" s="87">
        <f t="shared" si="24"/>
        <v>0</v>
      </c>
      <c r="AT106" s="87" t="str">
        <f t="shared" si="25"/>
        <v/>
      </c>
      <c r="AU106" s="87" t="str">
        <f t="shared" si="26"/>
        <v/>
      </c>
      <c r="AV106" s="86">
        <f t="shared" si="106"/>
        <v>0</v>
      </c>
      <c r="AW106" s="87">
        <f t="shared" si="107"/>
        <v>0</v>
      </c>
      <c r="AX106" s="87">
        <f t="shared" si="108"/>
        <v>0</v>
      </c>
      <c r="AY106" s="93"/>
      <c r="AZ106" s="87">
        <f t="shared" si="201"/>
        <v>0</v>
      </c>
      <c r="BA106" s="87">
        <f t="shared" si="109"/>
        <v>0</v>
      </c>
      <c r="BB106" s="87">
        <f t="shared" si="110"/>
        <v>0</v>
      </c>
      <c r="BC106" s="87">
        <f t="shared" si="184"/>
        <v>0</v>
      </c>
      <c r="BD106" s="86" t="e">
        <f t="shared" si="27"/>
        <v>#NUM!</v>
      </c>
      <c r="BE106" s="87" t="e">
        <f t="shared" si="3"/>
        <v>#NUM!</v>
      </c>
      <c r="BF106" s="88">
        <f t="shared" si="111"/>
        <v>0</v>
      </c>
      <c r="BH106" s="87" t="e">
        <f t="shared" si="28"/>
        <v>#NUM!</v>
      </c>
      <c r="BK106" s="95">
        <v>40053</v>
      </c>
      <c r="BL106" s="96">
        <v>27</v>
      </c>
      <c r="BT106" s="51">
        <v>10000.01</v>
      </c>
      <c r="BU106" s="51">
        <v>20000</v>
      </c>
      <c r="BV106" s="30" t="str">
        <f t="shared" si="204"/>
        <v>10000.01-20000</v>
      </c>
      <c r="BW106" s="30" t="s">
        <v>497</v>
      </c>
      <c r="BX106" s="107">
        <v>0.20499999999999999</v>
      </c>
      <c r="BY106" s="107">
        <v>0.20500000000000002</v>
      </c>
      <c r="BZ106" s="107">
        <v>0.20500000000000002</v>
      </c>
      <c r="CA106" s="107">
        <v>0.24500000000000002</v>
      </c>
      <c r="CB106" s="107">
        <v>0.253</v>
      </c>
      <c r="CC106" s="107">
        <v>0.26</v>
      </c>
      <c r="CD106" s="107">
        <v>0.26500000000000001</v>
      </c>
      <c r="CE106" s="30" t="s">
        <v>497</v>
      </c>
      <c r="CF106" s="107">
        <v>0.03</v>
      </c>
      <c r="CG106" s="107">
        <v>2.1000000000000001E-2</v>
      </c>
      <c r="CS106" s="108" t="str">
        <f t="shared" si="29"/>
        <v/>
      </c>
      <c r="CT106" s="109" t="str">
        <f t="shared" si="30"/>
        <v/>
      </c>
      <c r="CU106" s="109" t="str">
        <f t="shared" si="31"/>
        <v/>
      </c>
      <c r="CV106" s="110" t="str">
        <f t="shared" si="32"/>
        <v/>
      </c>
      <c r="CX106" s="108" t="str">
        <f t="shared" si="33"/>
        <v/>
      </c>
      <c r="CY106" s="109" t="str">
        <f t="shared" si="113"/>
        <v/>
      </c>
      <c r="CZ106" s="109" t="str">
        <f t="shared" si="34"/>
        <v/>
      </c>
      <c r="DA106" s="110" t="str">
        <f t="shared" si="35"/>
        <v/>
      </c>
      <c r="DC106" s="108" t="str">
        <f t="shared" si="114"/>
        <v/>
      </c>
      <c r="DD106" s="109" t="str">
        <f t="shared" si="115"/>
        <v/>
      </c>
      <c r="DE106" s="109" t="str">
        <f t="shared" si="36"/>
        <v/>
      </c>
      <c r="DF106" s="110" t="str">
        <f t="shared" si="37"/>
        <v/>
      </c>
      <c r="DH106" s="108" t="str">
        <f t="shared" si="38"/>
        <v/>
      </c>
      <c r="DI106" s="109" t="str">
        <f t="shared" si="39"/>
        <v/>
      </c>
      <c r="DJ106" s="109" t="str">
        <f t="shared" si="40"/>
        <v/>
      </c>
      <c r="DK106" s="110" t="str">
        <f t="shared" si="41"/>
        <v/>
      </c>
      <c r="DM106" s="108" t="str">
        <f t="shared" si="116"/>
        <v/>
      </c>
      <c r="DN106" s="109" t="str">
        <f t="shared" si="117"/>
        <v/>
      </c>
      <c r="DO106" s="109" t="str">
        <f t="shared" si="42"/>
        <v/>
      </c>
      <c r="DP106" s="110" t="str">
        <f t="shared" si="185"/>
        <v/>
      </c>
      <c r="DR106" s="108" t="str">
        <f t="shared" si="43"/>
        <v/>
      </c>
      <c r="DS106" s="109" t="str">
        <f t="shared" si="118"/>
        <v/>
      </c>
      <c r="DT106" s="109" t="str">
        <f t="shared" si="44"/>
        <v/>
      </c>
      <c r="DU106" s="110" t="str">
        <f t="shared" si="119"/>
        <v/>
      </c>
      <c r="DW106" s="108" t="str">
        <f t="shared" si="120"/>
        <v/>
      </c>
      <c r="DX106" s="109" t="str">
        <f t="shared" si="121"/>
        <v/>
      </c>
      <c r="DY106" s="109" t="str">
        <f t="shared" si="45"/>
        <v/>
      </c>
      <c r="DZ106" s="110" t="str">
        <f t="shared" si="186"/>
        <v/>
      </c>
      <c r="EB106" s="108" t="str">
        <f t="shared" si="46"/>
        <v/>
      </c>
      <c r="EC106" s="109" t="str">
        <f t="shared" si="122"/>
        <v/>
      </c>
      <c r="ED106" s="109" t="str">
        <f t="shared" si="47"/>
        <v/>
      </c>
      <c r="EE106" s="110" t="str">
        <f t="shared" si="123"/>
        <v/>
      </c>
      <c r="EG106" s="108" t="str">
        <f t="shared" si="124"/>
        <v/>
      </c>
      <c r="EH106" s="109" t="str">
        <f t="shared" si="125"/>
        <v/>
      </c>
      <c r="EI106" s="109" t="str">
        <f t="shared" si="48"/>
        <v/>
      </c>
      <c r="EJ106" s="110" t="str">
        <f t="shared" si="187"/>
        <v/>
      </c>
      <c r="EL106" s="108" t="str">
        <f t="shared" si="49"/>
        <v/>
      </c>
      <c r="EM106" s="109" t="str">
        <f t="shared" si="126"/>
        <v/>
      </c>
      <c r="EN106" s="109" t="str">
        <f t="shared" si="50"/>
        <v/>
      </c>
      <c r="EO106" s="110" t="str">
        <f t="shared" si="127"/>
        <v/>
      </c>
      <c r="EQ106" s="108" t="str">
        <f t="shared" si="128"/>
        <v/>
      </c>
      <c r="ER106" s="109" t="str">
        <f t="shared" si="129"/>
        <v/>
      </c>
      <c r="ES106" s="109" t="str">
        <f t="shared" si="51"/>
        <v/>
      </c>
      <c r="ET106" s="110" t="str">
        <f t="shared" si="188"/>
        <v/>
      </c>
      <c r="EV106" s="108" t="str">
        <f t="shared" si="52"/>
        <v/>
      </c>
      <c r="EW106" s="109" t="str">
        <f t="shared" si="130"/>
        <v/>
      </c>
      <c r="EX106" s="109" t="str">
        <f t="shared" si="53"/>
        <v/>
      </c>
      <c r="EY106" s="110" t="str">
        <f t="shared" si="131"/>
        <v/>
      </c>
      <c r="FA106" s="108" t="str">
        <f t="shared" si="132"/>
        <v/>
      </c>
      <c r="FB106" s="109" t="str">
        <f t="shared" si="133"/>
        <v/>
      </c>
      <c r="FC106" s="109" t="str">
        <f t="shared" si="54"/>
        <v/>
      </c>
      <c r="FD106" s="110" t="str">
        <f t="shared" si="189"/>
        <v/>
      </c>
      <c r="FF106" s="108" t="str">
        <f t="shared" si="55"/>
        <v/>
      </c>
      <c r="FG106" s="109" t="str">
        <f t="shared" si="134"/>
        <v/>
      </c>
      <c r="FH106" s="109" t="str">
        <f t="shared" si="56"/>
        <v/>
      </c>
      <c r="FI106" s="110" t="str">
        <f t="shared" si="135"/>
        <v/>
      </c>
      <c r="FK106" s="108" t="str">
        <f t="shared" si="136"/>
        <v/>
      </c>
      <c r="FL106" s="109" t="str">
        <f t="shared" si="137"/>
        <v/>
      </c>
      <c r="FM106" s="109" t="str">
        <f t="shared" si="57"/>
        <v/>
      </c>
      <c r="FN106" s="110" t="str">
        <f t="shared" si="190"/>
        <v/>
      </c>
      <c r="FP106" s="108" t="str">
        <f t="shared" si="58"/>
        <v/>
      </c>
      <c r="FQ106" s="109" t="str">
        <f t="shared" si="138"/>
        <v/>
      </c>
      <c r="FR106" s="109" t="str">
        <f t="shared" si="59"/>
        <v/>
      </c>
      <c r="FS106" s="110" t="str">
        <f t="shared" si="139"/>
        <v/>
      </c>
      <c r="FU106" s="108" t="str">
        <f t="shared" si="140"/>
        <v/>
      </c>
      <c r="FV106" s="109" t="str">
        <f t="shared" si="141"/>
        <v/>
      </c>
      <c r="FW106" s="109" t="str">
        <f t="shared" si="60"/>
        <v/>
      </c>
      <c r="FX106" s="110" t="str">
        <f t="shared" si="191"/>
        <v/>
      </c>
      <c r="FZ106" s="108" t="str">
        <f t="shared" si="61"/>
        <v/>
      </c>
      <c r="GA106" s="109" t="str">
        <f t="shared" si="142"/>
        <v/>
      </c>
      <c r="GB106" s="109" t="str">
        <f t="shared" si="62"/>
        <v/>
      </c>
      <c r="GC106" s="110" t="str">
        <f t="shared" si="143"/>
        <v/>
      </c>
      <c r="GE106" s="108" t="str">
        <f t="shared" si="144"/>
        <v/>
      </c>
      <c r="GF106" s="109" t="str">
        <f t="shared" si="145"/>
        <v/>
      </c>
      <c r="GG106" s="109" t="str">
        <f t="shared" si="146"/>
        <v/>
      </c>
      <c r="GH106" s="110" t="str">
        <f t="shared" si="192"/>
        <v/>
      </c>
      <c r="GL106" s="108" t="str">
        <f t="shared" si="63"/>
        <v/>
      </c>
      <c r="GM106" s="109" t="str">
        <f t="shared" si="64"/>
        <v/>
      </c>
      <c r="GN106" s="109" t="str">
        <f t="shared" si="65"/>
        <v/>
      </c>
      <c r="GO106" s="110" t="str">
        <f t="shared" si="66"/>
        <v/>
      </c>
      <c r="GP106" s="51"/>
      <c r="GQ106" s="108" t="str">
        <f t="shared" si="67"/>
        <v/>
      </c>
      <c r="GR106" s="109" t="str">
        <f t="shared" si="147"/>
        <v/>
      </c>
      <c r="GS106" s="109" t="str">
        <f t="shared" si="68"/>
        <v/>
      </c>
      <c r="GT106" s="110" t="str">
        <f t="shared" si="69"/>
        <v/>
      </c>
      <c r="GU106" s="51"/>
      <c r="GV106" s="108" t="str">
        <f t="shared" si="148"/>
        <v/>
      </c>
      <c r="GW106" s="109" t="str">
        <f t="shared" si="149"/>
        <v/>
      </c>
      <c r="GX106" s="109" t="str">
        <f t="shared" si="70"/>
        <v/>
      </c>
      <c r="GY106" s="110" t="str">
        <f t="shared" si="150"/>
        <v/>
      </c>
      <c r="GZ106" s="51"/>
      <c r="HA106" s="108" t="str">
        <f t="shared" si="71"/>
        <v/>
      </c>
      <c r="HB106" s="109" t="str">
        <f t="shared" si="151"/>
        <v/>
      </c>
      <c r="HC106" s="109" t="str">
        <f t="shared" si="72"/>
        <v/>
      </c>
      <c r="HD106" s="110" t="str">
        <f t="shared" si="193"/>
        <v/>
      </c>
      <c r="HE106" s="51"/>
      <c r="HF106" s="108" t="str">
        <f t="shared" si="152"/>
        <v/>
      </c>
      <c r="HG106" s="109" t="str">
        <f t="shared" si="153"/>
        <v/>
      </c>
      <c r="HH106" s="109" t="str">
        <f t="shared" si="73"/>
        <v/>
      </c>
      <c r="HI106" s="110" t="str">
        <f t="shared" si="154"/>
        <v/>
      </c>
      <c r="HJ106" s="51"/>
      <c r="HK106" s="108" t="str">
        <f t="shared" si="74"/>
        <v/>
      </c>
      <c r="HL106" s="109" t="str">
        <f t="shared" si="155"/>
        <v/>
      </c>
      <c r="HM106" s="109" t="str">
        <f t="shared" si="75"/>
        <v/>
      </c>
      <c r="HN106" s="110" t="str">
        <f t="shared" si="194"/>
        <v/>
      </c>
      <c r="HO106" s="51"/>
      <c r="HP106" s="108" t="str">
        <f t="shared" si="156"/>
        <v/>
      </c>
      <c r="HQ106" s="109" t="str">
        <f t="shared" si="157"/>
        <v/>
      </c>
      <c r="HR106" s="109" t="str">
        <f t="shared" si="76"/>
        <v/>
      </c>
      <c r="HS106" s="110" t="str">
        <f t="shared" si="158"/>
        <v/>
      </c>
      <c r="HT106" s="51"/>
      <c r="HU106" s="108" t="str">
        <f t="shared" si="77"/>
        <v/>
      </c>
      <c r="HV106" s="109" t="str">
        <f t="shared" si="159"/>
        <v/>
      </c>
      <c r="HW106" s="109" t="str">
        <f t="shared" si="78"/>
        <v/>
      </c>
      <c r="HX106" s="110" t="str">
        <f t="shared" si="195"/>
        <v/>
      </c>
      <c r="HY106" s="51"/>
      <c r="HZ106" s="108" t="str">
        <f t="shared" si="160"/>
        <v/>
      </c>
      <c r="IA106" s="109" t="str">
        <f t="shared" si="161"/>
        <v/>
      </c>
      <c r="IB106" s="109" t="str">
        <f t="shared" si="79"/>
        <v/>
      </c>
      <c r="IC106" s="110" t="str">
        <f t="shared" si="162"/>
        <v/>
      </c>
      <c r="ID106" s="51"/>
      <c r="IE106" s="108" t="str">
        <f t="shared" si="80"/>
        <v/>
      </c>
      <c r="IF106" s="109" t="str">
        <f t="shared" si="163"/>
        <v/>
      </c>
      <c r="IG106" s="109" t="str">
        <f t="shared" si="81"/>
        <v/>
      </c>
      <c r="IH106" s="110" t="str">
        <f t="shared" si="196"/>
        <v/>
      </c>
      <c r="II106" s="51"/>
      <c r="IJ106" s="108" t="str">
        <f t="shared" si="164"/>
        <v/>
      </c>
      <c r="IK106" s="109" t="str">
        <f t="shared" si="165"/>
        <v/>
      </c>
      <c r="IL106" s="109" t="str">
        <f t="shared" si="82"/>
        <v/>
      </c>
      <c r="IM106" s="110" t="str">
        <f t="shared" si="166"/>
        <v/>
      </c>
      <c r="IN106" s="51"/>
      <c r="IO106" s="108" t="str">
        <f t="shared" si="83"/>
        <v/>
      </c>
      <c r="IP106" s="109" t="str">
        <f t="shared" si="167"/>
        <v/>
      </c>
      <c r="IQ106" s="109" t="str">
        <f t="shared" si="84"/>
        <v/>
      </c>
      <c r="IR106" s="110" t="str">
        <f t="shared" si="197"/>
        <v/>
      </c>
      <c r="IS106" s="51"/>
      <c r="IT106" s="108" t="str">
        <f t="shared" si="168"/>
        <v/>
      </c>
      <c r="IU106" s="109" t="str">
        <f t="shared" si="169"/>
        <v/>
      </c>
      <c r="IV106" s="109" t="str">
        <f t="shared" si="85"/>
        <v/>
      </c>
      <c r="IW106" s="110" t="str">
        <f t="shared" si="170"/>
        <v/>
      </c>
      <c r="IX106" s="51"/>
      <c r="IY106" s="108" t="str">
        <f t="shared" si="86"/>
        <v/>
      </c>
      <c r="IZ106" s="109" t="str">
        <f t="shared" si="171"/>
        <v/>
      </c>
      <c r="JA106" s="109" t="str">
        <f t="shared" si="87"/>
        <v/>
      </c>
      <c r="JB106" s="110" t="str">
        <f t="shared" si="198"/>
        <v/>
      </c>
      <c r="JC106" s="51"/>
      <c r="JD106" s="108" t="str">
        <f t="shared" si="172"/>
        <v/>
      </c>
      <c r="JE106" s="109" t="str">
        <f t="shared" si="173"/>
        <v/>
      </c>
      <c r="JF106" s="109" t="str">
        <f t="shared" si="88"/>
        <v/>
      </c>
      <c r="JG106" s="110" t="str">
        <f t="shared" si="174"/>
        <v/>
      </c>
      <c r="JH106" s="51"/>
      <c r="JI106" s="108" t="str">
        <f t="shared" si="89"/>
        <v/>
      </c>
      <c r="JJ106" s="109" t="str">
        <f t="shared" si="175"/>
        <v/>
      </c>
      <c r="JK106" s="109" t="str">
        <f t="shared" si="90"/>
        <v/>
      </c>
      <c r="JL106" s="110" t="str">
        <f t="shared" si="199"/>
        <v/>
      </c>
      <c r="JM106" s="51"/>
      <c r="JN106" s="108" t="str">
        <f t="shared" si="176"/>
        <v/>
      </c>
      <c r="JO106" s="109" t="str">
        <f t="shared" si="177"/>
        <v/>
      </c>
      <c r="JP106" s="109" t="str">
        <f t="shared" si="91"/>
        <v/>
      </c>
      <c r="JQ106" s="110" t="str">
        <f t="shared" si="178"/>
        <v/>
      </c>
      <c r="JR106" s="51"/>
      <c r="JS106" s="108" t="str">
        <f t="shared" si="92"/>
        <v/>
      </c>
      <c r="JT106" s="109" t="str">
        <f t="shared" si="179"/>
        <v/>
      </c>
      <c r="JU106" s="109" t="str">
        <f t="shared" si="93"/>
        <v/>
      </c>
      <c r="JV106" s="110" t="str">
        <f t="shared" si="200"/>
        <v/>
      </c>
      <c r="JW106" s="51"/>
      <c r="JX106" s="108" t="str">
        <f t="shared" si="180"/>
        <v/>
      </c>
      <c r="JY106" s="109" t="str">
        <f t="shared" si="181"/>
        <v/>
      </c>
      <c r="JZ106" s="109" t="str">
        <f t="shared" si="94"/>
        <v/>
      </c>
      <c r="KA106" s="110" t="str">
        <f t="shared" si="95"/>
        <v/>
      </c>
    </row>
    <row r="107" spans="1:287" ht="12" customHeight="1">
      <c r="A107" s="105">
        <f t="array" ref="A107">MAX(IF($J$80:J106&gt;0,$C$80:C106,0))</f>
        <v>43536</v>
      </c>
      <c r="B107" s="81" t="str">
        <f t="shared" si="4"/>
        <v/>
      </c>
      <c r="C107" s="82">
        <f t="shared" si="182"/>
        <v>0</v>
      </c>
      <c r="D107" s="83" t="str">
        <f t="shared" si="5"/>
        <v/>
      </c>
      <c r="E107" s="83" t="str">
        <f t="shared" si="96"/>
        <v/>
      </c>
      <c r="F107" s="83" t="str">
        <f t="shared" si="6"/>
        <v/>
      </c>
      <c r="G107" s="83" t="str">
        <f t="shared" si="7"/>
        <v/>
      </c>
      <c r="H107" s="83" t="str">
        <f t="shared" si="8"/>
        <v/>
      </c>
      <c r="I107" s="105">
        <f t="array" ref="I107">MAX(IF($R$80:R106&gt;0,$L$80:L106,0))</f>
        <v>0</v>
      </c>
      <c r="J107" s="106"/>
      <c r="K107" s="2" t="str">
        <f t="shared" si="9"/>
        <v/>
      </c>
      <c r="L107" s="82">
        <f t="shared" si="183"/>
        <v>0</v>
      </c>
      <c r="M107" s="83" t="str">
        <f t="shared" si="97"/>
        <v/>
      </c>
      <c r="N107" s="83" t="str">
        <f t="shared" si="10"/>
        <v/>
      </c>
      <c r="O107" s="83" t="str">
        <f t="shared" si="11"/>
        <v/>
      </c>
      <c r="P107" s="83" t="str">
        <f t="shared" si="12"/>
        <v/>
      </c>
      <c r="Q107" s="83" t="str">
        <f t="shared" si="13"/>
        <v/>
      </c>
      <c r="R107" s="106"/>
      <c r="S107" s="1"/>
      <c r="U107" s="85" t="e">
        <f t="shared" si="0"/>
        <v>#NUM!</v>
      </c>
      <c r="V107" s="86" t="e">
        <f t="shared" si="98"/>
        <v>#NUM!</v>
      </c>
      <c r="W107" s="87" t="e">
        <f t="shared" si="14"/>
        <v>#NUM!</v>
      </c>
      <c r="X107" s="87" t="e">
        <f t="shared" si="15"/>
        <v>#NUM!</v>
      </c>
      <c r="Y107" s="87" t="e">
        <f t="shared" si="16"/>
        <v>#NUM!</v>
      </c>
      <c r="Z107" s="88" t="e">
        <f t="shared" si="1"/>
        <v>#NUM!</v>
      </c>
      <c r="AB107" s="89">
        <f t="shared" si="99"/>
        <v>0</v>
      </c>
      <c r="AC107" s="87">
        <f t="shared" si="100"/>
        <v>0</v>
      </c>
      <c r="AD107" s="87" t="str">
        <f t="shared" si="17"/>
        <v/>
      </c>
      <c r="AE107" s="87" t="str">
        <f t="shared" si="18"/>
        <v/>
      </c>
      <c r="AF107" s="86">
        <f t="shared" si="101"/>
        <v>0</v>
      </c>
      <c r="AG107" s="87">
        <f t="shared" si="2"/>
        <v>0</v>
      </c>
      <c r="AH107" s="87">
        <f t="shared" si="102"/>
        <v>0</v>
      </c>
      <c r="AI107" s="90"/>
      <c r="AJ107" s="87" t="e">
        <f t="shared" si="19"/>
        <v>#NUM!</v>
      </c>
      <c r="AK107" s="87" t="e">
        <f t="shared" si="103"/>
        <v>#NUM!</v>
      </c>
      <c r="AL107" s="87" t="e">
        <f t="shared" si="104"/>
        <v>#NUM!</v>
      </c>
      <c r="AM107" s="87" t="e">
        <f t="shared" si="105"/>
        <v>#NUM!</v>
      </c>
      <c r="AN107" s="86">
        <f t="shared" si="20"/>
        <v>0</v>
      </c>
      <c r="AO107" s="87">
        <f t="shared" si="21"/>
        <v>0</v>
      </c>
      <c r="AP107" s="88">
        <f t="shared" si="22"/>
        <v>0</v>
      </c>
      <c r="AR107" s="89">
        <f t="shared" si="23"/>
        <v>0</v>
      </c>
      <c r="AS107" s="87">
        <f t="shared" si="24"/>
        <v>0</v>
      </c>
      <c r="AT107" s="87" t="str">
        <f t="shared" si="25"/>
        <v/>
      </c>
      <c r="AU107" s="87" t="str">
        <f t="shared" si="26"/>
        <v/>
      </c>
      <c r="AV107" s="86">
        <f t="shared" si="106"/>
        <v>0</v>
      </c>
      <c r="AW107" s="87">
        <f t="shared" si="107"/>
        <v>0</v>
      </c>
      <c r="AX107" s="87">
        <f t="shared" si="108"/>
        <v>0</v>
      </c>
      <c r="AY107" s="93"/>
      <c r="AZ107" s="87">
        <f t="shared" si="201"/>
        <v>0</v>
      </c>
      <c r="BA107" s="87">
        <f t="shared" si="109"/>
        <v>0</v>
      </c>
      <c r="BB107" s="87">
        <f t="shared" si="110"/>
        <v>0</v>
      </c>
      <c r="BC107" s="87">
        <f t="shared" si="184"/>
        <v>0</v>
      </c>
      <c r="BD107" s="86" t="e">
        <f t="shared" si="27"/>
        <v>#NUM!</v>
      </c>
      <c r="BE107" s="87" t="e">
        <f t="shared" si="3"/>
        <v>#NUM!</v>
      </c>
      <c r="BF107" s="88">
        <f t="shared" si="111"/>
        <v>0</v>
      </c>
      <c r="BH107" s="87" t="e">
        <f t="shared" si="28"/>
        <v>#NUM!</v>
      </c>
      <c r="BK107" s="95">
        <v>40100</v>
      </c>
      <c r="BL107" s="96">
        <v>28</v>
      </c>
      <c r="BT107" s="51">
        <v>20000.009999999998</v>
      </c>
      <c r="BU107" s="51">
        <v>30000</v>
      </c>
      <c r="BV107" s="30" t="str">
        <f t="shared" si="204"/>
        <v>20000.01-30000</v>
      </c>
      <c r="BW107" s="30" t="s">
        <v>497</v>
      </c>
      <c r="BX107" s="30">
        <v>0.2</v>
      </c>
      <c r="BY107" s="107">
        <v>0.2</v>
      </c>
      <c r="BZ107" s="107">
        <v>0.2</v>
      </c>
      <c r="CA107" s="107">
        <v>0.23499999999999999</v>
      </c>
      <c r="CB107" s="107">
        <v>0.24</v>
      </c>
      <c r="CC107" s="107">
        <v>0.245</v>
      </c>
      <c r="CD107" s="107">
        <v>0.25</v>
      </c>
      <c r="CE107" s="30" t="s">
        <v>497</v>
      </c>
      <c r="CF107" s="107">
        <v>2.5000000000000001E-2</v>
      </c>
      <c r="CG107" s="107">
        <v>1.6E-2</v>
      </c>
      <c r="CS107" s="108" t="str">
        <f t="shared" si="29"/>
        <v/>
      </c>
      <c r="CT107" s="109" t="str">
        <f t="shared" si="30"/>
        <v/>
      </c>
      <c r="CU107" s="109" t="str">
        <f t="shared" si="31"/>
        <v/>
      </c>
      <c r="CV107" s="110" t="str">
        <f t="shared" si="32"/>
        <v/>
      </c>
      <c r="CX107" s="108" t="str">
        <f t="shared" si="33"/>
        <v/>
      </c>
      <c r="CY107" s="109" t="str">
        <f t="shared" si="113"/>
        <v/>
      </c>
      <c r="CZ107" s="109" t="str">
        <f t="shared" si="34"/>
        <v/>
      </c>
      <c r="DA107" s="110" t="str">
        <f t="shared" si="35"/>
        <v/>
      </c>
      <c r="DC107" s="108" t="str">
        <f t="shared" si="114"/>
        <v/>
      </c>
      <c r="DD107" s="109" t="str">
        <f t="shared" si="115"/>
        <v/>
      </c>
      <c r="DE107" s="109" t="str">
        <f t="shared" si="36"/>
        <v/>
      </c>
      <c r="DF107" s="110" t="str">
        <f t="shared" si="37"/>
        <v/>
      </c>
      <c r="DH107" s="108" t="str">
        <f t="shared" si="38"/>
        <v/>
      </c>
      <c r="DI107" s="109" t="str">
        <f t="shared" si="39"/>
        <v/>
      </c>
      <c r="DJ107" s="109" t="str">
        <f t="shared" si="40"/>
        <v/>
      </c>
      <c r="DK107" s="110" t="str">
        <f t="shared" si="41"/>
        <v/>
      </c>
      <c r="DM107" s="108" t="str">
        <f t="shared" si="116"/>
        <v/>
      </c>
      <c r="DN107" s="109" t="str">
        <f t="shared" si="117"/>
        <v/>
      </c>
      <c r="DO107" s="109" t="str">
        <f t="shared" si="42"/>
        <v/>
      </c>
      <c r="DP107" s="110" t="str">
        <f t="shared" si="185"/>
        <v/>
      </c>
      <c r="DR107" s="108" t="str">
        <f t="shared" si="43"/>
        <v/>
      </c>
      <c r="DS107" s="109" t="str">
        <f t="shared" si="118"/>
        <v/>
      </c>
      <c r="DT107" s="109" t="str">
        <f t="shared" si="44"/>
        <v/>
      </c>
      <c r="DU107" s="110" t="str">
        <f t="shared" si="119"/>
        <v/>
      </c>
      <c r="DW107" s="108" t="str">
        <f t="shared" si="120"/>
        <v/>
      </c>
      <c r="DX107" s="109" t="str">
        <f t="shared" si="121"/>
        <v/>
      </c>
      <c r="DY107" s="109" t="str">
        <f t="shared" si="45"/>
        <v/>
      </c>
      <c r="DZ107" s="110" t="str">
        <f t="shared" si="186"/>
        <v/>
      </c>
      <c r="EB107" s="108" t="str">
        <f t="shared" si="46"/>
        <v/>
      </c>
      <c r="EC107" s="109" t="str">
        <f t="shared" si="122"/>
        <v/>
      </c>
      <c r="ED107" s="109" t="str">
        <f t="shared" si="47"/>
        <v/>
      </c>
      <c r="EE107" s="110" t="str">
        <f t="shared" si="123"/>
        <v/>
      </c>
      <c r="EG107" s="108" t="str">
        <f t="shared" si="124"/>
        <v/>
      </c>
      <c r="EH107" s="109" t="str">
        <f t="shared" si="125"/>
        <v/>
      </c>
      <c r="EI107" s="109" t="str">
        <f t="shared" si="48"/>
        <v/>
      </c>
      <c r="EJ107" s="110" t="str">
        <f t="shared" si="187"/>
        <v/>
      </c>
      <c r="EL107" s="108" t="str">
        <f t="shared" si="49"/>
        <v/>
      </c>
      <c r="EM107" s="109" t="str">
        <f t="shared" si="126"/>
        <v/>
      </c>
      <c r="EN107" s="109" t="str">
        <f t="shared" si="50"/>
        <v/>
      </c>
      <c r="EO107" s="110" t="str">
        <f t="shared" si="127"/>
        <v/>
      </c>
      <c r="EQ107" s="108" t="str">
        <f t="shared" si="128"/>
        <v/>
      </c>
      <c r="ER107" s="109" t="str">
        <f t="shared" si="129"/>
        <v/>
      </c>
      <c r="ES107" s="109" t="str">
        <f t="shared" si="51"/>
        <v/>
      </c>
      <c r="ET107" s="110" t="str">
        <f t="shared" si="188"/>
        <v/>
      </c>
      <c r="EV107" s="108" t="str">
        <f t="shared" si="52"/>
        <v/>
      </c>
      <c r="EW107" s="109" t="str">
        <f t="shared" si="130"/>
        <v/>
      </c>
      <c r="EX107" s="109" t="str">
        <f t="shared" si="53"/>
        <v/>
      </c>
      <c r="EY107" s="110" t="str">
        <f t="shared" si="131"/>
        <v/>
      </c>
      <c r="FA107" s="108" t="str">
        <f t="shared" si="132"/>
        <v/>
      </c>
      <c r="FB107" s="109" t="str">
        <f t="shared" si="133"/>
        <v/>
      </c>
      <c r="FC107" s="109" t="str">
        <f t="shared" si="54"/>
        <v/>
      </c>
      <c r="FD107" s="110" t="str">
        <f t="shared" si="189"/>
        <v/>
      </c>
      <c r="FF107" s="108" t="str">
        <f t="shared" si="55"/>
        <v/>
      </c>
      <c r="FG107" s="109" t="str">
        <f t="shared" si="134"/>
        <v/>
      </c>
      <c r="FH107" s="109" t="str">
        <f t="shared" si="56"/>
        <v/>
      </c>
      <c r="FI107" s="110" t="str">
        <f t="shared" si="135"/>
        <v/>
      </c>
      <c r="FK107" s="108" t="str">
        <f t="shared" si="136"/>
        <v/>
      </c>
      <c r="FL107" s="109" t="str">
        <f t="shared" si="137"/>
        <v/>
      </c>
      <c r="FM107" s="109" t="str">
        <f t="shared" si="57"/>
        <v/>
      </c>
      <c r="FN107" s="110" t="str">
        <f t="shared" si="190"/>
        <v/>
      </c>
      <c r="FP107" s="108" t="str">
        <f t="shared" si="58"/>
        <v/>
      </c>
      <c r="FQ107" s="109" t="str">
        <f t="shared" si="138"/>
        <v/>
      </c>
      <c r="FR107" s="109" t="str">
        <f t="shared" si="59"/>
        <v/>
      </c>
      <c r="FS107" s="110" t="str">
        <f t="shared" si="139"/>
        <v/>
      </c>
      <c r="FU107" s="108" t="str">
        <f t="shared" si="140"/>
        <v/>
      </c>
      <c r="FV107" s="109" t="str">
        <f t="shared" si="141"/>
        <v/>
      </c>
      <c r="FW107" s="109" t="str">
        <f t="shared" si="60"/>
        <v/>
      </c>
      <c r="FX107" s="110" t="str">
        <f t="shared" si="191"/>
        <v/>
      </c>
      <c r="FZ107" s="108" t="str">
        <f t="shared" si="61"/>
        <v/>
      </c>
      <c r="GA107" s="109" t="str">
        <f t="shared" si="142"/>
        <v/>
      </c>
      <c r="GB107" s="109" t="str">
        <f t="shared" si="62"/>
        <v/>
      </c>
      <c r="GC107" s="110" t="str">
        <f t="shared" si="143"/>
        <v/>
      </c>
      <c r="GE107" s="108" t="str">
        <f t="shared" si="144"/>
        <v/>
      </c>
      <c r="GF107" s="109" t="str">
        <f t="shared" si="145"/>
        <v/>
      </c>
      <c r="GG107" s="109" t="str">
        <f t="shared" si="146"/>
        <v/>
      </c>
      <c r="GH107" s="110" t="str">
        <f t="shared" si="192"/>
        <v/>
      </c>
      <c r="GL107" s="108" t="str">
        <f t="shared" si="63"/>
        <v/>
      </c>
      <c r="GM107" s="109" t="str">
        <f t="shared" si="64"/>
        <v/>
      </c>
      <c r="GN107" s="109" t="str">
        <f t="shared" si="65"/>
        <v/>
      </c>
      <c r="GO107" s="110" t="str">
        <f t="shared" si="66"/>
        <v/>
      </c>
      <c r="GP107" s="51"/>
      <c r="GQ107" s="108" t="str">
        <f t="shared" si="67"/>
        <v/>
      </c>
      <c r="GR107" s="109" t="str">
        <f t="shared" si="147"/>
        <v/>
      </c>
      <c r="GS107" s="109" t="str">
        <f t="shared" si="68"/>
        <v/>
      </c>
      <c r="GT107" s="110" t="str">
        <f t="shared" si="69"/>
        <v/>
      </c>
      <c r="GU107" s="51"/>
      <c r="GV107" s="108" t="str">
        <f t="shared" si="148"/>
        <v/>
      </c>
      <c r="GW107" s="109" t="str">
        <f t="shared" si="149"/>
        <v/>
      </c>
      <c r="GX107" s="109" t="str">
        <f t="shared" si="70"/>
        <v/>
      </c>
      <c r="GY107" s="110" t="str">
        <f t="shared" si="150"/>
        <v/>
      </c>
      <c r="GZ107" s="51"/>
      <c r="HA107" s="108" t="str">
        <f t="shared" si="71"/>
        <v/>
      </c>
      <c r="HB107" s="109" t="str">
        <f t="shared" si="151"/>
        <v/>
      </c>
      <c r="HC107" s="109" t="str">
        <f t="shared" si="72"/>
        <v/>
      </c>
      <c r="HD107" s="110" t="str">
        <f t="shared" si="193"/>
        <v/>
      </c>
      <c r="HE107" s="51"/>
      <c r="HF107" s="108" t="str">
        <f t="shared" si="152"/>
        <v/>
      </c>
      <c r="HG107" s="109" t="str">
        <f t="shared" si="153"/>
        <v/>
      </c>
      <c r="HH107" s="109" t="str">
        <f t="shared" si="73"/>
        <v/>
      </c>
      <c r="HI107" s="110" t="str">
        <f t="shared" si="154"/>
        <v/>
      </c>
      <c r="HJ107" s="51"/>
      <c r="HK107" s="108" t="str">
        <f t="shared" si="74"/>
        <v/>
      </c>
      <c r="HL107" s="109" t="str">
        <f t="shared" si="155"/>
        <v/>
      </c>
      <c r="HM107" s="109" t="str">
        <f t="shared" si="75"/>
        <v/>
      </c>
      <c r="HN107" s="110" t="str">
        <f t="shared" si="194"/>
        <v/>
      </c>
      <c r="HO107" s="51"/>
      <c r="HP107" s="108" t="str">
        <f t="shared" si="156"/>
        <v/>
      </c>
      <c r="HQ107" s="109" t="str">
        <f t="shared" si="157"/>
        <v/>
      </c>
      <c r="HR107" s="109" t="str">
        <f t="shared" si="76"/>
        <v/>
      </c>
      <c r="HS107" s="110" t="str">
        <f t="shared" si="158"/>
        <v/>
      </c>
      <c r="HT107" s="51"/>
      <c r="HU107" s="108" t="str">
        <f t="shared" si="77"/>
        <v/>
      </c>
      <c r="HV107" s="109" t="str">
        <f t="shared" si="159"/>
        <v/>
      </c>
      <c r="HW107" s="109" t="str">
        <f t="shared" si="78"/>
        <v/>
      </c>
      <c r="HX107" s="110" t="str">
        <f t="shared" si="195"/>
        <v/>
      </c>
      <c r="HY107" s="51"/>
      <c r="HZ107" s="108" t="str">
        <f t="shared" si="160"/>
        <v/>
      </c>
      <c r="IA107" s="109" t="str">
        <f t="shared" si="161"/>
        <v/>
      </c>
      <c r="IB107" s="109" t="str">
        <f t="shared" si="79"/>
        <v/>
      </c>
      <c r="IC107" s="110" t="str">
        <f t="shared" si="162"/>
        <v/>
      </c>
      <c r="ID107" s="51"/>
      <c r="IE107" s="108" t="str">
        <f t="shared" si="80"/>
        <v/>
      </c>
      <c r="IF107" s="109" t="str">
        <f t="shared" si="163"/>
        <v/>
      </c>
      <c r="IG107" s="109" t="str">
        <f t="shared" si="81"/>
        <v/>
      </c>
      <c r="IH107" s="110" t="str">
        <f t="shared" si="196"/>
        <v/>
      </c>
      <c r="II107" s="51"/>
      <c r="IJ107" s="108" t="str">
        <f t="shared" si="164"/>
        <v/>
      </c>
      <c r="IK107" s="109" t="str">
        <f t="shared" si="165"/>
        <v/>
      </c>
      <c r="IL107" s="109" t="str">
        <f t="shared" si="82"/>
        <v/>
      </c>
      <c r="IM107" s="110" t="str">
        <f t="shared" si="166"/>
        <v/>
      </c>
      <c r="IN107" s="51"/>
      <c r="IO107" s="108" t="str">
        <f t="shared" si="83"/>
        <v/>
      </c>
      <c r="IP107" s="109" t="str">
        <f t="shared" si="167"/>
        <v/>
      </c>
      <c r="IQ107" s="109" t="str">
        <f t="shared" si="84"/>
        <v/>
      </c>
      <c r="IR107" s="110" t="str">
        <f t="shared" si="197"/>
        <v/>
      </c>
      <c r="IS107" s="51"/>
      <c r="IT107" s="108" t="str">
        <f t="shared" si="168"/>
        <v/>
      </c>
      <c r="IU107" s="109" t="str">
        <f t="shared" si="169"/>
        <v/>
      </c>
      <c r="IV107" s="109" t="str">
        <f t="shared" si="85"/>
        <v/>
      </c>
      <c r="IW107" s="110" t="str">
        <f t="shared" si="170"/>
        <v/>
      </c>
      <c r="IX107" s="51"/>
      <c r="IY107" s="108" t="str">
        <f t="shared" si="86"/>
        <v/>
      </c>
      <c r="IZ107" s="109" t="str">
        <f t="shared" si="171"/>
        <v/>
      </c>
      <c r="JA107" s="109" t="str">
        <f t="shared" si="87"/>
        <v/>
      </c>
      <c r="JB107" s="110" t="str">
        <f t="shared" si="198"/>
        <v/>
      </c>
      <c r="JC107" s="51"/>
      <c r="JD107" s="108" t="str">
        <f t="shared" si="172"/>
        <v/>
      </c>
      <c r="JE107" s="109" t="str">
        <f t="shared" si="173"/>
        <v/>
      </c>
      <c r="JF107" s="109" t="str">
        <f t="shared" si="88"/>
        <v/>
      </c>
      <c r="JG107" s="110" t="str">
        <f t="shared" si="174"/>
        <v/>
      </c>
      <c r="JH107" s="51"/>
      <c r="JI107" s="108" t="str">
        <f t="shared" si="89"/>
        <v/>
      </c>
      <c r="JJ107" s="109" t="str">
        <f t="shared" si="175"/>
        <v/>
      </c>
      <c r="JK107" s="109" t="str">
        <f t="shared" si="90"/>
        <v/>
      </c>
      <c r="JL107" s="110" t="str">
        <f t="shared" si="199"/>
        <v/>
      </c>
      <c r="JM107" s="51"/>
      <c r="JN107" s="108" t="str">
        <f t="shared" si="176"/>
        <v/>
      </c>
      <c r="JO107" s="109" t="str">
        <f t="shared" si="177"/>
        <v/>
      </c>
      <c r="JP107" s="109" t="str">
        <f t="shared" si="91"/>
        <v/>
      </c>
      <c r="JQ107" s="110" t="str">
        <f t="shared" si="178"/>
        <v/>
      </c>
      <c r="JR107" s="51"/>
      <c r="JS107" s="108" t="str">
        <f t="shared" si="92"/>
        <v/>
      </c>
      <c r="JT107" s="109" t="str">
        <f t="shared" si="179"/>
        <v/>
      </c>
      <c r="JU107" s="109" t="str">
        <f t="shared" si="93"/>
        <v/>
      </c>
      <c r="JV107" s="110" t="str">
        <f t="shared" si="200"/>
        <v/>
      </c>
      <c r="JW107" s="51"/>
      <c r="JX107" s="108" t="str">
        <f t="shared" si="180"/>
        <v/>
      </c>
      <c r="JY107" s="109" t="str">
        <f t="shared" si="181"/>
        <v/>
      </c>
      <c r="JZ107" s="109" t="str">
        <f t="shared" si="94"/>
        <v/>
      </c>
      <c r="KA107" s="110" t="str">
        <f t="shared" si="95"/>
        <v/>
      </c>
    </row>
    <row r="108" spans="1:287" ht="12" customHeight="1">
      <c r="A108" s="105">
        <f t="array" ref="A108">MAX(IF($J$80:J107&gt;0,$C$80:C107,0))</f>
        <v>43536</v>
      </c>
      <c r="B108" s="81" t="str">
        <f t="shared" si="4"/>
        <v/>
      </c>
      <c r="C108" s="82">
        <f t="shared" si="182"/>
        <v>0</v>
      </c>
      <c r="D108" s="83" t="str">
        <f t="shared" si="5"/>
        <v/>
      </c>
      <c r="E108" s="83" t="str">
        <f t="shared" si="96"/>
        <v/>
      </c>
      <c r="F108" s="83" t="str">
        <f t="shared" si="6"/>
        <v/>
      </c>
      <c r="G108" s="83" t="str">
        <f t="shared" si="7"/>
        <v/>
      </c>
      <c r="H108" s="83" t="str">
        <f t="shared" si="8"/>
        <v/>
      </c>
      <c r="I108" s="105">
        <f t="array" ref="I108">MAX(IF($R$80:R107&gt;0,$L$80:L107,0))</f>
        <v>0</v>
      </c>
      <c r="J108" s="106"/>
      <c r="K108" s="2" t="str">
        <f t="shared" si="9"/>
        <v/>
      </c>
      <c r="L108" s="82">
        <f t="shared" si="183"/>
        <v>0</v>
      </c>
      <c r="M108" s="83" t="str">
        <f t="shared" si="97"/>
        <v/>
      </c>
      <c r="N108" s="83" t="str">
        <f t="shared" si="10"/>
        <v/>
      </c>
      <c r="O108" s="83" t="str">
        <f t="shared" si="11"/>
        <v/>
      </c>
      <c r="P108" s="83" t="str">
        <f t="shared" si="12"/>
        <v/>
      </c>
      <c r="Q108" s="83" t="str">
        <f t="shared" si="13"/>
        <v/>
      </c>
      <c r="R108" s="106"/>
      <c r="S108" s="1"/>
      <c r="U108" s="85" t="e">
        <f t="shared" si="0"/>
        <v>#NUM!</v>
      </c>
      <c r="V108" s="86" t="e">
        <f t="shared" si="98"/>
        <v>#NUM!</v>
      </c>
      <c r="W108" s="87" t="e">
        <f t="shared" si="14"/>
        <v>#NUM!</v>
      </c>
      <c r="X108" s="87" t="e">
        <f t="shared" si="15"/>
        <v>#NUM!</v>
      </c>
      <c r="Y108" s="87" t="e">
        <f t="shared" si="16"/>
        <v>#NUM!</v>
      </c>
      <c r="Z108" s="88" t="e">
        <f t="shared" si="1"/>
        <v>#NUM!</v>
      </c>
      <c r="AB108" s="89">
        <f t="shared" si="99"/>
        <v>0</v>
      </c>
      <c r="AC108" s="87">
        <f t="shared" si="100"/>
        <v>0</v>
      </c>
      <c r="AD108" s="87" t="str">
        <f t="shared" si="17"/>
        <v/>
      </c>
      <c r="AE108" s="87" t="str">
        <f t="shared" si="18"/>
        <v/>
      </c>
      <c r="AF108" s="86">
        <f t="shared" si="101"/>
        <v>0</v>
      </c>
      <c r="AG108" s="87">
        <f t="shared" si="2"/>
        <v>0</v>
      </c>
      <c r="AH108" s="87">
        <f t="shared" si="102"/>
        <v>0</v>
      </c>
      <c r="AI108" s="90"/>
      <c r="AJ108" s="87" t="e">
        <f t="shared" si="19"/>
        <v>#NUM!</v>
      </c>
      <c r="AK108" s="87" t="e">
        <f t="shared" si="103"/>
        <v>#NUM!</v>
      </c>
      <c r="AL108" s="87" t="e">
        <f t="shared" si="104"/>
        <v>#NUM!</v>
      </c>
      <c r="AM108" s="87" t="e">
        <f t="shared" si="105"/>
        <v>#NUM!</v>
      </c>
      <c r="AN108" s="86">
        <f t="shared" si="20"/>
        <v>0</v>
      </c>
      <c r="AO108" s="87">
        <f t="shared" si="21"/>
        <v>0</v>
      </c>
      <c r="AP108" s="88">
        <f t="shared" si="22"/>
        <v>0</v>
      </c>
      <c r="AR108" s="89">
        <f t="shared" si="23"/>
        <v>0</v>
      </c>
      <c r="AS108" s="87">
        <f t="shared" si="24"/>
        <v>0</v>
      </c>
      <c r="AT108" s="87" t="str">
        <f t="shared" si="25"/>
        <v/>
      </c>
      <c r="AU108" s="87" t="str">
        <f t="shared" si="26"/>
        <v/>
      </c>
      <c r="AV108" s="86">
        <f t="shared" si="106"/>
        <v>0</v>
      </c>
      <c r="AW108" s="87">
        <f t="shared" si="107"/>
        <v>0</v>
      </c>
      <c r="AX108" s="87">
        <f t="shared" si="108"/>
        <v>0</v>
      </c>
      <c r="AY108" s="93"/>
      <c r="AZ108" s="87">
        <f t="shared" si="201"/>
        <v>0</v>
      </c>
      <c r="BA108" s="87">
        <f t="shared" si="109"/>
        <v>0</v>
      </c>
      <c r="BB108" s="87">
        <f t="shared" si="110"/>
        <v>0</v>
      </c>
      <c r="BC108" s="87">
        <f t="shared" si="184"/>
        <v>0</v>
      </c>
      <c r="BD108" s="86" t="e">
        <f t="shared" si="27"/>
        <v>#NUM!</v>
      </c>
      <c r="BE108" s="87" t="e">
        <f t="shared" si="3"/>
        <v>#NUM!</v>
      </c>
      <c r="BF108" s="88">
        <f t="shared" si="111"/>
        <v>0</v>
      </c>
      <c r="BH108" s="87" t="e">
        <f t="shared" si="28"/>
        <v>#NUM!</v>
      </c>
      <c r="BK108" s="95">
        <v>40140</v>
      </c>
      <c r="BL108" s="96">
        <v>29</v>
      </c>
      <c r="BT108" s="51">
        <v>30000.01</v>
      </c>
      <c r="BU108" s="51">
        <v>40000</v>
      </c>
      <c r="BV108" s="30" t="str">
        <f t="shared" si="204"/>
        <v>30000.01-40000</v>
      </c>
      <c r="BW108" s="30" t="s">
        <v>497</v>
      </c>
      <c r="BX108" s="30">
        <v>0.19</v>
      </c>
      <c r="BY108" s="107">
        <v>0.19</v>
      </c>
      <c r="BZ108" s="107">
        <v>0.19</v>
      </c>
      <c r="CA108" s="107">
        <v>0.21000000000000002</v>
      </c>
      <c r="CB108" s="107">
        <v>0.21500000000000002</v>
      </c>
      <c r="CC108" s="107">
        <v>0.22000000000000003</v>
      </c>
      <c r="CD108" s="107">
        <v>0.22000000000000003</v>
      </c>
      <c r="CE108" s="30" t="s">
        <v>497</v>
      </c>
      <c r="CF108" s="107">
        <v>1.4999999999999999E-2</v>
      </c>
      <c r="CG108" s="107">
        <v>1.6E-2</v>
      </c>
      <c r="CS108" s="108" t="str">
        <f t="shared" si="29"/>
        <v/>
      </c>
      <c r="CT108" s="109" t="str">
        <f t="shared" si="30"/>
        <v/>
      </c>
      <c r="CU108" s="109" t="str">
        <f t="shared" si="31"/>
        <v/>
      </c>
      <c r="CV108" s="110" t="str">
        <f t="shared" si="32"/>
        <v/>
      </c>
      <c r="CX108" s="108" t="str">
        <f t="shared" si="33"/>
        <v/>
      </c>
      <c r="CY108" s="109" t="str">
        <f t="shared" si="113"/>
        <v/>
      </c>
      <c r="CZ108" s="109" t="str">
        <f t="shared" si="34"/>
        <v/>
      </c>
      <c r="DA108" s="110" t="str">
        <f t="shared" si="35"/>
        <v/>
      </c>
      <c r="DC108" s="108" t="str">
        <f t="shared" si="114"/>
        <v/>
      </c>
      <c r="DD108" s="109" t="str">
        <f t="shared" si="115"/>
        <v/>
      </c>
      <c r="DE108" s="109" t="str">
        <f t="shared" si="36"/>
        <v/>
      </c>
      <c r="DF108" s="110" t="str">
        <f t="shared" si="37"/>
        <v/>
      </c>
      <c r="DH108" s="108" t="str">
        <f t="shared" si="38"/>
        <v/>
      </c>
      <c r="DI108" s="109" t="str">
        <f t="shared" si="39"/>
        <v/>
      </c>
      <c r="DJ108" s="109" t="str">
        <f t="shared" si="40"/>
        <v/>
      </c>
      <c r="DK108" s="110" t="str">
        <f t="shared" si="41"/>
        <v/>
      </c>
      <c r="DM108" s="108" t="str">
        <f t="shared" si="116"/>
        <v/>
      </c>
      <c r="DN108" s="109" t="str">
        <f t="shared" si="117"/>
        <v/>
      </c>
      <c r="DO108" s="109" t="str">
        <f t="shared" si="42"/>
        <v/>
      </c>
      <c r="DP108" s="110" t="str">
        <f t="shared" si="185"/>
        <v/>
      </c>
      <c r="DR108" s="108" t="str">
        <f t="shared" si="43"/>
        <v/>
      </c>
      <c r="DS108" s="109" t="str">
        <f t="shared" si="118"/>
        <v/>
      </c>
      <c r="DT108" s="109" t="str">
        <f t="shared" si="44"/>
        <v/>
      </c>
      <c r="DU108" s="110" t="str">
        <f t="shared" si="119"/>
        <v/>
      </c>
      <c r="DW108" s="108" t="str">
        <f t="shared" si="120"/>
        <v/>
      </c>
      <c r="DX108" s="109" t="str">
        <f t="shared" si="121"/>
        <v/>
      </c>
      <c r="DY108" s="109" t="str">
        <f t="shared" si="45"/>
        <v/>
      </c>
      <c r="DZ108" s="110" t="str">
        <f t="shared" si="186"/>
        <v/>
      </c>
      <c r="EB108" s="108" t="str">
        <f t="shared" si="46"/>
        <v/>
      </c>
      <c r="EC108" s="109" t="str">
        <f t="shared" si="122"/>
        <v/>
      </c>
      <c r="ED108" s="109" t="str">
        <f t="shared" si="47"/>
        <v/>
      </c>
      <c r="EE108" s="110" t="str">
        <f t="shared" si="123"/>
        <v/>
      </c>
      <c r="EG108" s="108" t="str">
        <f t="shared" si="124"/>
        <v/>
      </c>
      <c r="EH108" s="109" t="str">
        <f t="shared" si="125"/>
        <v/>
      </c>
      <c r="EI108" s="109" t="str">
        <f t="shared" si="48"/>
        <v/>
      </c>
      <c r="EJ108" s="110" t="str">
        <f t="shared" si="187"/>
        <v/>
      </c>
      <c r="EL108" s="108" t="str">
        <f t="shared" si="49"/>
        <v/>
      </c>
      <c r="EM108" s="109" t="str">
        <f t="shared" si="126"/>
        <v/>
      </c>
      <c r="EN108" s="109" t="str">
        <f t="shared" si="50"/>
        <v/>
      </c>
      <c r="EO108" s="110" t="str">
        <f t="shared" si="127"/>
        <v/>
      </c>
      <c r="EQ108" s="108" t="str">
        <f t="shared" si="128"/>
        <v/>
      </c>
      <c r="ER108" s="109" t="str">
        <f t="shared" si="129"/>
        <v/>
      </c>
      <c r="ES108" s="109" t="str">
        <f t="shared" si="51"/>
        <v/>
      </c>
      <c r="ET108" s="110" t="str">
        <f t="shared" si="188"/>
        <v/>
      </c>
      <c r="EV108" s="108" t="str">
        <f t="shared" si="52"/>
        <v/>
      </c>
      <c r="EW108" s="109" t="str">
        <f t="shared" si="130"/>
        <v/>
      </c>
      <c r="EX108" s="109" t="str">
        <f t="shared" si="53"/>
        <v/>
      </c>
      <c r="EY108" s="110" t="str">
        <f t="shared" si="131"/>
        <v/>
      </c>
      <c r="FA108" s="108" t="str">
        <f t="shared" si="132"/>
        <v/>
      </c>
      <c r="FB108" s="109" t="str">
        <f t="shared" si="133"/>
        <v/>
      </c>
      <c r="FC108" s="109" t="str">
        <f t="shared" si="54"/>
        <v/>
      </c>
      <c r="FD108" s="110" t="str">
        <f t="shared" si="189"/>
        <v/>
      </c>
      <c r="FF108" s="108" t="str">
        <f t="shared" si="55"/>
        <v/>
      </c>
      <c r="FG108" s="109" t="str">
        <f t="shared" si="134"/>
        <v/>
      </c>
      <c r="FH108" s="109" t="str">
        <f t="shared" si="56"/>
        <v/>
      </c>
      <c r="FI108" s="110" t="str">
        <f t="shared" si="135"/>
        <v/>
      </c>
      <c r="FK108" s="108" t="str">
        <f t="shared" si="136"/>
        <v/>
      </c>
      <c r="FL108" s="109" t="str">
        <f t="shared" si="137"/>
        <v/>
      </c>
      <c r="FM108" s="109" t="str">
        <f t="shared" si="57"/>
        <v/>
      </c>
      <c r="FN108" s="110" t="str">
        <f t="shared" si="190"/>
        <v/>
      </c>
      <c r="FP108" s="108" t="str">
        <f t="shared" si="58"/>
        <v/>
      </c>
      <c r="FQ108" s="109" t="str">
        <f t="shared" si="138"/>
        <v/>
      </c>
      <c r="FR108" s="109" t="str">
        <f t="shared" si="59"/>
        <v/>
      </c>
      <c r="FS108" s="110" t="str">
        <f t="shared" si="139"/>
        <v/>
      </c>
      <c r="FU108" s="108" t="str">
        <f t="shared" si="140"/>
        <v/>
      </c>
      <c r="FV108" s="109" t="str">
        <f t="shared" si="141"/>
        <v/>
      </c>
      <c r="FW108" s="109" t="str">
        <f t="shared" si="60"/>
        <v/>
      </c>
      <c r="FX108" s="110" t="str">
        <f t="shared" si="191"/>
        <v/>
      </c>
      <c r="FZ108" s="108" t="str">
        <f t="shared" si="61"/>
        <v/>
      </c>
      <c r="GA108" s="109" t="str">
        <f t="shared" si="142"/>
        <v/>
      </c>
      <c r="GB108" s="109" t="str">
        <f t="shared" si="62"/>
        <v/>
      </c>
      <c r="GC108" s="110" t="str">
        <f t="shared" si="143"/>
        <v/>
      </c>
      <c r="GE108" s="108" t="str">
        <f t="shared" si="144"/>
        <v/>
      </c>
      <c r="GF108" s="109" t="str">
        <f t="shared" si="145"/>
        <v/>
      </c>
      <c r="GG108" s="109" t="str">
        <f t="shared" si="146"/>
        <v/>
      </c>
      <c r="GH108" s="110" t="str">
        <f t="shared" si="192"/>
        <v/>
      </c>
      <c r="GL108" s="108" t="str">
        <f t="shared" si="63"/>
        <v/>
      </c>
      <c r="GM108" s="109" t="str">
        <f t="shared" si="64"/>
        <v/>
      </c>
      <c r="GN108" s="109" t="str">
        <f t="shared" si="65"/>
        <v/>
      </c>
      <c r="GO108" s="110" t="str">
        <f t="shared" si="66"/>
        <v/>
      </c>
      <c r="GP108" s="51"/>
      <c r="GQ108" s="108" t="str">
        <f t="shared" si="67"/>
        <v/>
      </c>
      <c r="GR108" s="109" t="str">
        <f t="shared" si="147"/>
        <v/>
      </c>
      <c r="GS108" s="109" t="str">
        <f t="shared" si="68"/>
        <v/>
      </c>
      <c r="GT108" s="110" t="str">
        <f t="shared" si="69"/>
        <v/>
      </c>
      <c r="GU108" s="51"/>
      <c r="GV108" s="108" t="str">
        <f t="shared" si="148"/>
        <v/>
      </c>
      <c r="GW108" s="109" t="str">
        <f t="shared" si="149"/>
        <v/>
      </c>
      <c r="GX108" s="109" t="str">
        <f t="shared" si="70"/>
        <v/>
      </c>
      <c r="GY108" s="110" t="str">
        <f t="shared" si="150"/>
        <v/>
      </c>
      <c r="GZ108" s="51"/>
      <c r="HA108" s="108" t="str">
        <f t="shared" si="71"/>
        <v/>
      </c>
      <c r="HB108" s="109" t="str">
        <f t="shared" si="151"/>
        <v/>
      </c>
      <c r="HC108" s="109" t="str">
        <f t="shared" si="72"/>
        <v/>
      </c>
      <c r="HD108" s="110" t="str">
        <f t="shared" si="193"/>
        <v/>
      </c>
      <c r="HE108" s="51"/>
      <c r="HF108" s="108" t="str">
        <f t="shared" si="152"/>
        <v/>
      </c>
      <c r="HG108" s="109" t="str">
        <f t="shared" si="153"/>
        <v/>
      </c>
      <c r="HH108" s="109" t="str">
        <f t="shared" si="73"/>
        <v/>
      </c>
      <c r="HI108" s="110" t="str">
        <f t="shared" si="154"/>
        <v/>
      </c>
      <c r="HJ108" s="51"/>
      <c r="HK108" s="108" t="str">
        <f t="shared" si="74"/>
        <v/>
      </c>
      <c r="HL108" s="109" t="str">
        <f t="shared" si="155"/>
        <v/>
      </c>
      <c r="HM108" s="109" t="str">
        <f t="shared" si="75"/>
        <v/>
      </c>
      <c r="HN108" s="110" t="str">
        <f t="shared" si="194"/>
        <v/>
      </c>
      <c r="HO108" s="51"/>
      <c r="HP108" s="108" t="str">
        <f t="shared" si="156"/>
        <v/>
      </c>
      <c r="HQ108" s="109" t="str">
        <f t="shared" si="157"/>
        <v/>
      </c>
      <c r="HR108" s="109" t="str">
        <f t="shared" si="76"/>
        <v/>
      </c>
      <c r="HS108" s="110" t="str">
        <f t="shared" si="158"/>
        <v/>
      </c>
      <c r="HT108" s="51"/>
      <c r="HU108" s="108" t="str">
        <f t="shared" si="77"/>
        <v/>
      </c>
      <c r="HV108" s="109" t="str">
        <f t="shared" si="159"/>
        <v/>
      </c>
      <c r="HW108" s="109" t="str">
        <f t="shared" si="78"/>
        <v/>
      </c>
      <c r="HX108" s="110" t="str">
        <f t="shared" si="195"/>
        <v/>
      </c>
      <c r="HY108" s="51"/>
      <c r="HZ108" s="108" t="str">
        <f t="shared" si="160"/>
        <v/>
      </c>
      <c r="IA108" s="109" t="str">
        <f t="shared" si="161"/>
        <v/>
      </c>
      <c r="IB108" s="109" t="str">
        <f t="shared" si="79"/>
        <v/>
      </c>
      <c r="IC108" s="110" t="str">
        <f t="shared" si="162"/>
        <v/>
      </c>
      <c r="ID108" s="51"/>
      <c r="IE108" s="108" t="str">
        <f t="shared" si="80"/>
        <v/>
      </c>
      <c r="IF108" s="109" t="str">
        <f t="shared" si="163"/>
        <v/>
      </c>
      <c r="IG108" s="109" t="str">
        <f t="shared" si="81"/>
        <v/>
      </c>
      <c r="IH108" s="110" t="str">
        <f t="shared" si="196"/>
        <v/>
      </c>
      <c r="II108" s="51"/>
      <c r="IJ108" s="108" t="str">
        <f t="shared" si="164"/>
        <v/>
      </c>
      <c r="IK108" s="109" t="str">
        <f t="shared" si="165"/>
        <v/>
      </c>
      <c r="IL108" s="109" t="str">
        <f t="shared" si="82"/>
        <v/>
      </c>
      <c r="IM108" s="110" t="str">
        <f t="shared" si="166"/>
        <v/>
      </c>
      <c r="IN108" s="51"/>
      <c r="IO108" s="108" t="str">
        <f t="shared" si="83"/>
        <v/>
      </c>
      <c r="IP108" s="109" t="str">
        <f t="shared" si="167"/>
        <v/>
      </c>
      <c r="IQ108" s="109" t="str">
        <f t="shared" si="84"/>
        <v/>
      </c>
      <c r="IR108" s="110" t="str">
        <f t="shared" si="197"/>
        <v/>
      </c>
      <c r="IS108" s="51"/>
      <c r="IT108" s="108" t="str">
        <f t="shared" si="168"/>
        <v/>
      </c>
      <c r="IU108" s="109" t="str">
        <f t="shared" si="169"/>
        <v/>
      </c>
      <c r="IV108" s="109" t="str">
        <f t="shared" si="85"/>
        <v/>
      </c>
      <c r="IW108" s="110" t="str">
        <f t="shared" si="170"/>
        <v/>
      </c>
      <c r="IX108" s="51"/>
      <c r="IY108" s="108" t="str">
        <f t="shared" si="86"/>
        <v/>
      </c>
      <c r="IZ108" s="109" t="str">
        <f t="shared" si="171"/>
        <v/>
      </c>
      <c r="JA108" s="109" t="str">
        <f t="shared" si="87"/>
        <v/>
      </c>
      <c r="JB108" s="110" t="str">
        <f t="shared" si="198"/>
        <v/>
      </c>
      <c r="JC108" s="51"/>
      <c r="JD108" s="108" t="str">
        <f t="shared" si="172"/>
        <v/>
      </c>
      <c r="JE108" s="109" t="str">
        <f t="shared" si="173"/>
        <v/>
      </c>
      <c r="JF108" s="109" t="str">
        <f t="shared" si="88"/>
        <v/>
      </c>
      <c r="JG108" s="110" t="str">
        <f t="shared" si="174"/>
        <v/>
      </c>
      <c r="JH108" s="51"/>
      <c r="JI108" s="108" t="str">
        <f t="shared" si="89"/>
        <v/>
      </c>
      <c r="JJ108" s="109" t="str">
        <f t="shared" si="175"/>
        <v/>
      </c>
      <c r="JK108" s="109" t="str">
        <f t="shared" si="90"/>
        <v/>
      </c>
      <c r="JL108" s="110" t="str">
        <f t="shared" si="199"/>
        <v/>
      </c>
      <c r="JM108" s="51"/>
      <c r="JN108" s="108" t="str">
        <f t="shared" si="176"/>
        <v/>
      </c>
      <c r="JO108" s="109" t="str">
        <f t="shared" si="177"/>
        <v/>
      </c>
      <c r="JP108" s="109" t="str">
        <f t="shared" si="91"/>
        <v/>
      </c>
      <c r="JQ108" s="110" t="str">
        <f t="shared" si="178"/>
        <v/>
      </c>
      <c r="JR108" s="51"/>
      <c r="JS108" s="108" t="str">
        <f t="shared" si="92"/>
        <v/>
      </c>
      <c r="JT108" s="109" t="str">
        <f t="shared" si="179"/>
        <v/>
      </c>
      <c r="JU108" s="109" t="str">
        <f t="shared" si="93"/>
        <v/>
      </c>
      <c r="JV108" s="110" t="str">
        <f t="shared" si="200"/>
        <v/>
      </c>
      <c r="JW108" s="51"/>
      <c r="JX108" s="108" t="str">
        <f t="shared" si="180"/>
        <v/>
      </c>
      <c r="JY108" s="109" t="str">
        <f t="shared" si="181"/>
        <v/>
      </c>
      <c r="JZ108" s="109" t="str">
        <f t="shared" si="94"/>
        <v/>
      </c>
      <c r="KA108" s="110" t="str">
        <f t="shared" si="95"/>
        <v/>
      </c>
    </row>
    <row r="109" spans="1:287" ht="12" customHeight="1">
      <c r="A109" s="105">
        <f t="array" ref="A109">MAX(IF($J$80:J108&gt;0,$C$80:C108,0))</f>
        <v>43536</v>
      </c>
      <c r="B109" s="81" t="str">
        <f t="shared" si="4"/>
        <v/>
      </c>
      <c r="C109" s="82">
        <f t="shared" si="182"/>
        <v>0</v>
      </c>
      <c r="D109" s="83" t="str">
        <f t="shared" si="5"/>
        <v/>
      </c>
      <c r="E109" s="83" t="str">
        <f t="shared" si="96"/>
        <v/>
      </c>
      <c r="F109" s="83" t="str">
        <f t="shared" si="6"/>
        <v/>
      </c>
      <c r="G109" s="83" t="str">
        <f t="shared" si="7"/>
        <v/>
      </c>
      <c r="H109" s="83" t="str">
        <f t="shared" si="8"/>
        <v/>
      </c>
      <c r="I109" s="105">
        <f t="array" ref="I109">MAX(IF($R$80:R108&gt;0,$L$80:L108,0))</f>
        <v>0</v>
      </c>
      <c r="J109" s="106"/>
      <c r="K109" s="2" t="str">
        <f t="shared" si="9"/>
        <v/>
      </c>
      <c r="L109" s="82">
        <f t="shared" si="183"/>
        <v>0</v>
      </c>
      <c r="M109" s="83" t="str">
        <f t="shared" si="97"/>
        <v/>
      </c>
      <c r="N109" s="83" t="str">
        <f t="shared" si="10"/>
        <v/>
      </c>
      <c r="O109" s="83" t="str">
        <f t="shared" si="11"/>
        <v/>
      </c>
      <c r="P109" s="83" t="str">
        <f t="shared" si="12"/>
        <v/>
      </c>
      <c r="Q109" s="83" t="str">
        <f t="shared" si="13"/>
        <v/>
      </c>
      <c r="R109" s="106"/>
      <c r="S109" s="1"/>
      <c r="U109" s="85" t="e">
        <f t="shared" si="0"/>
        <v>#NUM!</v>
      </c>
      <c r="V109" s="86" t="e">
        <f t="shared" si="98"/>
        <v>#NUM!</v>
      </c>
      <c r="W109" s="87" t="e">
        <f t="shared" si="14"/>
        <v>#NUM!</v>
      </c>
      <c r="X109" s="87" t="e">
        <f t="shared" si="15"/>
        <v>#NUM!</v>
      </c>
      <c r="Y109" s="87" t="e">
        <f t="shared" si="16"/>
        <v>#NUM!</v>
      </c>
      <c r="Z109" s="88" t="e">
        <f t="shared" si="1"/>
        <v>#NUM!</v>
      </c>
      <c r="AB109" s="89">
        <f t="shared" si="99"/>
        <v>0</v>
      </c>
      <c r="AC109" s="87">
        <f t="shared" si="100"/>
        <v>0</v>
      </c>
      <c r="AD109" s="87" t="str">
        <f t="shared" si="17"/>
        <v/>
      </c>
      <c r="AE109" s="87" t="str">
        <f t="shared" si="18"/>
        <v/>
      </c>
      <c r="AF109" s="86">
        <f t="shared" si="101"/>
        <v>0</v>
      </c>
      <c r="AG109" s="87">
        <f t="shared" si="2"/>
        <v>0</v>
      </c>
      <c r="AH109" s="87">
        <f t="shared" si="102"/>
        <v>0</v>
      </c>
      <c r="AI109" s="90"/>
      <c r="AJ109" s="87" t="e">
        <f t="shared" si="19"/>
        <v>#NUM!</v>
      </c>
      <c r="AK109" s="87" t="e">
        <f t="shared" si="103"/>
        <v>#NUM!</v>
      </c>
      <c r="AL109" s="87" t="e">
        <f t="shared" si="104"/>
        <v>#NUM!</v>
      </c>
      <c r="AM109" s="87" t="e">
        <f t="shared" si="105"/>
        <v>#NUM!</v>
      </c>
      <c r="AN109" s="86">
        <f t="shared" si="20"/>
        <v>0</v>
      </c>
      <c r="AO109" s="87">
        <f t="shared" si="21"/>
        <v>0</v>
      </c>
      <c r="AP109" s="88">
        <f t="shared" si="22"/>
        <v>0</v>
      </c>
      <c r="AR109" s="89">
        <f t="shared" si="23"/>
        <v>0</v>
      </c>
      <c r="AS109" s="87">
        <f t="shared" si="24"/>
        <v>0</v>
      </c>
      <c r="AT109" s="87" t="str">
        <f t="shared" si="25"/>
        <v/>
      </c>
      <c r="AU109" s="87" t="str">
        <f t="shared" si="26"/>
        <v/>
      </c>
      <c r="AV109" s="86">
        <f t="shared" si="106"/>
        <v>0</v>
      </c>
      <c r="AW109" s="87">
        <f t="shared" si="107"/>
        <v>0</v>
      </c>
      <c r="AX109" s="87">
        <f t="shared" si="108"/>
        <v>0</v>
      </c>
      <c r="AY109" s="93"/>
      <c r="AZ109" s="87">
        <f t="shared" si="201"/>
        <v>0</v>
      </c>
      <c r="BA109" s="87">
        <f t="shared" si="109"/>
        <v>0</v>
      </c>
      <c r="BB109" s="87">
        <f t="shared" si="110"/>
        <v>0</v>
      </c>
      <c r="BC109" s="87">
        <f t="shared" si="184"/>
        <v>0</v>
      </c>
      <c r="BD109" s="86" t="e">
        <f t="shared" si="27"/>
        <v>#NUM!</v>
      </c>
      <c r="BE109" s="87" t="e">
        <f t="shared" si="3"/>
        <v>#NUM!</v>
      </c>
      <c r="BF109" s="88">
        <f t="shared" si="111"/>
        <v>0</v>
      </c>
      <c r="BH109" s="87" t="e">
        <f t="shared" si="28"/>
        <v>#NUM!</v>
      </c>
      <c r="BK109" s="95">
        <v>40179</v>
      </c>
      <c r="BL109" s="96">
        <v>30</v>
      </c>
      <c r="BT109" s="51">
        <v>40000.01</v>
      </c>
      <c r="BU109" s="51">
        <v>60000</v>
      </c>
      <c r="BV109" s="30" t="str">
        <f t="shared" si="204"/>
        <v>40000.01-60000</v>
      </c>
      <c r="BW109" s="30" t="s">
        <v>497</v>
      </c>
      <c r="BX109" s="30">
        <v>0.17</v>
      </c>
      <c r="BY109" s="107">
        <v>0.16999999999999998</v>
      </c>
      <c r="BZ109" s="107">
        <v>0.16999999999999998</v>
      </c>
      <c r="CA109" s="107">
        <v>0.19</v>
      </c>
      <c r="CB109" s="107">
        <v>0.19500000000000001</v>
      </c>
      <c r="CC109" s="107">
        <v>0.2</v>
      </c>
      <c r="CD109" s="107">
        <v>0.20500000000000002</v>
      </c>
      <c r="CE109" s="30" t="s">
        <v>497</v>
      </c>
      <c r="CF109" s="107">
        <v>1.4999999999999999E-2</v>
      </c>
      <c r="CG109" s="107">
        <v>1.6E-2</v>
      </c>
      <c r="CS109" s="108" t="str">
        <f t="shared" si="29"/>
        <v/>
      </c>
      <c r="CT109" s="109" t="str">
        <f t="shared" si="30"/>
        <v/>
      </c>
      <c r="CU109" s="109" t="str">
        <f t="shared" si="31"/>
        <v/>
      </c>
      <c r="CV109" s="110" t="str">
        <f>IF($B109="","",IF(OR($F$10="ანუიტეტური",$F$10="სამომხმარებლო"),CV108-CT109,IF($F$10="საშეღავათო",CV108-CT109,IF($F$10="ნულოვანი საშეღავათო",CV108-CT109))))</f>
        <v/>
      </c>
      <c r="CX109" s="108" t="str">
        <f t="shared" si="33"/>
        <v/>
      </c>
      <c r="CY109" s="109" t="str">
        <f t="shared" si="113"/>
        <v/>
      </c>
      <c r="CZ109" s="109" t="str">
        <f t="shared" si="34"/>
        <v/>
      </c>
      <c r="DA109" s="110" t="str">
        <f>IF($B109="","",DA108-CY109)</f>
        <v/>
      </c>
      <c r="DC109" s="108" t="str">
        <f t="shared" si="114"/>
        <v/>
      </c>
      <c r="DD109" s="109" t="str">
        <f t="shared" si="115"/>
        <v/>
      </c>
      <c r="DE109" s="109" t="str">
        <f t="shared" si="36"/>
        <v/>
      </c>
      <c r="DF109" s="110" t="str">
        <f>IF($B109="","",DF108-DD109)</f>
        <v/>
      </c>
      <c r="DH109" s="108" t="str">
        <f t="shared" si="38"/>
        <v/>
      </c>
      <c r="DI109" s="109" t="str">
        <f t="shared" si="39"/>
        <v/>
      </c>
      <c r="DJ109" s="109" t="str">
        <f t="shared" si="40"/>
        <v/>
      </c>
      <c r="DK109" s="110" t="str">
        <f>IF($B109="","",DK108-DI109)</f>
        <v/>
      </c>
      <c r="DM109" s="108" t="str">
        <f t="shared" si="116"/>
        <v/>
      </c>
      <c r="DN109" s="109" t="str">
        <f t="shared" si="117"/>
        <v/>
      </c>
      <c r="DO109" s="109" t="str">
        <f t="shared" si="42"/>
        <v/>
      </c>
      <c r="DP109" s="110" t="str">
        <f>IF($B109="","",DP108-DN109)</f>
        <v/>
      </c>
      <c r="DR109" s="108" t="str">
        <f t="shared" si="43"/>
        <v/>
      </c>
      <c r="DS109" s="109" t="str">
        <f t="shared" si="118"/>
        <v/>
      </c>
      <c r="DT109" s="109" t="str">
        <f t="shared" si="44"/>
        <v/>
      </c>
      <c r="DU109" s="110" t="str">
        <f>IF($B109="","",DU108-DS109)</f>
        <v/>
      </c>
      <c r="DW109" s="108" t="str">
        <f t="shared" si="120"/>
        <v/>
      </c>
      <c r="DX109" s="109" t="str">
        <f t="shared" si="121"/>
        <v/>
      </c>
      <c r="DY109" s="109" t="str">
        <f t="shared" si="45"/>
        <v/>
      </c>
      <c r="DZ109" s="110" t="str">
        <f>IF($B109="","",DZ108-DX109)</f>
        <v/>
      </c>
      <c r="EB109" s="108" t="str">
        <f t="shared" si="46"/>
        <v/>
      </c>
      <c r="EC109" s="109" t="str">
        <f t="shared" si="122"/>
        <v/>
      </c>
      <c r="ED109" s="109" t="str">
        <f t="shared" si="47"/>
        <v/>
      </c>
      <c r="EE109" s="110" t="str">
        <f>IF($B109="","",EE108-EC109)</f>
        <v/>
      </c>
      <c r="EG109" s="108" t="str">
        <f t="shared" si="124"/>
        <v/>
      </c>
      <c r="EH109" s="109" t="str">
        <f t="shared" si="125"/>
        <v/>
      </c>
      <c r="EI109" s="109" t="str">
        <f t="shared" si="48"/>
        <v/>
      </c>
      <c r="EJ109" s="110" t="str">
        <f>IF($B109="","",EJ108-EH109)</f>
        <v/>
      </c>
      <c r="EL109" s="108" t="str">
        <f t="shared" si="49"/>
        <v/>
      </c>
      <c r="EM109" s="109" t="str">
        <f t="shared" si="126"/>
        <v/>
      </c>
      <c r="EN109" s="109" t="str">
        <f t="shared" si="50"/>
        <v/>
      </c>
      <c r="EO109" s="110" t="str">
        <f>IF($B109="","",EO108-EM109)</f>
        <v/>
      </c>
      <c r="EQ109" s="108" t="str">
        <f t="shared" si="128"/>
        <v/>
      </c>
      <c r="ER109" s="109" t="str">
        <f t="shared" si="129"/>
        <v/>
      </c>
      <c r="ES109" s="109" t="str">
        <f t="shared" si="51"/>
        <v/>
      </c>
      <c r="ET109" s="110" t="str">
        <f>IF($B109="","",ET108-ER109)</f>
        <v/>
      </c>
      <c r="EV109" s="108" t="str">
        <f t="shared" si="52"/>
        <v/>
      </c>
      <c r="EW109" s="109" t="str">
        <f t="shared" si="130"/>
        <v/>
      </c>
      <c r="EX109" s="109" t="str">
        <f t="shared" si="53"/>
        <v/>
      </c>
      <c r="EY109" s="110" t="str">
        <f>IF($B109="","",EY108-EW109)</f>
        <v/>
      </c>
      <c r="FA109" s="108" t="str">
        <f t="shared" si="132"/>
        <v/>
      </c>
      <c r="FB109" s="109" t="str">
        <f t="shared" si="133"/>
        <v/>
      </c>
      <c r="FC109" s="109" t="str">
        <f t="shared" si="54"/>
        <v/>
      </c>
      <c r="FD109" s="110" t="str">
        <f>IF($B109="","",FD108-FB109)</f>
        <v/>
      </c>
      <c r="FF109" s="108" t="str">
        <f t="shared" si="55"/>
        <v/>
      </c>
      <c r="FG109" s="109" t="str">
        <f t="shared" si="134"/>
        <v/>
      </c>
      <c r="FH109" s="109" t="str">
        <f t="shared" si="56"/>
        <v/>
      </c>
      <c r="FI109" s="110" t="str">
        <f>IF($B109="","",FI108-FG109)</f>
        <v/>
      </c>
      <c r="FK109" s="108" t="str">
        <f t="shared" si="136"/>
        <v/>
      </c>
      <c r="FL109" s="109" t="str">
        <f t="shared" si="137"/>
        <v/>
      </c>
      <c r="FM109" s="109" t="str">
        <f t="shared" si="57"/>
        <v/>
      </c>
      <c r="FN109" s="110" t="str">
        <f>IF($B109="","",FN108-FL109)</f>
        <v/>
      </c>
      <c r="FP109" s="108" t="str">
        <f t="shared" si="58"/>
        <v/>
      </c>
      <c r="FQ109" s="109" t="str">
        <f t="shared" si="138"/>
        <v/>
      </c>
      <c r="FR109" s="109" t="str">
        <f t="shared" si="59"/>
        <v/>
      </c>
      <c r="FS109" s="110" t="str">
        <f>IF($B109="","",FS108-FQ109)</f>
        <v/>
      </c>
      <c r="FU109" s="108" t="str">
        <f t="shared" si="140"/>
        <v/>
      </c>
      <c r="FV109" s="109" t="str">
        <f t="shared" si="141"/>
        <v/>
      </c>
      <c r="FW109" s="109" t="str">
        <f t="shared" si="60"/>
        <v/>
      </c>
      <c r="FX109" s="110" t="str">
        <f>IF($B109="","",FX108-FV109)</f>
        <v/>
      </c>
      <c r="FZ109" s="108" t="str">
        <f t="shared" si="61"/>
        <v/>
      </c>
      <c r="GA109" s="109" t="str">
        <f t="shared" si="142"/>
        <v/>
      </c>
      <c r="GB109" s="109" t="str">
        <f t="shared" si="62"/>
        <v/>
      </c>
      <c r="GC109" s="110" t="str">
        <f>IF($B109="","",GC108-GA109)</f>
        <v/>
      </c>
      <c r="GE109" s="108" t="str">
        <f t="shared" si="144"/>
        <v/>
      </c>
      <c r="GF109" s="109" t="str">
        <f t="shared" si="145"/>
        <v/>
      </c>
      <c r="GG109" s="109" t="str">
        <f t="shared" si="146"/>
        <v/>
      </c>
      <c r="GH109" s="110" t="str">
        <f>IF($B109="","",GH108-GF109)</f>
        <v/>
      </c>
      <c r="GL109" s="108" t="str">
        <f t="shared" si="63"/>
        <v/>
      </c>
      <c r="GM109" s="109" t="str">
        <f t="shared" si="64"/>
        <v/>
      </c>
      <c r="GN109" s="109" t="str">
        <f t="shared" si="65"/>
        <v/>
      </c>
      <c r="GO109" s="110" t="str">
        <f t="shared" si="66"/>
        <v/>
      </c>
      <c r="GP109" s="51"/>
      <c r="GQ109" s="108" t="str">
        <f t="shared" si="67"/>
        <v/>
      </c>
      <c r="GR109" s="109" t="str">
        <f t="shared" si="147"/>
        <v/>
      </c>
      <c r="GS109" s="109" t="str">
        <f t="shared" si="68"/>
        <v/>
      </c>
      <c r="GT109" s="110" t="str">
        <f t="shared" si="69"/>
        <v/>
      </c>
      <c r="GU109" s="51"/>
      <c r="GV109" s="108" t="str">
        <f t="shared" si="148"/>
        <v/>
      </c>
      <c r="GW109" s="109" t="str">
        <f t="shared" si="149"/>
        <v/>
      </c>
      <c r="GX109" s="109" t="str">
        <f t="shared" si="70"/>
        <v/>
      </c>
      <c r="GY109" s="110" t="str">
        <f t="shared" si="150"/>
        <v/>
      </c>
      <c r="GZ109" s="51"/>
      <c r="HA109" s="108" t="str">
        <f t="shared" si="71"/>
        <v/>
      </c>
      <c r="HB109" s="109" t="str">
        <f t="shared" si="151"/>
        <v/>
      </c>
      <c r="HC109" s="109" t="str">
        <f t="shared" si="72"/>
        <v/>
      </c>
      <c r="HD109" s="110" t="str">
        <f t="shared" si="193"/>
        <v/>
      </c>
      <c r="HE109" s="51"/>
      <c r="HF109" s="108" t="str">
        <f t="shared" si="152"/>
        <v/>
      </c>
      <c r="HG109" s="109" t="str">
        <f t="shared" si="153"/>
        <v/>
      </c>
      <c r="HH109" s="109" t="str">
        <f t="shared" si="73"/>
        <v/>
      </c>
      <c r="HI109" s="110" t="str">
        <f t="shared" si="154"/>
        <v/>
      </c>
      <c r="HJ109" s="51"/>
      <c r="HK109" s="108" t="str">
        <f t="shared" si="74"/>
        <v/>
      </c>
      <c r="HL109" s="109" t="str">
        <f t="shared" si="155"/>
        <v/>
      </c>
      <c r="HM109" s="109" t="str">
        <f t="shared" si="75"/>
        <v/>
      </c>
      <c r="HN109" s="110" t="str">
        <f t="shared" si="194"/>
        <v/>
      </c>
      <c r="HO109" s="51"/>
      <c r="HP109" s="108" t="str">
        <f t="shared" si="156"/>
        <v/>
      </c>
      <c r="HQ109" s="109" t="str">
        <f t="shared" si="157"/>
        <v/>
      </c>
      <c r="HR109" s="109" t="str">
        <f t="shared" si="76"/>
        <v/>
      </c>
      <c r="HS109" s="110" t="str">
        <f t="shared" si="158"/>
        <v/>
      </c>
      <c r="HT109" s="51"/>
      <c r="HU109" s="108" t="str">
        <f t="shared" si="77"/>
        <v/>
      </c>
      <c r="HV109" s="109" t="str">
        <f t="shared" si="159"/>
        <v/>
      </c>
      <c r="HW109" s="109" t="str">
        <f t="shared" si="78"/>
        <v/>
      </c>
      <c r="HX109" s="110" t="str">
        <f t="shared" si="195"/>
        <v/>
      </c>
      <c r="HY109" s="51"/>
      <c r="HZ109" s="108" t="str">
        <f t="shared" si="160"/>
        <v/>
      </c>
      <c r="IA109" s="109" t="str">
        <f t="shared" si="161"/>
        <v/>
      </c>
      <c r="IB109" s="109" t="str">
        <f t="shared" si="79"/>
        <v/>
      </c>
      <c r="IC109" s="110" t="str">
        <f t="shared" si="162"/>
        <v/>
      </c>
      <c r="ID109" s="51"/>
      <c r="IE109" s="108" t="str">
        <f t="shared" si="80"/>
        <v/>
      </c>
      <c r="IF109" s="109" t="str">
        <f t="shared" si="163"/>
        <v/>
      </c>
      <c r="IG109" s="109" t="str">
        <f t="shared" si="81"/>
        <v/>
      </c>
      <c r="IH109" s="110" t="str">
        <f t="shared" si="196"/>
        <v/>
      </c>
      <c r="II109" s="51"/>
      <c r="IJ109" s="108" t="str">
        <f t="shared" si="164"/>
        <v/>
      </c>
      <c r="IK109" s="109" t="str">
        <f t="shared" si="165"/>
        <v/>
      </c>
      <c r="IL109" s="109" t="str">
        <f t="shared" si="82"/>
        <v/>
      </c>
      <c r="IM109" s="110" t="str">
        <f t="shared" si="166"/>
        <v/>
      </c>
      <c r="IN109" s="51"/>
      <c r="IO109" s="108" t="str">
        <f t="shared" si="83"/>
        <v/>
      </c>
      <c r="IP109" s="109" t="str">
        <f t="shared" si="167"/>
        <v/>
      </c>
      <c r="IQ109" s="109" t="str">
        <f t="shared" si="84"/>
        <v/>
      </c>
      <c r="IR109" s="110" t="str">
        <f t="shared" si="197"/>
        <v/>
      </c>
      <c r="IS109" s="51"/>
      <c r="IT109" s="108" t="str">
        <f t="shared" si="168"/>
        <v/>
      </c>
      <c r="IU109" s="109" t="str">
        <f t="shared" si="169"/>
        <v/>
      </c>
      <c r="IV109" s="109" t="str">
        <f t="shared" si="85"/>
        <v/>
      </c>
      <c r="IW109" s="110" t="str">
        <f t="shared" si="170"/>
        <v/>
      </c>
      <c r="IX109" s="51"/>
      <c r="IY109" s="108" t="str">
        <f t="shared" si="86"/>
        <v/>
      </c>
      <c r="IZ109" s="109" t="str">
        <f t="shared" si="171"/>
        <v/>
      </c>
      <c r="JA109" s="109" t="str">
        <f t="shared" si="87"/>
        <v/>
      </c>
      <c r="JB109" s="110" t="str">
        <f t="shared" si="198"/>
        <v/>
      </c>
      <c r="JC109" s="51"/>
      <c r="JD109" s="108" t="str">
        <f t="shared" si="172"/>
        <v/>
      </c>
      <c r="JE109" s="109" t="str">
        <f t="shared" si="173"/>
        <v/>
      </c>
      <c r="JF109" s="109" t="str">
        <f t="shared" si="88"/>
        <v/>
      </c>
      <c r="JG109" s="110" t="str">
        <f t="shared" si="174"/>
        <v/>
      </c>
      <c r="JH109" s="51"/>
      <c r="JI109" s="108" t="str">
        <f t="shared" si="89"/>
        <v/>
      </c>
      <c r="JJ109" s="109" t="str">
        <f t="shared" si="175"/>
        <v/>
      </c>
      <c r="JK109" s="109" t="str">
        <f t="shared" si="90"/>
        <v/>
      </c>
      <c r="JL109" s="110" t="str">
        <f t="shared" si="199"/>
        <v/>
      </c>
      <c r="JM109" s="51"/>
      <c r="JN109" s="108" t="str">
        <f t="shared" si="176"/>
        <v/>
      </c>
      <c r="JO109" s="109" t="str">
        <f t="shared" si="177"/>
        <v/>
      </c>
      <c r="JP109" s="109" t="str">
        <f t="shared" si="91"/>
        <v/>
      </c>
      <c r="JQ109" s="110" t="str">
        <f t="shared" si="178"/>
        <v/>
      </c>
      <c r="JR109" s="51"/>
      <c r="JS109" s="108" t="str">
        <f t="shared" si="92"/>
        <v/>
      </c>
      <c r="JT109" s="109" t="str">
        <f t="shared" si="179"/>
        <v/>
      </c>
      <c r="JU109" s="109" t="str">
        <f t="shared" si="93"/>
        <v/>
      </c>
      <c r="JV109" s="110" t="str">
        <f t="shared" si="200"/>
        <v/>
      </c>
      <c r="JW109" s="51"/>
      <c r="JX109" s="108" t="str">
        <f t="shared" si="180"/>
        <v/>
      </c>
      <c r="JY109" s="109" t="str">
        <f t="shared" si="181"/>
        <v/>
      </c>
      <c r="JZ109" s="109" t="str">
        <f t="shared" si="94"/>
        <v/>
      </c>
      <c r="KA109" s="110" t="str">
        <f t="shared" si="95"/>
        <v/>
      </c>
    </row>
    <row r="110" spans="1:287" ht="12" customHeight="1">
      <c r="A110" s="105">
        <f t="array" ref="A110">MAX(IF($J$80:J109&gt;0,$C$80:C109,0))</f>
        <v>43536</v>
      </c>
      <c r="B110" s="81" t="str">
        <f t="shared" si="4"/>
        <v/>
      </c>
      <c r="C110" s="82">
        <f t="shared" si="182"/>
        <v>0</v>
      </c>
      <c r="D110" s="83" t="str">
        <f t="shared" si="5"/>
        <v/>
      </c>
      <c r="E110" s="83" t="str">
        <f t="shared" si="96"/>
        <v/>
      </c>
      <c r="F110" s="83" t="str">
        <f t="shared" si="6"/>
        <v/>
      </c>
      <c r="G110" s="83" t="str">
        <f t="shared" si="7"/>
        <v/>
      </c>
      <c r="H110" s="83" t="str">
        <f t="shared" si="8"/>
        <v/>
      </c>
      <c r="I110" s="105">
        <f t="array" ref="I110">MAX(IF($R$80:R109&gt;0,$L$80:L109,0))</f>
        <v>0</v>
      </c>
      <c r="J110" s="106"/>
      <c r="K110" s="2" t="str">
        <f t="shared" si="9"/>
        <v/>
      </c>
      <c r="L110" s="82">
        <f t="shared" si="183"/>
        <v>0</v>
      </c>
      <c r="M110" s="83" t="str">
        <f t="shared" si="97"/>
        <v/>
      </c>
      <c r="N110" s="83" t="str">
        <f t="shared" si="10"/>
        <v/>
      </c>
      <c r="O110" s="83" t="str">
        <f t="shared" si="11"/>
        <v/>
      </c>
      <c r="P110" s="83" t="str">
        <f t="shared" si="12"/>
        <v/>
      </c>
      <c r="Q110" s="83" t="str">
        <f t="shared" si="13"/>
        <v/>
      </c>
      <c r="R110" s="106"/>
      <c r="S110" s="1"/>
      <c r="U110" s="85" t="e">
        <f t="shared" si="0"/>
        <v>#NUM!</v>
      </c>
      <c r="V110" s="86" t="e">
        <f t="shared" si="98"/>
        <v>#NUM!</v>
      </c>
      <c r="W110" s="87" t="e">
        <f t="shared" si="14"/>
        <v>#NUM!</v>
      </c>
      <c r="X110" s="87" t="e">
        <f t="shared" si="15"/>
        <v>#NUM!</v>
      </c>
      <c r="Y110" s="87" t="e">
        <f t="shared" si="16"/>
        <v>#NUM!</v>
      </c>
      <c r="Z110" s="88" t="e">
        <f t="shared" si="1"/>
        <v>#NUM!</v>
      </c>
      <c r="AB110" s="89">
        <f t="shared" si="99"/>
        <v>0</v>
      </c>
      <c r="AC110" s="87">
        <f t="shared" si="100"/>
        <v>0</v>
      </c>
      <c r="AD110" s="87" t="str">
        <f t="shared" si="17"/>
        <v/>
      </c>
      <c r="AE110" s="87" t="str">
        <f t="shared" si="18"/>
        <v/>
      </c>
      <c r="AF110" s="86">
        <f t="shared" si="101"/>
        <v>0</v>
      </c>
      <c r="AG110" s="87">
        <f t="shared" si="2"/>
        <v>0</v>
      </c>
      <c r="AH110" s="87">
        <f t="shared" si="102"/>
        <v>0</v>
      </c>
      <c r="AI110" s="90"/>
      <c r="AJ110" s="87" t="e">
        <f t="shared" si="19"/>
        <v>#NUM!</v>
      </c>
      <c r="AK110" s="87" t="e">
        <f t="shared" si="103"/>
        <v>#NUM!</v>
      </c>
      <c r="AL110" s="87" t="e">
        <f t="shared" si="104"/>
        <v>#NUM!</v>
      </c>
      <c r="AM110" s="87" t="e">
        <f t="shared" si="105"/>
        <v>#NUM!</v>
      </c>
      <c r="AN110" s="86">
        <f t="shared" si="20"/>
        <v>0</v>
      </c>
      <c r="AO110" s="87">
        <f t="shared" si="21"/>
        <v>0</v>
      </c>
      <c r="AP110" s="88">
        <f t="shared" si="22"/>
        <v>0</v>
      </c>
      <c r="AR110" s="89">
        <f t="shared" si="23"/>
        <v>0</v>
      </c>
      <c r="AS110" s="87">
        <f t="shared" si="24"/>
        <v>0</v>
      </c>
      <c r="AT110" s="87" t="str">
        <f t="shared" si="25"/>
        <v/>
      </c>
      <c r="AU110" s="87" t="str">
        <f t="shared" si="26"/>
        <v/>
      </c>
      <c r="AV110" s="86">
        <f t="shared" si="106"/>
        <v>0</v>
      </c>
      <c r="AW110" s="87">
        <f t="shared" si="107"/>
        <v>0</v>
      </c>
      <c r="AX110" s="87">
        <f t="shared" si="108"/>
        <v>0</v>
      </c>
      <c r="AY110" s="93"/>
      <c r="AZ110" s="87">
        <f t="shared" si="201"/>
        <v>0</v>
      </c>
      <c r="BA110" s="87">
        <f t="shared" si="109"/>
        <v>0</v>
      </c>
      <c r="BB110" s="87">
        <f t="shared" si="110"/>
        <v>0</v>
      </c>
      <c r="BC110" s="87">
        <f t="shared" si="184"/>
        <v>0</v>
      </c>
      <c r="BD110" s="86" t="e">
        <f t="shared" si="27"/>
        <v>#NUM!</v>
      </c>
      <c r="BE110" s="87" t="e">
        <f t="shared" si="3"/>
        <v>#NUM!</v>
      </c>
      <c r="BF110" s="88">
        <f t="shared" si="111"/>
        <v>0</v>
      </c>
      <c r="BH110" s="87" t="e">
        <f t="shared" si="28"/>
        <v>#NUM!</v>
      </c>
      <c r="BK110" s="95">
        <v>40180</v>
      </c>
      <c r="BL110" s="96">
        <v>31</v>
      </c>
      <c r="BT110" s="51">
        <v>60000.01</v>
      </c>
      <c r="BU110" s="51">
        <v>1000000</v>
      </c>
      <c r="BV110" s="30" t="str">
        <f t="shared" si="204"/>
        <v>60000.01-1000000</v>
      </c>
      <c r="BW110" s="30" t="s">
        <v>497</v>
      </c>
      <c r="BX110" s="30" t="s">
        <v>497</v>
      </c>
      <c r="BY110" s="30" t="s">
        <v>497</v>
      </c>
      <c r="BZ110" s="30" t="s">
        <v>497</v>
      </c>
      <c r="CA110" s="30" t="s">
        <v>497</v>
      </c>
      <c r="CB110" s="30" t="s">
        <v>497</v>
      </c>
      <c r="CC110" s="30" t="s">
        <v>497</v>
      </c>
      <c r="CD110" s="30" t="s">
        <v>497</v>
      </c>
      <c r="CE110" s="30" t="s">
        <v>497</v>
      </c>
      <c r="CF110" s="30" t="s">
        <v>497</v>
      </c>
      <c r="CG110" s="30" t="s">
        <v>497</v>
      </c>
      <c r="CS110" s="108" t="str">
        <f t="shared" si="29"/>
        <v/>
      </c>
      <c r="CT110" s="109" t="str">
        <f t="shared" si="30"/>
        <v/>
      </c>
      <c r="CU110" s="109" t="str">
        <f t="shared" si="31"/>
        <v/>
      </c>
      <c r="CV110" s="110" t="str">
        <f t="shared" ref="CV110:CV118" si="205">IF($B110="","",IF(OR($F$10="ანუიტეტური",$F$10="სამომხმარებლო"),CV109-CT110,IF($F$10="საშეღავათო",CV109-CT110,IF($F$10="ნულოვანი საშეღავათო",CV109-CT110))))</f>
        <v/>
      </c>
      <c r="CX110" s="108" t="str">
        <f t="shared" si="33"/>
        <v/>
      </c>
      <c r="CY110" s="109" t="str">
        <f t="shared" si="113"/>
        <v/>
      </c>
      <c r="CZ110" s="109" t="str">
        <f t="shared" si="34"/>
        <v/>
      </c>
      <c r="DA110" s="110" t="str">
        <f t="shared" ref="DA110:DA118" si="206">IF($B110="","",DA109-CY110)</f>
        <v/>
      </c>
      <c r="DC110" s="108" t="str">
        <f t="shared" si="114"/>
        <v/>
      </c>
      <c r="DD110" s="109" t="str">
        <f t="shared" si="115"/>
        <v/>
      </c>
      <c r="DE110" s="109" t="str">
        <f t="shared" si="36"/>
        <v/>
      </c>
      <c r="DF110" s="110" t="str">
        <f t="shared" ref="DF110:DF118" si="207">IF($B110="","",DF109-DD110)</f>
        <v/>
      </c>
      <c r="DH110" s="108" t="str">
        <f t="shared" si="38"/>
        <v/>
      </c>
      <c r="DI110" s="109" t="str">
        <f t="shared" si="39"/>
        <v/>
      </c>
      <c r="DJ110" s="109" t="str">
        <f t="shared" si="40"/>
        <v/>
      </c>
      <c r="DK110" s="110" t="str">
        <f t="shared" ref="DK110:DK118" si="208">IF($B110="","",DK109-DI110)</f>
        <v/>
      </c>
      <c r="DM110" s="108" t="str">
        <f t="shared" si="116"/>
        <v/>
      </c>
      <c r="DN110" s="109" t="str">
        <f t="shared" si="117"/>
        <v/>
      </c>
      <c r="DO110" s="109" t="str">
        <f t="shared" si="42"/>
        <v/>
      </c>
      <c r="DP110" s="110" t="str">
        <f t="shared" ref="DP110:DP118" si="209">IF($B110="","",DP109-DN110)</f>
        <v/>
      </c>
      <c r="DR110" s="108" t="str">
        <f t="shared" si="43"/>
        <v/>
      </c>
      <c r="DS110" s="109" t="str">
        <f t="shared" si="118"/>
        <v/>
      </c>
      <c r="DT110" s="109" t="str">
        <f t="shared" si="44"/>
        <v/>
      </c>
      <c r="DU110" s="110" t="str">
        <f t="shared" ref="DU110:DU118" si="210">IF($B110="","",DU109-DS110)</f>
        <v/>
      </c>
      <c r="DW110" s="108" t="str">
        <f t="shared" si="120"/>
        <v/>
      </c>
      <c r="DX110" s="109" t="str">
        <f t="shared" si="121"/>
        <v/>
      </c>
      <c r="DY110" s="109" t="str">
        <f t="shared" si="45"/>
        <v/>
      </c>
      <c r="DZ110" s="110" t="str">
        <f t="shared" ref="DZ110:DZ118" si="211">IF($B110="","",DZ109-DX110)</f>
        <v/>
      </c>
      <c r="EB110" s="108" t="str">
        <f t="shared" si="46"/>
        <v/>
      </c>
      <c r="EC110" s="109" t="str">
        <f t="shared" si="122"/>
        <v/>
      </c>
      <c r="ED110" s="109" t="str">
        <f t="shared" si="47"/>
        <v/>
      </c>
      <c r="EE110" s="110" t="str">
        <f t="shared" ref="EE110:EE118" si="212">IF($B110="","",EE109-EC110)</f>
        <v/>
      </c>
      <c r="EG110" s="108" t="str">
        <f t="shared" si="124"/>
        <v/>
      </c>
      <c r="EH110" s="109" t="str">
        <f t="shared" si="125"/>
        <v/>
      </c>
      <c r="EI110" s="109" t="str">
        <f t="shared" si="48"/>
        <v/>
      </c>
      <c r="EJ110" s="110" t="str">
        <f t="shared" ref="EJ110:EJ118" si="213">IF($B110="","",EJ109-EH110)</f>
        <v/>
      </c>
      <c r="EL110" s="108" t="str">
        <f t="shared" si="49"/>
        <v/>
      </c>
      <c r="EM110" s="109" t="str">
        <f t="shared" si="126"/>
        <v/>
      </c>
      <c r="EN110" s="109" t="str">
        <f t="shared" si="50"/>
        <v/>
      </c>
      <c r="EO110" s="110" t="str">
        <f t="shared" ref="EO110:EO118" si="214">IF($B110="","",EO109-EM110)</f>
        <v/>
      </c>
      <c r="EQ110" s="108" t="str">
        <f t="shared" si="128"/>
        <v/>
      </c>
      <c r="ER110" s="109" t="str">
        <f t="shared" si="129"/>
        <v/>
      </c>
      <c r="ES110" s="109" t="str">
        <f t="shared" si="51"/>
        <v/>
      </c>
      <c r="ET110" s="110" t="str">
        <f t="shared" ref="ET110:ET118" si="215">IF($B110="","",ET109-ER110)</f>
        <v/>
      </c>
      <c r="EV110" s="108" t="str">
        <f t="shared" si="52"/>
        <v/>
      </c>
      <c r="EW110" s="109" t="str">
        <f t="shared" si="130"/>
        <v/>
      </c>
      <c r="EX110" s="109" t="str">
        <f t="shared" si="53"/>
        <v/>
      </c>
      <c r="EY110" s="110" t="str">
        <f t="shared" ref="EY110:EY118" si="216">IF($B110="","",EY109-EW110)</f>
        <v/>
      </c>
      <c r="FA110" s="108" t="str">
        <f t="shared" si="132"/>
        <v/>
      </c>
      <c r="FB110" s="109" t="str">
        <f t="shared" si="133"/>
        <v/>
      </c>
      <c r="FC110" s="109" t="str">
        <f t="shared" si="54"/>
        <v/>
      </c>
      <c r="FD110" s="110" t="str">
        <f t="shared" ref="FD110:FD118" si="217">IF($B110="","",FD109-FB110)</f>
        <v/>
      </c>
      <c r="FF110" s="108" t="str">
        <f t="shared" si="55"/>
        <v/>
      </c>
      <c r="FG110" s="109" t="str">
        <f t="shared" si="134"/>
        <v/>
      </c>
      <c r="FH110" s="109" t="str">
        <f t="shared" si="56"/>
        <v/>
      </c>
      <c r="FI110" s="110" t="str">
        <f t="shared" ref="FI110:FI118" si="218">IF($B110="","",FI109-FG110)</f>
        <v/>
      </c>
      <c r="FK110" s="108" t="str">
        <f t="shared" si="136"/>
        <v/>
      </c>
      <c r="FL110" s="109" t="str">
        <f t="shared" si="137"/>
        <v/>
      </c>
      <c r="FM110" s="109" t="str">
        <f t="shared" si="57"/>
        <v/>
      </c>
      <c r="FN110" s="110" t="str">
        <f t="shared" ref="FN110:FN118" si="219">IF($B110="","",FN109-FL110)</f>
        <v/>
      </c>
      <c r="FP110" s="108" t="str">
        <f t="shared" si="58"/>
        <v/>
      </c>
      <c r="FQ110" s="109" t="str">
        <f t="shared" si="138"/>
        <v/>
      </c>
      <c r="FR110" s="109" t="str">
        <f t="shared" si="59"/>
        <v/>
      </c>
      <c r="FS110" s="110" t="str">
        <f t="shared" ref="FS110:FS118" si="220">IF($B110="","",FS109-FQ110)</f>
        <v/>
      </c>
      <c r="FU110" s="108" t="str">
        <f t="shared" si="140"/>
        <v/>
      </c>
      <c r="FV110" s="109" t="str">
        <f t="shared" si="141"/>
        <v/>
      </c>
      <c r="FW110" s="109" t="str">
        <f t="shared" si="60"/>
        <v/>
      </c>
      <c r="FX110" s="110" t="str">
        <f t="shared" ref="FX110:FX118" si="221">IF($B110="","",FX109-FV110)</f>
        <v/>
      </c>
      <c r="FZ110" s="108" t="str">
        <f t="shared" si="61"/>
        <v/>
      </c>
      <c r="GA110" s="109" t="str">
        <f t="shared" si="142"/>
        <v/>
      </c>
      <c r="GB110" s="109" t="str">
        <f t="shared" si="62"/>
        <v/>
      </c>
      <c r="GC110" s="110" t="str">
        <f t="shared" ref="GC110:GC118" si="222">IF($B110="","",GC109-GA110)</f>
        <v/>
      </c>
      <c r="GE110" s="108" t="str">
        <f t="shared" si="144"/>
        <v/>
      </c>
      <c r="GF110" s="109" t="str">
        <f t="shared" si="145"/>
        <v/>
      </c>
      <c r="GG110" s="109" t="str">
        <f t="shared" si="146"/>
        <v/>
      </c>
      <c r="GH110" s="110" t="str">
        <f t="shared" ref="GH110:GH118" si="223">IF($B110="","",GH109-GF110)</f>
        <v/>
      </c>
      <c r="GL110" s="108" t="str">
        <f t="shared" si="63"/>
        <v/>
      </c>
      <c r="GM110" s="109" t="str">
        <f t="shared" si="64"/>
        <v/>
      </c>
      <c r="GN110" s="109" t="str">
        <f t="shared" si="65"/>
        <v/>
      </c>
      <c r="GO110" s="110" t="str">
        <f t="shared" si="66"/>
        <v/>
      </c>
      <c r="GP110" s="51"/>
      <c r="GQ110" s="108" t="str">
        <f t="shared" si="67"/>
        <v/>
      </c>
      <c r="GR110" s="109" t="str">
        <f t="shared" si="147"/>
        <v/>
      </c>
      <c r="GS110" s="109" t="str">
        <f t="shared" si="68"/>
        <v/>
      </c>
      <c r="GT110" s="110" t="str">
        <f t="shared" si="69"/>
        <v/>
      </c>
      <c r="GU110" s="51"/>
      <c r="GV110" s="108" t="str">
        <f t="shared" si="148"/>
        <v/>
      </c>
      <c r="GW110" s="109" t="str">
        <f t="shared" si="149"/>
        <v/>
      </c>
      <c r="GX110" s="109" t="str">
        <f t="shared" si="70"/>
        <v/>
      </c>
      <c r="GY110" s="110" t="str">
        <f t="shared" si="150"/>
        <v/>
      </c>
      <c r="GZ110" s="51"/>
      <c r="HA110" s="108" t="str">
        <f t="shared" si="71"/>
        <v/>
      </c>
      <c r="HB110" s="109" t="str">
        <f t="shared" si="151"/>
        <v/>
      </c>
      <c r="HC110" s="109" t="str">
        <f t="shared" si="72"/>
        <v/>
      </c>
      <c r="HD110" s="110" t="str">
        <f t="shared" si="193"/>
        <v/>
      </c>
      <c r="HE110" s="51"/>
      <c r="HF110" s="108" t="str">
        <f t="shared" si="152"/>
        <v/>
      </c>
      <c r="HG110" s="109" t="str">
        <f t="shared" si="153"/>
        <v/>
      </c>
      <c r="HH110" s="109" t="str">
        <f t="shared" si="73"/>
        <v/>
      </c>
      <c r="HI110" s="110" t="str">
        <f t="shared" si="154"/>
        <v/>
      </c>
      <c r="HJ110" s="51"/>
      <c r="HK110" s="108" t="str">
        <f t="shared" si="74"/>
        <v/>
      </c>
      <c r="HL110" s="109" t="str">
        <f t="shared" si="155"/>
        <v/>
      </c>
      <c r="HM110" s="109" t="str">
        <f t="shared" si="75"/>
        <v/>
      </c>
      <c r="HN110" s="110" t="str">
        <f t="shared" si="194"/>
        <v/>
      </c>
      <c r="HO110" s="51"/>
      <c r="HP110" s="108" t="str">
        <f t="shared" si="156"/>
        <v/>
      </c>
      <c r="HQ110" s="109" t="str">
        <f t="shared" si="157"/>
        <v/>
      </c>
      <c r="HR110" s="109" t="str">
        <f t="shared" si="76"/>
        <v/>
      </c>
      <c r="HS110" s="110" t="str">
        <f t="shared" si="158"/>
        <v/>
      </c>
      <c r="HT110" s="51"/>
      <c r="HU110" s="108" t="str">
        <f t="shared" si="77"/>
        <v/>
      </c>
      <c r="HV110" s="109" t="str">
        <f t="shared" si="159"/>
        <v/>
      </c>
      <c r="HW110" s="109" t="str">
        <f t="shared" si="78"/>
        <v/>
      </c>
      <c r="HX110" s="110" t="str">
        <f t="shared" si="195"/>
        <v/>
      </c>
      <c r="HY110" s="51"/>
      <c r="HZ110" s="108" t="str">
        <f t="shared" si="160"/>
        <v/>
      </c>
      <c r="IA110" s="109" t="str">
        <f t="shared" si="161"/>
        <v/>
      </c>
      <c r="IB110" s="109" t="str">
        <f t="shared" si="79"/>
        <v/>
      </c>
      <c r="IC110" s="110" t="str">
        <f t="shared" si="162"/>
        <v/>
      </c>
      <c r="ID110" s="51"/>
      <c r="IE110" s="108" t="str">
        <f t="shared" si="80"/>
        <v/>
      </c>
      <c r="IF110" s="109" t="str">
        <f t="shared" si="163"/>
        <v/>
      </c>
      <c r="IG110" s="109" t="str">
        <f t="shared" si="81"/>
        <v/>
      </c>
      <c r="IH110" s="110" t="str">
        <f t="shared" si="196"/>
        <v/>
      </c>
      <c r="II110" s="51"/>
      <c r="IJ110" s="108" t="str">
        <f t="shared" si="164"/>
        <v/>
      </c>
      <c r="IK110" s="109" t="str">
        <f t="shared" si="165"/>
        <v/>
      </c>
      <c r="IL110" s="109" t="str">
        <f t="shared" si="82"/>
        <v/>
      </c>
      <c r="IM110" s="110" t="str">
        <f t="shared" si="166"/>
        <v/>
      </c>
      <c r="IN110" s="51"/>
      <c r="IO110" s="108" t="str">
        <f t="shared" si="83"/>
        <v/>
      </c>
      <c r="IP110" s="109" t="str">
        <f t="shared" si="167"/>
        <v/>
      </c>
      <c r="IQ110" s="109" t="str">
        <f t="shared" si="84"/>
        <v/>
      </c>
      <c r="IR110" s="110" t="str">
        <f t="shared" si="197"/>
        <v/>
      </c>
      <c r="IS110" s="51"/>
      <c r="IT110" s="108" t="str">
        <f t="shared" si="168"/>
        <v/>
      </c>
      <c r="IU110" s="109" t="str">
        <f t="shared" si="169"/>
        <v/>
      </c>
      <c r="IV110" s="109" t="str">
        <f t="shared" si="85"/>
        <v/>
      </c>
      <c r="IW110" s="110" t="str">
        <f t="shared" si="170"/>
        <v/>
      </c>
      <c r="IX110" s="51"/>
      <c r="IY110" s="108" t="str">
        <f t="shared" si="86"/>
        <v/>
      </c>
      <c r="IZ110" s="109" t="str">
        <f t="shared" si="171"/>
        <v/>
      </c>
      <c r="JA110" s="109" t="str">
        <f t="shared" si="87"/>
        <v/>
      </c>
      <c r="JB110" s="110" t="str">
        <f t="shared" si="198"/>
        <v/>
      </c>
      <c r="JC110" s="51"/>
      <c r="JD110" s="108" t="str">
        <f t="shared" si="172"/>
        <v/>
      </c>
      <c r="JE110" s="109" t="str">
        <f t="shared" si="173"/>
        <v/>
      </c>
      <c r="JF110" s="109" t="str">
        <f t="shared" si="88"/>
        <v/>
      </c>
      <c r="JG110" s="110" t="str">
        <f t="shared" si="174"/>
        <v/>
      </c>
      <c r="JH110" s="51"/>
      <c r="JI110" s="108" t="str">
        <f t="shared" si="89"/>
        <v/>
      </c>
      <c r="JJ110" s="109" t="str">
        <f t="shared" si="175"/>
        <v/>
      </c>
      <c r="JK110" s="109" t="str">
        <f t="shared" si="90"/>
        <v/>
      </c>
      <c r="JL110" s="110" t="str">
        <f t="shared" si="199"/>
        <v/>
      </c>
      <c r="JM110" s="51"/>
      <c r="JN110" s="108" t="str">
        <f t="shared" si="176"/>
        <v/>
      </c>
      <c r="JO110" s="109" t="str">
        <f t="shared" si="177"/>
        <v/>
      </c>
      <c r="JP110" s="109" t="str">
        <f t="shared" si="91"/>
        <v/>
      </c>
      <c r="JQ110" s="110" t="str">
        <f t="shared" si="178"/>
        <v/>
      </c>
      <c r="JR110" s="51"/>
      <c r="JS110" s="108" t="str">
        <f t="shared" si="92"/>
        <v/>
      </c>
      <c r="JT110" s="109" t="str">
        <f t="shared" si="179"/>
        <v/>
      </c>
      <c r="JU110" s="109" t="str">
        <f t="shared" si="93"/>
        <v/>
      </c>
      <c r="JV110" s="110" t="str">
        <f t="shared" si="200"/>
        <v/>
      </c>
      <c r="JW110" s="51"/>
      <c r="JX110" s="108" t="str">
        <f t="shared" si="180"/>
        <v/>
      </c>
      <c r="JY110" s="109" t="str">
        <f t="shared" si="181"/>
        <v/>
      </c>
      <c r="JZ110" s="109" t="str">
        <f t="shared" si="94"/>
        <v/>
      </c>
      <c r="KA110" s="110" t="str">
        <f t="shared" si="95"/>
        <v/>
      </c>
    </row>
    <row r="111" spans="1:287" ht="12" customHeight="1">
      <c r="A111" s="105">
        <f t="array" ref="A111">MAX(IF($J$80:J110&gt;0,$C$80:C110,0))</f>
        <v>43536</v>
      </c>
      <c r="B111" s="81" t="str">
        <f t="shared" si="4"/>
        <v/>
      </c>
      <c r="C111" s="82">
        <f t="shared" si="182"/>
        <v>0</v>
      </c>
      <c r="D111" s="83" t="str">
        <f t="shared" si="5"/>
        <v/>
      </c>
      <c r="E111" s="83" t="str">
        <f t="shared" si="96"/>
        <v/>
      </c>
      <c r="F111" s="83" t="str">
        <f t="shared" si="6"/>
        <v/>
      </c>
      <c r="G111" s="83" t="str">
        <f t="shared" si="7"/>
        <v/>
      </c>
      <c r="H111" s="83" t="str">
        <f t="shared" si="8"/>
        <v/>
      </c>
      <c r="I111" s="105">
        <f t="array" ref="I111">MAX(IF($R$80:R110&gt;0,$L$80:L110,0))</f>
        <v>0</v>
      </c>
      <c r="J111" s="106"/>
      <c r="K111" s="2" t="str">
        <f t="shared" si="9"/>
        <v/>
      </c>
      <c r="L111" s="82">
        <f t="shared" si="183"/>
        <v>0</v>
      </c>
      <c r="M111" s="83" t="str">
        <f t="shared" si="97"/>
        <v/>
      </c>
      <c r="N111" s="83" t="str">
        <f t="shared" si="10"/>
        <v/>
      </c>
      <c r="O111" s="83" t="str">
        <f t="shared" si="11"/>
        <v/>
      </c>
      <c r="P111" s="83" t="str">
        <f t="shared" si="12"/>
        <v/>
      </c>
      <c r="Q111" s="83" t="str">
        <f t="shared" si="13"/>
        <v/>
      </c>
      <c r="R111" s="106"/>
      <c r="S111" s="1"/>
      <c r="U111" s="85" t="e">
        <f t="shared" si="0"/>
        <v>#NUM!</v>
      </c>
      <c r="V111" s="86" t="e">
        <f t="shared" si="98"/>
        <v>#NUM!</v>
      </c>
      <c r="W111" s="87" t="e">
        <f t="shared" si="14"/>
        <v>#NUM!</v>
      </c>
      <c r="X111" s="87" t="e">
        <f t="shared" si="15"/>
        <v>#NUM!</v>
      </c>
      <c r="Y111" s="87" t="e">
        <f t="shared" si="16"/>
        <v>#NUM!</v>
      </c>
      <c r="Z111" s="88" t="e">
        <f t="shared" si="1"/>
        <v>#NUM!</v>
      </c>
      <c r="AB111" s="89">
        <f t="shared" si="99"/>
        <v>0</v>
      </c>
      <c r="AC111" s="87">
        <f t="shared" si="100"/>
        <v>0</v>
      </c>
      <c r="AD111" s="87" t="str">
        <f t="shared" si="17"/>
        <v/>
      </c>
      <c r="AE111" s="87" t="str">
        <f t="shared" si="18"/>
        <v/>
      </c>
      <c r="AF111" s="86">
        <f t="shared" si="101"/>
        <v>0</v>
      </c>
      <c r="AG111" s="87">
        <f t="shared" si="2"/>
        <v>0</v>
      </c>
      <c r="AH111" s="87">
        <f t="shared" si="102"/>
        <v>0</v>
      </c>
      <c r="AI111" s="90"/>
      <c r="AJ111" s="87" t="e">
        <f t="shared" si="19"/>
        <v>#NUM!</v>
      </c>
      <c r="AK111" s="87" t="e">
        <f t="shared" si="103"/>
        <v>#NUM!</v>
      </c>
      <c r="AL111" s="87" t="e">
        <f t="shared" si="104"/>
        <v>#NUM!</v>
      </c>
      <c r="AM111" s="87" t="e">
        <f t="shared" si="105"/>
        <v>#NUM!</v>
      </c>
      <c r="AN111" s="86">
        <f t="shared" si="20"/>
        <v>0</v>
      </c>
      <c r="AO111" s="87">
        <f t="shared" si="21"/>
        <v>0</v>
      </c>
      <c r="AP111" s="88">
        <f t="shared" si="22"/>
        <v>0</v>
      </c>
      <c r="AR111" s="89">
        <f t="shared" si="23"/>
        <v>0</v>
      </c>
      <c r="AS111" s="87">
        <f t="shared" si="24"/>
        <v>0</v>
      </c>
      <c r="AT111" s="87" t="str">
        <f t="shared" si="25"/>
        <v/>
      </c>
      <c r="AU111" s="87" t="str">
        <f t="shared" si="26"/>
        <v/>
      </c>
      <c r="AV111" s="86">
        <f t="shared" si="106"/>
        <v>0</v>
      </c>
      <c r="AW111" s="87">
        <f t="shared" si="107"/>
        <v>0</v>
      </c>
      <c r="AX111" s="87">
        <f t="shared" si="108"/>
        <v>0</v>
      </c>
      <c r="AY111" s="93"/>
      <c r="AZ111" s="87">
        <f t="shared" si="201"/>
        <v>0</v>
      </c>
      <c r="BA111" s="87">
        <f t="shared" si="109"/>
        <v>0</v>
      </c>
      <c r="BB111" s="87">
        <f t="shared" si="110"/>
        <v>0</v>
      </c>
      <c r="BC111" s="87">
        <f t="shared" si="184"/>
        <v>0</v>
      </c>
      <c r="BD111" s="86" t="e">
        <f t="shared" si="27"/>
        <v>#NUM!</v>
      </c>
      <c r="BE111" s="87" t="e">
        <f t="shared" si="3"/>
        <v>#NUM!</v>
      </c>
      <c r="BF111" s="88">
        <f t="shared" si="111"/>
        <v>0</v>
      </c>
      <c r="BH111" s="87" t="e">
        <f t="shared" si="28"/>
        <v>#NUM!</v>
      </c>
      <c r="BK111" s="95">
        <v>40185</v>
      </c>
      <c r="BL111" s="96">
        <v>32</v>
      </c>
      <c r="CS111" s="108" t="str">
        <f t="shared" si="29"/>
        <v/>
      </c>
      <c r="CT111" s="109" t="str">
        <f t="shared" si="30"/>
        <v/>
      </c>
      <c r="CU111" s="109" t="str">
        <f t="shared" si="31"/>
        <v/>
      </c>
      <c r="CV111" s="110" t="str">
        <f t="shared" si="205"/>
        <v/>
      </c>
      <c r="CX111" s="108" t="str">
        <f t="shared" si="33"/>
        <v/>
      </c>
      <c r="CY111" s="109" t="str">
        <f t="shared" si="113"/>
        <v/>
      </c>
      <c r="CZ111" s="109" t="str">
        <f t="shared" si="34"/>
        <v/>
      </c>
      <c r="DA111" s="110" t="str">
        <f t="shared" si="206"/>
        <v/>
      </c>
      <c r="DC111" s="108" t="str">
        <f t="shared" si="114"/>
        <v/>
      </c>
      <c r="DD111" s="109" t="str">
        <f t="shared" si="115"/>
        <v/>
      </c>
      <c r="DE111" s="109" t="str">
        <f t="shared" si="36"/>
        <v/>
      </c>
      <c r="DF111" s="110" t="str">
        <f t="shared" si="207"/>
        <v/>
      </c>
      <c r="DH111" s="108" t="str">
        <f t="shared" si="38"/>
        <v/>
      </c>
      <c r="DI111" s="109" t="str">
        <f t="shared" si="39"/>
        <v/>
      </c>
      <c r="DJ111" s="109" t="str">
        <f t="shared" si="40"/>
        <v/>
      </c>
      <c r="DK111" s="110" t="str">
        <f t="shared" si="208"/>
        <v/>
      </c>
      <c r="DM111" s="108" t="str">
        <f t="shared" si="116"/>
        <v/>
      </c>
      <c r="DN111" s="109" t="str">
        <f t="shared" si="117"/>
        <v/>
      </c>
      <c r="DO111" s="109" t="str">
        <f t="shared" si="42"/>
        <v/>
      </c>
      <c r="DP111" s="110" t="str">
        <f t="shared" si="209"/>
        <v/>
      </c>
      <c r="DR111" s="108" t="str">
        <f t="shared" si="43"/>
        <v/>
      </c>
      <c r="DS111" s="109" t="str">
        <f t="shared" si="118"/>
        <v/>
      </c>
      <c r="DT111" s="109" t="str">
        <f t="shared" si="44"/>
        <v/>
      </c>
      <c r="DU111" s="110" t="str">
        <f t="shared" si="210"/>
        <v/>
      </c>
      <c r="DW111" s="108" t="str">
        <f t="shared" si="120"/>
        <v/>
      </c>
      <c r="DX111" s="109" t="str">
        <f t="shared" si="121"/>
        <v/>
      </c>
      <c r="DY111" s="109" t="str">
        <f t="shared" si="45"/>
        <v/>
      </c>
      <c r="DZ111" s="110" t="str">
        <f t="shared" si="211"/>
        <v/>
      </c>
      <c r="EB111" s="108" t="str">
        <f t="shared" si="46"/>
        <v/>
      </c>
      <c r="EC111" s="109" t="str">
        <f t="shared" si="122"/>
        <v/>
      </c>
      <c r="ED111" s="109" t="str">
        <f t="shared" si="47"/>
        <v/>
      </c>
      <c r="EE111" s="110" t="str">
        <f t="shared" si="212"/>
        <v/>
      </c>
      <c r="EG111" s="108" t="str">
        <f t="shared" si="124"/>
        <v/>
      </c>
      <c r="EH111" s="109" t="str">
        <f t="shared" si="125"/>
        <v/>
      </c>
      <c r="EI111" s="109" t="str">
        <f t="shared" si="48"/>
        <v/>
      </c>
      <c r="EJ111" s="110" t="str">
        <f t="shared" si="213"/>
        <v/>
      </c>
      <c r="EL111" s="108" t="str">
        <f t="shared" si="49"/>
        <v/>
      </c>
      <c r="EM111" s="109" t="str">
        <f t="shared" si="126"/>
        <v/>
      </c>
      <c r="EN111" s="109" t="str">
        <f t="shared" si="50"/>
        <v/>
      </c>
      <c r="EO111" s="110" t="str">
        <f t="shared" si="214"/>
        <v/>
      </c>
      <c r="EQ111" s="108" t="str">
        <f t="shared" si="128"/>
        <v/>
      </c>
      <c r="ER111" s="109" t="str">
        <f t="shared" si="129"/>
        <v/>
      </c>
      <c r="ES111" s="109" t="str">
        <f t="shared" si="51"/>
        <v/>
      </c>
      <c r="ET111" s="110" t="str">
        <f t="shared" si="215"/>
        <v/>
      </c>
      <c r="EV111" s="108" t="str">
        <f t="shared" si="52"/>
        <v/>
      </c>
      <c r="EW111" s="109" t="str">
        <f t="shared" si="130"/>
        <v/>
      </c>
      <c r="EX111" s="109" t="str">
        <f t="shared" si="53"/>
        <v/>
      </c>
      <c r="EY111" s="110" t="str">
        <f t="shared" si="216"/>
        <v/>
      </c>
      <c r="FA111" s="108" t="str">
        <f t="shared" si="132"/>
        <v/>
      </c>
      <c r="FB111" s="109" t="str">
        <f t="shared" si="133"/>
        <v/>
      </c>
      <c r="FC111" s="109" t="str">
        <f t="shared" si="54"/>
        <v/>
      </c>
      <c r="FD111" s="110" t="str">
        <f t="shared" si="217"/>
        <v/>
      </c>
      <c r="FF111" s="108" t="str">
        <f t="shared" si="55"/>
        <v/>
      </c>
      <c r="FG111" s="109" t="str">
        <f t="shared" si="134"/>
        <v/>
      </c>
      <c r="FH111" s="109" t="str">
        <f t="shared" si="56"/>
        <v/>
      </c>
      <c r="FI111" s="110" t="str">
        <f t="shared" si="218"/>
        <v/>
      </c>
      <c r="FK111" s="108" t="str">
        <f t="shared" si="136"/>
        <v/>
      </c>
      <c r="FL111" s="109" t="str">
        <f t="shared" si="137"/>
        <v/>
      </c>
      <c r="FM111" s="109" t="str">
        <f t="shared" si="57"/>
        <v/>
      </c>
      <c r="FN111" s="110" t="str">
        <f t="shared" si="219"/>
        <v/>
      </c>
      <c r="FP111" s="108" t="str">
        <f t="shared" si="58"/>
        <v/>
      </c>
      <c r="FQ111" s="109" t="str">
        <f t="shared" si="138"/>
        <v/>
      </c>
      <c r="FR111" s="109" t="str">
        <f t="shared" si="59"/>
        <v/>
      </c>
      <c r="FS111" s="110" t="str">
        <f t="shared" si="220"/>
        <v/>
      </c>
      <c r="FU111" s="108" t="str">
        <f t="shared" si="140"/>
        <v/>
      </c>
      <c r="FV111" s="109" t="str">
        <f t="shared" si="141"/>
        <v/>
      </c>
      <c r="FW111" s="109" t="str">
        <f t="shared" si="60"/>
        <v/>
      </c>
      <c r="FX111" s="110" t="str">
        <f t="shared" si="221"/>
        <v/>
      </c>
      <c r="FZ111" s="108" t="str">
        <f t="shared" si="61"/>
        <v/>
      </c>
      <c r="GA111" s="109" t="str">
        <f t="shared" si="142"/>
        <v/>
      </c>
      <c r="GB111" s="109" t="str">
        <f t="shared" si="62"/>
        <v/>
      </c>
      <c r="GC111" s="110" t="str">
        <f t="shared" si="222"/>
        <v/>
      </c>
      <c r="GE111" s="108" t="str">
        <f t="shared" si="144"/>
        <v/>
      </c>
      <c r="GF111" s="109" t="str">
        <f t="shared" si="145"/>
        <v/>
      </c>
      <c r="GG111" s="109" t="str">
        <f t="shared" si="146"/>
        <v/>
      </c>
      <c r="GH111" s="110" t="str">
        <f t="shared" si="223"/>
        <v/>
      </c>
      <c r="GL111" s="108" t="str">
        <f t="shared" si="63"/>
        <v/>
      </c>
      <c r="GM111" s="109" t="str">
        <f t="shared" si="64"/>
        <v/>
      </c>
      <c r="GN111" s="109" t="str">
        <f t="shared" si="65"/>
        <v/>
      </c>
      <c r="GO111" s="110" t="str">
        <f t="shared" si="66"/>
        <v/>
      </c>
      <c r="GP111" s="51"/>
      <c r="GQ111" s="108" t="str">
        <f t="shared" si="67"/>
        <v/>
      </c>
      <c r="GR111" s="109" t="str">
        <f t="shared" si="147"/>
        <v/>
      </c>
      <c r="GS111" s="109" t="str">
        <f t="shared" si="68"/>
        <v/>
      </c>
      <c r="GT111" s="110" t="str">
        <f t="shared" si="69"/>
        <v/>
      </c>
      <c r="GU111" s="51"/>
      <c r="GV111" s="108" t="str">
        <f t="shared" si="148"/>
        <v/>
      </c>
      <c r="GW111" s="109" t="str">
        <f t="shared" si="149"/>
        <v/>
      </c>
      <c r="GX111" s="109" t="str">
        <f t="shared" si="70"/>
        <v/>
      </c>
      <c r="GY111" s="110" t="str">
        <f t="shared" si="150"/>
        <v/>
      </c>
      <c r="GZ111" s="51"/>
      <c r="HA111" s="108" t="str">
        <f t="shared" si="71"/>
        <v/>
      </c>
      <c r="HB111" s="109" t="str">
        <f t="shared" si="151"/>
        <v/>
      </c>
      <c r="HC111" s="109" t="str">
        <f t="shared" si="72"/>
        <v/>
      </c>
      <c r="HD111" s="110" t="str">
        <f t="shared" si="193"/>
        <v/>
      </c>
      <c r="HE111" s="51"/>
      <c r="HF111" s="108" t="str">
        <f t="shared" si="152"/>
        <v/>
      </c>
      <c r="HG111" s="109" t="str">
        <f t="shared" si="153"/>
        <v/>
      </c>
      <c r="HH111" s="109" t="str">
        <f t="shared" si="73"/>
        <v/>
      </c>
      <c r="HI111" s="110" t="str">
        <f t="shared" si="154"/>
        <v/>
      </c>
      <c r="HJ111" s="51"/>
      <c r="HK111" s="108" t="str">
        <f t="shared" si="74"/>
        <v/>
      </c>
      <c r="HL111" s="109" t="str">
        <f t="shared" si="155"/>
        <v/>
      </c>
      <c r="HM111" s="109" t="str">
        <f t="shared" si="75"/>
        <v/>
      </c>
      <c r="HN111" s="110" t="str">
        <f t="shared" si="194"/>
        <v/>
      </c>
      <c r="HO111" s="51"/>
      <c r="HP111" s="108" t="str">
        <f t="shared" si="156"/>
        <v/>
      </c>
      <c r="HQ111" s="109" t="str">
        <f t="shared" si="157"/>
        <v/>
      </c>
      <c r="HR111" s="109" t="str">
        <f t="shared" si="76"/>
        <v/>
      </c>
      <c r="HS111" s="110" t="str">
        <f t="shared" si="158"/>
        <v/>
      </c>
      <c r="HT111" s="51"/>
      <c r="HU111" s="108" t="str">
        <f t="shared" si="77"/>
        <v/>
      </c>
      <c r="HV111" s="109" t="str">
        <f t="shared" si="159"/>
        <v/>
      </c>
      <c r="HW111" s="109" t="str">
        <f t="shared" si="78"/>
        <v/>
      </c>
      <c r="HX111" s="110" t="str">
        <f t="shared" si="195"/>
        <v/>
      </c>
      <c r="HY111" s="51"/>
      <c r="HZ111" s="108" t="str">
        <f t="shared" si="160"/>
        <v/>
      </c>
      <c r="IA111" s="109" t="str">
        <f t="shared" si="161"/>
        <v/>
      </c>
      <c r="IB111" s="109" t="str">
        <f t="shared" si="79"/>
        <v/>
      </c>
      <c r="IC111" s="110" t="str">
        <f t="shared" si="162"/>
        <v/>
      </c>
      <c r="ID111" s="51"/>
      <c r="IE111" s="108" t="str">
        <f t="shared" si="80"/>
        <v/>
      </c>
      <c r="IF111" s="109" t="str">
        <f t="shared" si="163"/>
        <v/>
      </c>
      <c r="IG111" s="109" t="str">
        <f t="shared" si="81"/>
        <v/>
      </c>
      <c r="IH111" s="110" t="str">
        <f t="shared" si="196"/>
        <v/>
      </c>
      <c r="II111" s="51"/>
      <c r="IJ111" s="108" t="str">
        <f t="shared" si="164"/>
        <v/>
      </c>
      <c r="IK111" s="109" t="str">
        <f t="shared" si="165"/>
        <v/>
      </c>
      <c r="IL111" s="109" t="str">
        <f t="shared" si="82"/>
        <v/>
      </c>
      <c r="IM111" s="110" t="str">
        <f t="shared" si="166"/>
        <v/>
      </c>
      <c r="IN111" s="51"/>
      <c r="IO111" s="108" t="str">
        <f t="shared" si="83"/>
        <v/>
      </c>
      <c r="IP111" s="109" t="str">
        <f t="shared" si="167"/>
        <v/>
      </c>
      <c r="IQ111" s="109" t="str">
        <f t="shared" si="84"/>
        <v/>
      </c>
      <c r="IR111" s="110" t="str">
        <f t="shared" si="197"/>
        <v/>
      </c>
      <c r="IS111" s="51"/>
      <c r="IT111" s="108" t="str">
        <f t="shared" si="168"/>
        <v/>
      </c>
      <c r="IU111" s="109" t="str">
        <f t="shared" si="169"/>
        <v/>
      </c>
      <c r="IV111" s="109" t="str">
        <f t="shared" si="85"/>
        <v/>
      </c>
      <c r="IW111" s="110" t="str">
        <f t="shared" si="170"/>
        <v/>
      </c>
      <c r="IX111" s="51"/>
      <c r="IY111" s="108" t="str">
        <f t="shared" si="86"/>
        <v/>
      </c>
      <c r="IZ111" s="109" t="str">
        <f t="shared" si="171"/>
        <v/>
      </c>
      <c r="JA111" s="109" t="str">
        <f t="shared" si="87"/>
        <v/>
      </c>
      <c r="JB111" s="110" t="str">
        <f t="shared" si="198"/>
        <v/>
      </c>
      <c r="JC111" s="51"/>
      <c r="JD111" s="108" t="str">
        <f t="shared" si="172"/>
        <v/>
      </c>
      <c r="JE111" s="109" t="str">
        <f t="shared" si="173"/>
        <v/>
      </c>
      <c r="JF111" s="109" t="str">
        <f t="shared" si="88"/>
        <v/>
      </c>
      <c r="JG111" s="110" t="str">
        <f t="shared" si="174"/>
        <v/>
      </c>
      <c r="JH111" s="51"/>
      <c r="JI111" s="108" t="str">
        <f t="shared" si="89"/>
        <v/>
      </c>
      <c r="JJ111" s="109" t="str">
        <f t="shared" si="175"/>
        <v/>
      </c>
      <c r="JK111" s="109" t="str">
        <f t="shared" si="90"/>
        <v/>
      </c>
      <c r="JL111" s="110" t="str">
        <f t="shared" si="199"/>
        <v/>
      </c>
      <c r="JM111" s="51"/>
      <c r="JN111" s="108" t="str">
        <f t="shared" si="176"/>
        <v/>
      </c>
      <c r="JO111" s="109" t="str">
        <f t="shared" si="177"/>
        <v/>
      </c>
      <c r="JP111" s="109" t="str">
        <f t="shared" si="91"/>
        <v/>
      </c>
      <c r="JQ111" s="110" t="str">
        <f t="shared" si="178"/>
        <v/>
      </c>
      <c r="JR111" s="51"/>
      <c r="JS111" s="108" t="str">
        <f t="shared" si="92"/>
        <v/>
      </c>
      <c r="JT111" s="109" t="str">
        <f t="shared" si="179"/>
        <v/>
      </c>
      <c r="JU111" s="109" t="str">
        <f t="shared" si="93"/>
        <v/>
      </c>
      <c r="JV111" s="110" t="str">
        <f t="shared" si="200"/>
        <v/>
      </c>
      <c r="JW111" s="51"/>
      <c r="JX111" s="108" t="str">
        <f t="shared" si="180"/>
        <v/>
      </c>
      <c r="JY111" s="109" t="str">
        <f t="shared" si="181"/>
        <v/>
      </c>
      <c r="JZ111" s="109" t="str">
        <f t="shared" si="94"/>
        <v/>
      </c>
      <c r="KA111" s="110" t="str">
        <f t="shared" si="95"/>
        <v/>
      </c>
    </row>
    <row r="112" spans="1:287" ht="12" customHeight="1">
      <c r="A112" s="105">
        <f t="array" ref="A112">MAX(IF($J$80:J111&gt;0,$C$80:C111,0))</f>
        <v>43536</v>
      </c>
      <c r="B112" s="81" t="str">
        <f t="shared" si="4"/>
        <v/>
      </c>
      <c r="C112" s="82">
        <f t="shared" si="182"/>
        <v>0</v>
      </c>
      <c r="D112" s="83" t="str">
        <f t="shared" si="5"/>
        <v/>
      </c>
      <c r="E112" s="83" t="str">
        <f t="shared" si="96"/>
        <v/>
      </c>
      <c r="F112" s="83" t="str">
        <f t="shared" si="6"/>
        <v/>
      </c>
      <c r="G112" s="83" t="str">
        <f t="shared" si="7"/>
        <v/>
      </c>
      <c r="H112" s="83" t="str">
        <f t="shared" si="8"/>
        <v/>
      </c>
      <c r="I112" s="105">
        <f t="array" ref="I112">MAX(IF($R$80:R111&gt;0,$L$80:L111,0))</f>
        <v>0</v>
      </c>
      <c r="J112" s="106"/>
      <c r="K112" s="2" t="str">
        <f t="shared" si="9"/>
        <v/>
      </c>
      <c r="L112" s="82">
        <f t="shared" si="183"/>
        <v>0</v>
      </c>
      <c r="M112" s="83" t="str">
        <f t="shared" si="97"/>
        <v/>
      </c>
      <c r="N112" s="83" t="str">
        <f t="shared" si="10"/>
        <v/>
      </c>
      <c r="O112" s="83" t="str">
        <f t="shared" si="11"/>
        <v/>
      </c>
      <c r="P112" s="83" t="str">
        <f t="shared" si="12"/>
        <v/>
      </c>
      <c r="Q112" s="83" t="str">
        <f t="shared" si="13"/>
        <v/>
      </c>
      <c r="R112" s="106"/>
      <c r="S112" s="1"/>
      <c r="U112" s="85" t="e">
        <f t="shared" si="0"/>
        <v>#NUM!</v>
      </c>
      <c r="V112" s="86" t="e">
        <f t="shared" si="98"/>
        <v>#NUM!</v>
      </c>
      <c r="W112" s="87" t="e">
        <f t="shared" si="14"/>
        <v>#NUM!</v>
      </c>
      <c r="X112" s="87" t="e">
        <f t="shared" si="15"/>
        <v>#NUM!</v>
      </c>
      <c r="Y112" s="87" t="e">
        <f t="shared" si="16"/>
        <v>#NUM!</v>
      </c>
      <c r="Z112" s="88" t="e">
        <f t="shared" si="1"/>
        <v>#NUM!</v>
      </c>
      <c r="AB112" s="89">
        <f t="shared" si="99"/>
        <v>0</v>
      </c>
      <c r="AC112" s="87">
        <f t="shared" si="100"/>
        <v>0</v>
      </c>
      <c r="AD112" s="87" t="str">
        <f t="shared" si="17"/>
        <v/>
      </c>
      <c r="AE112" s="87" t="str">
        <f t="shared" si="18"/>
        <v/>
      </c>
      <c r="AF112" s="86">
        <f t="shared" si="101"/>
        <v>0</v>
      </c>
      <c r="AG112" s="87">
        <f t="shared" si="2"/>
        <v>0</v>
      </c>
      <c r="AH112" s="87">
        <f t="shared" si="102"/>
        <v>0</v>
      </c>
      <c r="AI112" s="90"/>
      <c r="AJ112" s="87" t="e">
        <f t="shared" si="19"/>
        <v>#NUM!</v>
      </c>
      <c r="AK112" s="87" t="e">
        <f t="shared" si="103"/>
        <v>#NUM!</v>
      </c>
      <c r="AL112" s="87" t="e">
        <f t="shared" si="104"/>
        <v>#NUM!</v>
      </c>
      <c r="AM112" s="87" t="e">
        <f t="shared" si="105"/>
        <v>#NUM!</v>
      </c>
      <c r="AN112" s="86">
        <f t="shared" si="20"/>
        <v>0</v>
      </c>
      <c r="AO112" s="87">
        <f t="shared" si="21"/>
        <v>0</v>
      </c>
      <c r="AP112" s="88">
        <f t="shared" si="22"/>
        <v>0</v>
      </c>
      <c r="AR112" s="89">
        <f t="shared" si="23"/>
        <v>0</v>
      </c>
      <c r="AS112" s="87">
        <f t="shared" si="24"/>
        <v>0</v>
      </c>
      <c r="AT112" s="87" t="str">
        <f t="shared" si="25"/>
        <v/>
      </c>
      <c r="AU112" s="87" t="str">
        <f t="shared" si="26"/>
        <v/>
      </c>
      <c r="AV112" s="86">
        <f t="shared" si="106"/>
        <v>0</v>
      </c>
      <c r="AW112" s="87">
        <f t="shared" si="107"/>
        <v>0</v>
      </c>
      <c r="AX112" s="87">
        <f t="shared" si="108"/>
        <v>0</v>
      </c>
      <c r="AY112" s="93"/>
      <c r="AZ112" s="87">
        <f t="shared" si="201"/>
        <v>0</v>
      </c>
      <c r="BA112" s="87">
        <f t="shared" si="109"/>
        <v>0</v>
      </c>
      <c r="BB112" s="87">
        <f t="shared" si="110"/>
        <v>0</v>
      </c>
      <c r="BC112" s="87">
        <f t="shared" si="184"/>
        <v>0</v>
      </c>
      <c r="BD112" s="86" t="e">
        <f t="shared" si="27"/>
        <v>#NUM!</v>
      </c>
      <c r="BE112" s="87" t="e">
        <f t="shared" si="3"/>
        <v>#NUM!</v>
      </c>
      <c r="BF112" s="88">
        <f t="shared" si="111"/>
        <v>0</v>
      </c>
      <c r="BH112" s="87" t="e">
        <f t="shared" si="28"/>
        <v>#NUM!</v>
      </c>
      <c r="BK112" s="95">
        <v>40197</v>
      </c>
      <c r="BL112" s="96">
        <v>33</v>
      </c>
      <c r="BT112" t="s">
        <v>183</v>
      </c>
      <c r="BX112" s="107"/>
      <c r="BY112" s="107"/>
      <c r="BZ112" s="107"/>
      <c r="CA112" s="107"/>
      <c r="CB112" s="107"/>
      <c r="CC112" s="107"/>
      <c r="CD112" s="107"/>
      <c r="CE112" s="107"/>
      <c r="CF112" s="107"/>
      <c r="CG112" s="107"/>
      <c r="CS112" s="108" t="str">
        <f t="shared" si="29"/>
        <v/>
      </c>
      <c r="CT112" s="109" t="str">
        <f t="shared" si="30"/>
        <v/>
      </c>
      <c r="CU112" s="109" t="str">
        <f t="shared" si="31"/>
        <v/>
      </c>
      <c r="CV112" s="110" t="str">
        <f t="shared" si="205"/>
        <v/>
      </c>
      <c r="CX112" s="108" t="str">
        <f t="shared" si="33"/>
        <v/>
      </c>
      <c r="CY112" s="109" t="str">
        <f t="shared" si="113"/>
        <v/>
      </c>
      <c r="CZ112" s="109" t="str">
        <f t="shared" si="34"/>
        <v/>
      </c>
      <c r="DA112" s="110" t="str">
        <f t="shared" si="206"/>
        <v/>
      </c>
      <c r="DC112" s="108" t="str">
        <f t="shared" si="114"/>
        <v/>
      </c>
      <c r="DD112" s="109" t="str">
        <f t="shared" si="115"/>
        <v/>
      </c>
      <c r="DE112" s="109" t="str">
        <f t="shared" si="36"/>
        <v/>
      </c>
      <c r="DF112" s="110" t="str">
        <f t="shared" si="207"/>
        <v/>
      </c>
      <c r="DH112" s="108" t="str">
        <f t="shared" si="38"/>
        <v/>
      </c>
      <c r="DI112" s="109" t="str">
        <f t="shared" si="39"/>
        <v/>
      </c>
      <c r="DJ112" s="109" t="str">
        <f t="shared" si="40"/>
        <v/>
      </c>
      <c r="DK112" s="110" t="str">
        <f t="shared" si="208"/>
        <v/>
      </c>
      <c r="DM112" s="108" t="str">
        <f t="shared" si="116"/>
        <v/>
      </c>
      <c r="DN112" s="109" t="str">
        <f t="shared" si="117"/>
        <v/>
      </c>
      <c r="DO112" s="109" t="str">
        <f t="shared" si="42"/>
        <v/>
      </c>
      <c r="DP112" s="110" t="str">
        <f t="shared" si="209"/>
        <v/>
      </c>
      <c r="DR112" s="108" t="str">
        <f t="shared" si="43"/>
        <v/>
      </c>
      <c r="DS112" s="109" t="str">
        <f t="shared" si="118"/>
        <v/>
      </c>
      <c r="DT112" s="109" t="str">
        <f t="shared" si="44"/>
        <v/>
      </c>
      <c r="DU112" s="110" t="str">
        <f t="shared" si="210"/>
        <v/>
      </c>
      <c r="DW112" s="108" t="str">
        <f t="shared" si="120"/>
        <v/>
      </c>
      <c r="DX112" s="109" t="str">
        <f t="shared" si="121"/>
        <v/>
      </c>
      <c r="DY112" s="109" t="str">
        <f t="shared" si="45"/>
        <v/>
      </c>
      <c r="DZ112" s="110" t="str">
        <f t="shared" si="211"/>
        <v/>
      </c>
      <c r="EB112" s="108" t="str">
        <f t="shared" si="46"/>
        <v/>
      </c>
      <c r="EC112" s="109" t="str">
        <f t="shared" si="122"/>
        <v/>
      </c>
      <c r="ED112" s="109" t="str">
        <f t="shared" si="47"/>
        <v/>
      </c>
      <c r="EE112" s="110" t="str">
        <f t="shared" si="212"/>
        <v/>
      </c>
      <c r="EG112" s="108" t="str">
        <f t="shared" si="124"/>
        <v/>
      </c>
      <c r="EH112" s="109" t="str">
        <f t="shared" si="125"/>
        <v/>
      </c>
      <c r="EI112" s="109" t="str">
        <f t="shared" si="48"/>
        <v/>
      </c>
      <c r="EJ112" s="110" t="str">
        <f t="shared" si="213"/>
        <v/>
      </c>
      <c r="EL112" s="108" t="str">
        <f t="shared" si="49"/>
        <v/>
      </c>
      <c r="EM112" s="109" t="str">
        <f t="shared" si="126"/>
        <v/>
      </c>
      <c r="EN112" s="109" t="str">
        <f t="shared" si="50"/>
        <v/>
      </c>
      <c r="EO112" s="110" t="str">
        <f t="shared" si="214"/>
        <v/>
      </c>
      <c r="EQ112" s="108" t="str">
        <f t="shared" si="128"/>
        <v/>
      </c>
      <c r="ER112" s="109" t="str">
        <f t="shared" si="129"/>
        <v/>
      </c>
      <c r="ES112" s="109" t="str">
        <f t="shared" si="51"/>
        <v/>
      </c>
      <c r="ET112" s="110" t="str">
        <f t="shared" si="215"/>
        <v/>
      </c>
      <c r="EV112" s="108" t="str">
        <f t="shared" si="52"/>
        <v/>
      </c>
      <c r="EW112" s="109" t="str">
        <f t="shared" si="130"/>
        <v/>
      </c>
      <c r="EX112" s="109" t="str">
        <f t="shared" si="53"/>
        <v/>
      </c>
      <c r="EY112" s="110" t="str">
        <f t="shared" si="216"/>
        <v/>
      </c>
      <c r="FA112" s="108" t="str">
        <f t="shared" si="132"/>
        <v/>
      </c>
      <c r="FB112" s="109" t="str">
        <f t="shared" si="133"/>
        <v/>
      </c>
      <c r="FC112" s="109" t="str">
        <f t="shared" si="54"/>
        <v/>
      </c>
      <c r="FD112" s="110" t="str">
        <f t="shared" si="217"/>
        <v/>
      </c>
      <c r="FF112" s="108" t="str">
        <f t="shared" si="55"/>
        <v/>
      </c>
      <c r="FG112" s="109" t="str">
        <f t="shared" si="134"/>
        <v/>
      </c>
      <c r="FH112" s="109" t="str">
        <f t="shared" si="56"/>
        <v/>
      </c>
      <c r="FI112" s="110" t="str">
        <f t="shared" si="218"/>
        <v/>
      </c>
      <c r="FK112" s="108" t="str">
        <f t="shared" si="136"/>
        <v/>
      </c>
      <c r="FL112" s="109" t="str">
        <f t="shared" si="137"/>
        <v/>
      </c>
      <c r="FM112" s="109" t="str">
        <f t="shared" si="57"/>
        <v/>
      </c>
      <c r="FN112" s="110" t="str">
        <f t="shared" si="219"/>
        <v/>
      </c>
      <c r="FP112" s="108" t="str">
        <f t="shared" si="58"/>
        <v/>
      </c>
      <c r="FQ112" s="109" t="str">
        <f t="shared" si="138"/>
        <v/>
      </c>
      <c r="FR112" s="109" t="str">
        <f t="shared" si="59"/>
        <v/>
      </c>
      <c r="FS112" s="110" t="str">
        <f t="shared" si="220"/>
        <v/>
      </c>
      <c r="FU112" s="108" t="str">
        <f t="shared" si="140"/>
        <v/>
      </c>
      <c r="FV112" s="109" t="str">
        <f t="shared" si="141"/>
        <v/>
      </c>
      <c r="FW112" s="109" t="str">
        <f t="shared" si="60"/>
        <v/>
      </c>
      <c r="FX112" s="110" t="str">
        <f t="shared" si="221"/>
        <v/>
      </c>
      <c r="FZ112" s="108" t="str">
        <f t="shared" si="61"/>
        <v/>
      </c>
      <c r="GA112" s="109" t="str">
        <f t="shared" si="142"/>
        <v/>
      </c>
      <c r="GB112" s="109" t="str">
        <f t="shared" si="62"/>
        <v/>
      </c>
      <c r="GC112" s="110" t="str">
        <f t="shared" si="222"/>
        <v/>
      </c>
      <c r="GE112" s="108" t="str">
        <f t="shared" si="144"/>
        <v/>
      </c>
      <c r="GF112" s="109" t="str">
        <f t="shared" si="145"/>
        <v/>
      </c>
      <c r="GG112" s="109" t="str">
        <f t="shared" si="146"/>
        <v/>
      </c>
      <c r="GH112" s="110" t="str">
        <f t="shared" si="223"/>
        <v/>
      </c>
      <c r="GL112" s="108" t="str">
        <f t="shared" si="63"/>
        <v/>
      </c>
      <c r="GM112" s="109" t="str">
        <f t="shared" si="64"/>
        <v/>
      </c>
      <c r="GN112" s="109" t="str">
        <f t="shared" si="65"/>
        <v/>
      </c>
      <c r="GO112" s="110" t="str">
        <f t="shared" si="66"/>
        <v/>
      </c>
      <c r="GP112" s="51"/>
      <c r="GQ112" s="108" t="str">
        <f t="shared" si="67"/>
        <v/>
      </c>
      <c r="GR112" s="109" t="str">
        <f t="shared" si="147"/>
        <v/>
      </c>
      <c r="GS112" s="109" t="str">
        <f t="shared" si="68"/>
        <v/>
      </c>
      <c r="GT112" s="110" t="str">
        <f t="shared" si="69"/>
        <v/>
      </c>
      <c r="GU112" s="51"/>
      <c r="GV112" s="108" t="str">
        <f t="shared" si="148"/>
        <v/>
      </c>
      <c r="GW112" s="109" t="str">
        <f t="shared" si="149"/>
        <v/>
      </c>
      <c r="GX112" s="109" t="str">
        <f t="shared" si="70"/>
        <v/>
      </c>
      <c r="GY112" s="110" t="str">
        <f t="shared" si="150"/>
        <v/>
      </c>
      <c r="GZ112" s="51"/>
      <c r="HA112" s="108" t="str">
        <f t="shared" si="71"/>
        <v/>
      </c>
      <c r="HB112" s="109" t="str">
        <f t="shared" si="151"/>
        <v/>
      </c>
      <c r="HC112" s="109" t="str">
        <f t="shared" si="72"/>
        <v/>
      </c>
      <c r="HD112" s="110" t="str">
        <f t="shared" si="193"/>
        <v/>
      </c>
      <c r="HE112" s="51"/>
      <c r="HF112" s="108" t="str">
        <f t="shared" si="152"/>
        <v/>
      </c>
      <c r="HG112" s="109" t="str">
        <f t="shared" si="153"/>
        <v/>
      </c>
      <c r="HH112" s="109" t="str">
        <f t="shared" si="73"/>
        <v/>
      </c>
      <c r="HI112" s="110" t="str">
        <f t="shared" si="154"/>
        <v/>
      </c>
      <c r="HJ112" s="51"/>
      <c r="HK112" s="108" t="str">
        <f t="shared" si="74"/>
        <v/>
      </c>
      <c r="HL112" s="109" t="str">
        <f t="shared" si="155"/>
        <v/>
      </c>
      <c r="HM112" s="109" t="str">
        <f t="shared" si="75"/>
        <v/>
      </c>
      <c r="HN112" s="110" t="str">
        <f t="shared" si="194"/>
        <v/>
      </c>
      <c r="HO112" s="51"/>
      <c r="HP112" s="108" t="str">
        <f t="shared" si="156"/>
        <v/>
      </c>
      <c r="HQ112" s="109" t="str">
        <f t="shared" si="157"/>
        <v/>
      </c>
      <c r="HR112" s="109" t="str">
        <f t="shared" si="76"/>
        <v/>
      </c>
      <c r="HS112" s="110" t="str">
        <f t="shared" si="158"/>
        <v/>
      </c>
      <c r="HT112" s="51"/>
      <c r="HU112" s="108" t="str">
        <f t="shared" si="77"/>
        <v/>
      </c>
      <c r="HV112" s="109" t="str">
        <f t="shared" si="159"/>
        <v/>
      </c>
      <c r="HW112" s="109" t="str">
        <f t="shared" si="78"/>
        <v/>
      </c>
      <c r="HX112" s="110" t="str">
        <f t="shared" si="195"/>
        <v/>
      </c>
      <c r="HY112" s="51"/>
      <c r="HZ112" s="108" t="str">
        <f t="shared" si="160"/>
        <v/>
      </c>
      <c r="IA112" s="109" t="str">
        <f t="shared" si="161"/>
        <v/>
      </c>
      <c r="IB112" s="109" t="str">
        <f t="shared" si="79"/>
        <v/>
      </c>
      <c r="IC112" s="110" t="str">
        <f t="shared" si="162"/>
        <v/>
      </c>
      <c r="ID112" s="51"/>
      <c r="IE112" s="108" t="str">
        <f t="shared" si="80"/>
        <v/>
      </c>
      <c r="IF112" s="109" t="str">
        <f t="shared" si="163"/>
        <v/>
      </c>
      <c r="IG112" s="109" t="str">
        <f t="shared" si="81"/>
        <v/>
      </c>
      <c r="IH112" s="110" t="str">
        <f t="shared" si="196"/>
        <v/>
      </c>
      <c r="II112" s="51"/>
      <c r="IJ112" s="108" t="str">
        <f t="shared" si="164"/>
        <v/>
      </c>
      <c r="IK112" s="109" t="str">
        <f t="shared" si="165"/>
        <v/>
      </c>
      <c r="IL112" s="109" t="str">
        <f t="shared" si="82"/>
        <v/>
      </c>
      <c r="IM112" s="110" t="str">
        <f t="shared" si="166"/>
        <v/>
      </c>
      <c r="IN112" s="51"/>
      <c r="IO112" s="108" t="str">
        <f t="shared" si="83"/>
        <v/>
      </c>
      <c r="IP112" s="109" t="str">
        <f t="shared" si="167"/>
        <v/>
      </c>
      <c r="IQ112" s="109" t="str">
        <f t="shared" si="84"/>
        <v/>
      </c>
      <c r="IR112" s="110" t="str">
        <f t="shared" si="197"/>
        <v/>
      </c>
      <c r="IS112" s="51"/>
      <c r="IT112" s="108" t="str">
        <f t="shared" si="168"/>
        <v/>
      </c>
      <c r="IU112" s="109" t="str">
        <f t="shared" si="169"/>
        <v/>
      </c>
      <c r="IV112" s="109" t="str">
        <f t="shared" si="85"/>
        <v/>
      </c>
      <c r="IW112" s="110" t="str">
        <f t="shared" si="170"/>
        <v/>
      </c>
      <c r="IX112" s="51"/>
      <c r="IY112" s="108" t="str">
        <f t="shared" si="86"/>
        <v/>
      </c>
      <c r="IZ112" s="109" t="str">
        <f t="shared" si="171"/>
        <v/>
      </c>
      <c r="JA112" s="109" t="str">
        <f t="shared" si="87"/>
        <v/>
      </c>
      <c r="JB112" s="110" t="str">
        <f t="shared" si="198"/>
        <v/>
      </c>
      <c r="JC112" s="51"/>
      <c r="JD112" s="108" t="str">
        <f t="shared" si="172"/>
        <v/>
      </c>
      <c r="JE112" s="109" t="str">
        <f t="shared" si="173"/>
        <v/>
      </c>
      <c r="JF112" s="109" t="str">
        <f t="shared" si="88"/>
        <v/>
      </c>
      <c r="JG112" s="110" t="str">
        <f t="shared" si="174"/>
        <v/>
      </c>
      <c r="JH112" s="51"/>
      <c r="JI112" s="108" t="str">
        <f t="shared" si="89"/>
        <v/>
      </c>
      <c r="JJ112" s="109" t="str">
        <f t="shared" si="175"/>
        <v/>
      </c>
      <c r="JK112" s="109" t="str">
        <f t="shared" si="90"/>
        <v/>
      </c>
      <c r="JL112" s="110" t="str">
        <f t="shared" si="199"/>
        <v/>
      </c>
      <c r="JM112" s="51"/>
      <c r="JN112" s="108" t="str">
        <f t="shared" si="176"/>
        <v/>
      </c>
      <c r="JO112" s="109" t="str">
        <f t="shared" si="177"/>
        <v/>
      </c>
      <c r="JP112" s="109" t="str">
        <f t="shared" si="91"/>
        <v/>
      </c>
      <c r="JQ112" s="110" t="str">
        <f t="shared" si="178"/>
        <v/>
      </c>
      <c r="JR112" s="51"/>
      <c r="JS112" s="108" t="str">
        <f t="shared" si="92"/>
        <v/>
      </c>
      <c r="JT112" s="109" t="str">
        <f t="shared" si="179"/>
        <v/>
      </c>
      <c r="JU112" s="109" t="str">
        <f t="shared" si="93"/>
        <v/>
      </c>
      <c r="JV112" s="110" t="str">
        <f t="shared" si="200"/>
        <v/>
      </c>
      <c r="JW112" s="51"/>
      <c r="JX112" s="108" t="str">
        <f t="shared" si="180"/>
        <v/>
      </c>
      <c r="JY112" s="109" t="str">
        <f t="shared" si="181"/>
        <v/>
      </c>
      <c r="JZ112" s="109" t="str">
        <f t="shared" si="94"/>
        <v/>
      </c>
      <c r="KA112" s="110" t="str">
        <f t="shared" si="95"/>
        <v/>
      </c>
    </row>
    <row r="113" spans="1:287" ht="12" customHeight="1">
      <c r="A113" s="105">
        <f t="array" ref="A113">MAX(IF($J$80:J112&gt;0,$C$80:C112,0))</f>
        <v>43536</v>
      </c>
      <c r="B113" s="81" t="str">
        <f t="shared" si="4"/>
        <v/>
      </c>
      <c r="C113" s="82">
        <f t="shared" si="182"/>
        <v>0</v>
      </c>
      <c r="D113" s="83" t="str">
        <f t="shared" si="5"/>
        <v/>
      </c>
      <c r="E113" s="83" t="str">
        <f t="shared" si="96"/>
        <v/>
      </c>
      <c r="F113" s="83" t="str">
        <f t="shared" si="6"/>
        <v/>
      </c>
      <c r="G113" s="83" t="str">
        <f t="shared" si="7"/>
        <v/>
      </c>
      <c r="H113" s="83" t="str">
        <f t="shared" si="8"/>
        <v/>
      </c>
      <c r="I113" s="105">
        <f t="array" ref="I113">MAX(IF($R$80:R112&gt;0,$L$80:L112,0))</f>
        <v>0</v>
      </c>
      <c r="J113" s="106"/>
      <c r="K113" s="2" t="str">
        <f t="shared" si="9"/>
        <v/>
      </c>
      <c r="L113" s="82">
        <f t="shared" si="183"/>
        <v>0</v>
      </c>
      <c r="M113" s="83" t="str">
        <f t="shared" si="97"/>
        <v/>
      </c>
      <c r="N113" s="83" t="str">
        <f t="shared" si="10"/>
        <v/>
      </c>
      <c r="O113" s="83" t="str">
        <f t="shared" si="11"/>
        <v/>
      </c>
      <c r="P113" s="83" t="str">
        <f t="shared" si="12"/>
        <v/>
      </c>
      <c r="Q113" s="83" t="str">
        <f t="shared" si="13"/>
        <v/>
      </c>
      <c r="R113" s="106"/>
      <c r="S113" s="1"/>
      <c r="U113" s="85" t="e">
        <f t="shared" si="0"/>
        <v>#NUM!</v>
      </c>
      <c r="V113" s="86" t="e">
        <f t="shared" si="98"/>
        <v>#NUM!</v>
      </c>
      <c r="W113" s="87" t="e">
        <f t="shared" si="14"/>
        <v>#NUM!</v>
      </c>
      <c r="X113" s="87" t="e">
        <f t="shared" si="15"/>
        <v>#NUM!</v>
      </c>
      <c r="Y113" s="87" t="e">
        <f t="shared" si="16"/>
        <v>#NUM!</v>
      </c>
      <c r="Z113" s="88" t="e">
        <f t="shared" si="1"/>
        <v>#NUM!</v>
      </c>
      <c r="AB113" s="89">
        <f t="shared" si="99"/>
        <v>0</v>
      </c>
      <c r="AC113" s="87">
        <f t="shared" si="100"/>
        <v>0</v>
      </c>
      <c r="AD113" s="87" t="str">
        <f t="shared" si="17"/>
        <v/>
      </c>
      <c r="AE113" s="87" t="str">
        <f t="shared" si="18"/>
        <v/>
      </c>
      <c r="AF113" s="86">
        <f t="shared" si="101"/>
        <v>0</v>
      </c>
      <c r="AG113" s="87">
        <f t="shared" si="2"/>
        <v>0</v>
      </c>
      <c r="AH113" s="87">
        <f t="shared" si="102"/>
        <v>0</v>
      </c>
      <c r="AI113" s="90"/>
      <c r="AJ113" s="87" t="e">
        <f t="shared" si="19"/>
        <v>#NUM!</v>
      </c>
      <c r="AK113" s="87" t="e">
        <f t="shared" si="103"/>
        <v>#NUM!</v>
      </c>
      <c r="AL113" s="87" t="e">
        <f t="shared" si="104"/>
        <v>#NUM!</v>
      </c>
      <c r="AM113" s="87" t="e">
        <f t="shared" si="105"/>
        <v>#NUM!</v>
      </c>
      <c r="AN113" s="86">
        <f t="shared" si="20"/>
        <v>0</v>
      </c>
      <c r="AO113" s="87">
        <f t="shared" si="21"/>
        <v>0</v>
      </c>
      <c r="AP113" s="88">
        <f t="shared" si="22"/>
        <v>0</v>
      </c>
      <c r="AR113" s="89">
        <f t="shared" si="23"/>
        <v>0</v>
      </c>
      <c r="AS113" s="87">
        <f t="shared" si="24"/>
        <v>0</v>
      </c>
      <c r="AT113" s="87" t="str">
        <f t="shared" si="25"/>
        <v/>
      </c>
      <c r="AU113" s="87" t="str">
        <f t="shared" si="26"/>
        <v/>
      </c>
      <c r="AV113" s="86">
        <f t="shared" si="106"/>
        <v>0</v>
      </c>
      <c r="AW113" s="87">
        <f t="shared" si="107"/>
        <v>0</v>
      </c>
      <c r="AX113" s="87">
        <f t="shared" si="108"/>
        <v>0</v>
      </c>
      <c r="AY113" s="93"/>
      <c r="AZ113" s="87">
        <f t="shared" si="201"/>
        <v>0</v>
      </c>
      <c r="BA113" s="87">
        <f t="shared" si="109"/>
        <v>0</v>
      </c>
      <c r="BB113" s="87">
        <f t="shared" si="110"/>
        <v>0</v>
      </c>
      <c r="BC113" s="87">
        <f t="shared" si="184"/>
        <v>0</v>
      </c>
      <c r="BD113" s="86" t="e">
        <f t="shared" si="27"/>
        <v>#NUM!</v>
      </c>
      <c r="BE113" s="87" t="e">
        <f t="shared" si="3"/>
        <v>#NUM!</v>
      </c>
      <c r="BF113" s="88">
        <f t="shared" si="111"/>
        <v>0</v>
      </c>
      <c r="BH113" s="87" t="e">
        <f t="shared" si="28"/>
        <v>#NUM!</v>
      </c>
      <c r="BK113" s="95">
        <v>40240</v>
      </c>
      <c r="BL113" s="96">
        <v>34</v>
      </c>
      <c r="BT113">
        <v>0</v>
      </c>
      <c r="BU113" s="51">
        <v>1000000</v>
      </c>
      <c r="BV113" s="30" t="s">
        <v>497</v>
      </c>
      <c r="BY113" s="107"/>
      <c r="BZ113" s="107"/>
      <c r="CA113" s="107"/>
      <c r="CB113" s="107"/>
      <c r="CC113" s="107"/>
      <c r="CD113" s="107"/>
      <c r="CE113" s="107"/>
      <c r="CF113" s="30" t="s">
        <v>497</v>
      </c>
      <c r="CG113" s="30" t="s">
        <v>497</v>
      </c>
      <c r="CS113" s="108" t="str">
        <f t="shared" si="29"/>
        <v/>
      </c>
      <c r="CT113" s="109" t="str">
        <f t="shared" si="30"/>
        <v/>
      </c>
      <c r="CU113" s="109" t="str">
        <f t="shared" si="31"/>
        <v/>
      </c>
      <c r="CV113" s="110" t="str">
        <f t="shared" si="205"/>
        <v/>
      </c>
      <c r="CX113" s="108" t="str">
        <f t="shared" si="33"/>
        <v/>
      </c>
      <c r="CY113" s="109" t="str">
        <f t="shared" si="113"/>
        <v/>
      </c>
      <c r="CZ113" s="109" t="str">
        <f t="shared" si="34"/>
        <v/>
      </c>
      <c r="DA113" s="110" t="str">
        <f t="shared" si="206"/>
        <v/>
      </c>
      <c r="DC113" s="108" t="str">
        <f t="shared" si="114"/>
        <v/>
      </c>
      <c r="DD113" s="109" t="str">
        <f t="shared" si="115"/>
        <v/>
      </c>
      <c r="DE113" s="109" t="str">
        <f t="shared" si="36"/>
        <v/>
      </c>
      <c r="DF113" s="110" t="str">
        <f t="shared" si="207"/>
        <v/>
      </c>
      <c r="DH113" s="108" t="str">
        <f t="shared" si="38"/>
        <v/>
      </c>
      <c r="DI113" s="109" t="str">
        <f t="shared" si="39"/>
        <v/>
      </c>
      <c r="DJ113" s="109" t="str">
        <f t="shared" si="40"/>
        <v/>
      </c>
      <c r="DK113" s="110" t="str">
        <f t="shared" si="208"/>
        <v/>
      </c>
      <c r="DM113" s="108" t="str">
        <f t="shared" si="116"/>
        <v/>
      </c>
      <c r="DN113" s="109" t="str">
        <f t="shared" si="117"/>
        <v/>
      </c>
      <c r="DO113" s="109" t="str">
        <f t="shared" si="42"/>
        <v/>
      </c>
      <c r="DP113" s="110" t="str">
        <f t="shared" si="209"/>
        <v/>
      </c>
      <c r="DR113" s="108" t="str">
        <f t="shared" si="43"/>
        <v/>
      </c>
      <c r="DS113" s="109" t="str">
        <f t="shared" si="118"/>
        <v/>
      </c>
      <c r="DT113" s="109" t="str">
        <f t="shared" si="44"/>
        <v/>
      </c>
      <c r="DU113" s="110" t="str">
        <f t="shared" si="210"/>
        <v/>
      </c>
      <c r="DW113" s="108" t="str">
        <f t="shared" si="120"/>
        <v/>
      </c>
      <c r="DX113" s="109" t="str">
        <f t="shared" si="121"/>
        <v/>
      </c>
      <c r="DY113" s="109" t="str">
        <f t="shared" si="45"/>
        <v/>
      </c>
      <c r="DZ113" s="110" t="str">
        <f t="shared" si="211"/>
        <v/>
      </c>
      <c r="EB113" s="108" t="str">
        <f t="shared" si="46"/>
        <v/>
      </c>
      <c r="EC113" s="109" t="str">
        <f t="shared" si="122"/>
        <v/>
      </c>
      <c r="ED113" s="109" t="str">
        <f t="shared" si="47"/>
        <v/>
      </c>
      <c r="EE113" s="110" t="str">
        <f t="shared" si="212"/>
        <v/>
      </c>
      <c r="EG113" s="108" t="str">
        <f t="shared" si="124"/>
        <v/>
      </c>
      <c r="EH113" s="109" t="str">
        <f t="shared" si="125"/>
        <v/>
      </c>
      <c r="EI113" s="109" t="str">
        <f t="shared" si="48"/>
        <v/>
      </c>
      <c r="EJ113" s="110" t="str">
        <f t="shared" si="213"/>
        <v/>
      </c>
      <c r="EL113" s="108" t="str">
        <f t="shared" si="49"/>
        <v/>
      </c>
      <c r="EM113" s="109" t="str">
        <f t="shared" si="126"/>
        <v/>
      </c>
      <c r="EN113" s="109" t="str">
        <f t="shared" si="50"/>
        <v/>
      </c>
      <c r="EO113" s="110" t="str">
        <f t="shared" si="214"/>
        <v/>
      </c>
      <c r="EQ113" s="108" t="str">
        <f t="shared" si="128"/>
        <v/>
      </c>
      <c r="ER113" s="109" t="str">
        <f t="shared" si="129"/>
        <v/>
      </c>
      <c r="ES113" s="109" t="str">
        <f t="shared" si="51"/>
        <v/>
      </c>
      <c r="ET113" s="110" t="str">
        <f t="shared" si="215"/>
        <v/>
      </c>
      <c r="EV113" s="108" t="str">
        <f t="shared" si="52"/>
        <v/>
      </c>
      <c r="EW113" s="109" t="str">
        <f t="shared" si="130"/>
        <v/>
      </c>
      <c r="EX113" s="109" t="str">
        <f t="shared" si="53"/>
        <v/>
      </c>
      <c r="EY113" s="110" t="str">
        <f t="shared" si="216"/>
        <v/>
      </c>
      <c r="FA113" s="108" t="str">
        <f t="shared" si="132"/>
        <v/>
      </c>
      <c r="FB113" s="109" t="str">
        <f t="shared" si="133"/>
        <v/>
      </c>
      <c r="FC113" s="109" t="str">
        <f t="shared" si="54"/>
        <v/>
      </c>
      <c r="FD113" s="110" t="str">
        <f t="shared" si="217"/>
        <v/>
      </c>
      <c r="FF113" s="108" t="str">
        <f t="shared" si="55"/>
        <v/>
      </c>
      <c r="FG113" s="109" t="str">
        <f t="shared" si="134"/>
        <v/>
      </c>
      <c r="FH113" s="109" t="str">
        <f t="shared" si="56"/>
        <v/>
      </c>
      <c r="FI113" s="110" t="str">
        <f t="shared" si="218"/>
        <v/>
      </c>
      <c r="FK113" s="108" t="str">
        <f t="shared" si="136"/>
        <v/>
      </c>
      <c r="FL113" s="109" t="str">
        <f t="shared" si="137"/>
        <v/>
      </c>
      <c r="FM113" s="109" t="str">
        <f t="shared" si="57"/>
        <v/>
      </c>
      <c r="FN113" s="110" t="str">
        <f t="shared" si="219"/>
        <v/>
      </c>
      <c r="FP113" s="108" t="str">
        <f t="shared" si="58"/>
        <v/>
      </c>
      <c r="FQ113" s="109" t="str">
        <f t="shared" si="138"/>
        <v/>
      </c>
      <c r="FR113" s="109" t="str">
        <f t="shared" si="59"/>
        <v/>
      </c>
      <c r="FS113" s="110" t="str">
        <f t="shared" si="220"/>
        <v/>
      </c>
      <c r="FU113" s="108" t="str">
        <f t="shared" si="140"/>
        <v/>
      </c>
      <c r="FV113" s="109" t="str">
        <f t="shared" si="141"/>
        <v/>
      </c>
      <c r="FW113" s="109" t="str">
        <f t="shared" si="60"/>
        <v/>
      </c>
      <c r="FX113" s="110" t="str">
        <f t="shared" si="221"/>
        <v/>
      </c>
      <c r="FZ113" s="108" t="str">
        <f t="shared" si="61"/>
        <v/>
      </c>
      <c r="GA113" s="109" t="str">
        <f t="shared" si="142"/>
        <v/>
      </c>
      <c r="GB113" s="109" t="str">
        <f t="shared" si="62"/>
        <v/>
      </c>
      <c r="GC113" s="110" t="str">
        <f t="shared" si="222"/>
        <v/>
      </c>
      <c r="GE113" s="108" t="str">
        <f t="shared" si="144"/>
        <v/>
      </c>
      <c r="GF113" s="109" t="str">
        <f t="shared" si="145"/>
        <v/>
      </c>
      <c r="GG113" s="109" t="str">
        <f t="shared" si="146"/>
        <v/>
      </c>
      <c r="GH113" s="110" t="str">
        <f t="shared" si="223"/>
        <v/>
      </c>
      <c r="GL113" s="108" t="str">
        <f t="shared" si="63"/>
        <v/>
      </c>
      <c r="GM113" s="109" t="str">
        <f t="shared" si="64"/>
        <v/>
      </c>
      <c r="GN113" s="109" t="str">
        <f t="shared" si="65"/>
        <v/>
      </c>
      <c r="GO113" s="110" t="str">
        <f t="shared" si="66"/>
        <v/>
      </c>
      <c r="GP113" s="51"/>
      <c r="GQ113" s="108" t="str">
        <f t="shared" si="67"/>
        <v/>
      </c>
      <c r="GR113" s="109" t="str">
        <f t="shared" si="147"/>
        <v/>
      </c>
      <c r="GS113" s="109" t="str">
        <f t="shared" si="68"/>
        <v/>
      </c>
      <c r="GT113" s="110" t="str">
        <f t="shared" si="69"/>
        <v/>
      </c>
      <c r="GU113" s="51"/>
      <c r="GV113" s="108" t="str">
        <f t="shared" si="148"/>
        <v/>
      </c>
      <c r="GW113" s="109" t="str">
        <f t="shared" si="149"/>
        <v/>
      </c>
      <c r="GX113" s="109" t="str">
        <f t="shared" si="70"/>
        <v/>
      </c>
      <c r="GY113" s="110" t="str">
        <f t="shared" si="150"/>
        <v/>
      </c>
      <c r="GZ113" s="51"/>
      <c r="HA113" s="108" t="str">
        <f t="shared" si="71"/>
        <v/>
      </c>
      <c r="HB113" s="109" t="str">
        <f t="shared" si="151"/>
        <v/>
      </c>
      <c r="HC113" s="109" t="str">
        <f t="shared" si="72"/>
        <v/>
      </c>
      <c r="HD113" s="110" t="str">
        <f t="shared" si="193"/>
        <v/>
      </c>
      <c r="HE113" s="51"/>
      <c r="HF113" s="108" t="str">
        <f t="shared" si="152"/>
        <v/>
      </c>
      <c r="HG113" s="109" t="str">
        <f t="shared" si="153"/>
        <v/>
      </c>
      <c r="HH113" s="109" t="str">
        <f t="shared" si="73"/>
        <v/>
      </c>
      <c r="HI113" s="110" t="str">
        <f t="shared" si="154"/>
        <v/>
      </c>
      <c r="HJ113" s="51"/>
      <c r="HK113" s="108" t="str">
        <f t="shared" si="74"/>
        <v/>
      </c>
      <c r="HL113" s="109" t="str">
        <f t="shared" si="155"/>
        <v/>
      </c>
      <c r="HM113" s="109" t="str">
        <f t="shared" si="75"/>
        <v/>
      </c>
      <c r="HN113" s="110" t="str">
        <f t="shared" si="194"/>
        <v/>
      </c>
      <c r="HO113" s="51"/>
      <c r="HP113" s="108" t="str">
        <f t="shared" si="156"/>
        <v/>
      </c>
      <c r="HQ113" s="109" t="str">
        <f t="shared" si="157"/>
        <v/>
      </c>
      <c r="HR113" s="109" t="str">
        <f t="shared" si="76"/>
        <v/>
      </c>
      <c r="HS113" s="110" t="str">
        <f t="shared" si="158"/>
        <v/>
      </c>
      <c r="HT113" s="51"/>
      <c r="HU113" s="108" t="str">
        <f t="shared" si="77"/>
        <v/>
      </c>
      <c r="HV113" s="109" t="str">
        <f t="shared" si="159"/>
        <v/>
      </c>
      <c r="HW113" s="109" t="str">
        <f t="shared" si="78"/>
        <v/>
      </c>
      <c r="HX113" s="110" t="str">
        <f t="shared" si="195"/>
        <v/>
      </c>
      <c r="HY113" s="51"/>
      <c r="HZ113" s="108" t="str">
        <f t="shared" si="160"/>
        <v/>
      </c>
      <c r="IA113" s="109" t="str">
        <f t="shared" si="161"/>
        <v/>
      </c>
      <c r="IB113" s="109" t="str">
        <f t="shared" si="79"/>
        <v/>
      </c>
      <c r="IC113" s="110" t="str">
        <f t="shared" si="162"/>
        <v/>
      </c>
      <c r="ID113" s="51"/>
      <c r="IE113" s="108" t="str">
        <f t="shared" si="80"/>
        <v/>
      </c>
      <c r="IF113" s="109" t="str">
        <f t="shared" si="163"/>
        <v/>
      </c>
      <c r="IG113" s="109" t="str">
        <f t="shared" si="81"/>
        <v/>
      </c>
      <c r="IH113" s="110" t="str">
        <f t="shared" si="196"/>
        <v/>
      </c>
      <c r="II113" s="51"/>
      <c r="IJ113" s="108" t="str">
        <f t="shared" si="164"/>
        <v/>
      </c>
      <c r="IK113" s="109" t="str">
        <f t="shared" si="165"/>
        <v/>
      </c>
      <c r="IL113" s="109" t="str">
        <f t="shared" si="82"/>
        <v/>
      </c>
      <c r="IM113" s="110" t="str">
        <f t="shared" si="166"/>
        <v/>
      </c>
      <c r="IN113" s="51"/>
      <c r="IO113" s="108" t="str">
        <f t="shared" si="83"/>
        <v/>
      </c>
      <c r="IP113" s="109" t="str">
        <f t="shared" si="167"/>
        <v/>
      </c>
      <c r="IQ113" s="109" t="str">
        <f t="shared" si="84"/>
        <v/>
      </c>
      <c r="IR113" s="110" t="str">
        <f t="shared" si="197"/>
        <v/>
      </c>
      <c r="IS113" s="51"/>
      <c r="IT113" s="108" t="str">
        <f t="shared" si="168"/>
        <v/>
      </c>
      <c r="IU113" s="109" t="str">
        <f t="shared" si="169"/>
        <v/>
      </c>
      <c r="IV113" s="109" t="str">
        <f t="shared" si="85"/>
        <v/>
      </c>
      <c r="IW113" s="110" t="str">
        <f t="shared" si="170"/>
        <v/>
      </c>
      <c r="IX113" s="51"/>
      <c r="IY113" s="108" t="str">
        <f t="shared" si="86"/>
        <v/>
      </c>
      <c r="IZ113" s="109" t="str">
        <f t="shared" si="171"/>
        <v/>
      </c>
      <c r="JA113" s="109" t="str">
        <f t="shared" si="87"/>
        <v/>
      </c>
      <c r="JB113" s="110" t="str">
        <f t="shared" si="198"/>
        <v/>
      </c>
      <c r="JC113" s="51"/>
      <c r="JD113" s="108" t="str">
        <f t="shared" si="172"/>
        <v/>
      </c>
      <c r="JE113" s="109" t="str">
        <f t="shared" si="173"/>
        <v/>
      </c>
      <c r="JF113" s="109" t="str">
        <f t="shared" si="88"/>
        <v/>
      </c>
      <c r="JG113" s="110" t="str">
        <f t="shared" si="174"/>
        <v/>
      </c>
      <c r="JH113" s="51"/>
      <c r="JI113" s="108" t="str">
        <f t="shared" si="89"/>
        <v/>
      </c>
      <c r="JJ113" s="109" t="str">
        <f t="shared" si="175"/>
        <v/>
      </c>
      <c r="JK113" s="109" t="str">
        <f t="shared" si="90"/>
        <v/>
      </c>
      <c r="JL113" s="110" t="str">
        <f t="shared" si="199"/>
        <v/>
      </c>
      <c r="JM113" s="51"/>
      <c r="JN113" s="108" t="str">
        <f t="shared" si="176"/>
        <v/>
      </c>
      <c r="JO113" s="109" t="str">
        <f t="shared" si="177"/>
        <v/>
      </c>
      <c r="JP113" s="109" t="str">
        <f t="shared" si="91"/>
        <v/>
      </c>
      <c r="JQ113" s="110" t="str">
        <f t="shared" si="178"/>
        <v/>
      </c>
      <c r="JR113" s="51"/>
      <c r="JS113" s="108" t="str">
        <f t="shared" si="92"/>
        <v/>
      </c>
      <c r="JT113" s="109" t="str">
        <f t="shared" si="179"/>
        <v/>
      </c>
      <c r="JU113" s="109" t="str">
        <f t="shared" si="93"/>
        <v/>
      </c>
      <c r="JV113" s="110" t="str">
        <f t="shared" si="200"/>
        <v/>
      </c>
      <c r="JW113" s="51"/>
      <c r="JX113" s="108" t="str">
        <f t="shared" si="180"/>
        <v/>
      </c>
      <c r="JY113" s="109" t="str">
        <f t="shared" si="181"/>
        <v/>
      </c>
      <c r="JZ113" s="109" t="str">
        <f t="shared" si="94"/>
        <v/>
      </c>
      <c r="KA113" s="110" t="str">
        <f t="shared" si="95"/>
        <v/>
      </c>
    </row>
    <row r="114" spans="1:287" ht="12" customHeight="1">
      <c r="A114" s="105">
        <f t="array" ref="A114">MAX(IF($J$80:J113&gt;0,$C$80:C113,0))</f>
        <v>43536</v>
      </c>
      <c r="B114" s="81" t="str">
        <f t="shared" si="4"/>
        <v/>
      </c>
      <c r="C114" s="82">
        <f t="shared" si="182"/>
        <v>0</v>
      </c>
      <c r="D114" s="83" t="str">
        <f t="shared" si="5"/>
        <v/>
      </c>
      <c r="E114" s="83" t="str">
        <f t="shared" si="96"/>
        <v/>
      </c>
      <c r="F114" s="83" t="str">
        <f t="shared" si="6"/>
        <v/>
      </c>
      <c r="G114" s="83" t="str">
        <f t="shared" si="7"/>
        <v/>
      </c>
      <c r="H114" s="83" t="str">
        <f t="shared" si="8"/>
        <v/>
      </c>
      <c r="I114" s="105">
        <f t="array" ref="I114">MAX(IF($R$80:R113&gt;0,$L$80:L113,0))</f>
        <v>0</v>
      </c>
      <c r="J114" s="106"/>
      <c r="K114" s="2" t="str">
        <f t="shared" si="9"/>
        <v/>
      </c>
      <c r="L114" s="82">
        <f t="shared" si="183"/>
        <v>0</v>
      </c>
      <c r="M114" s="83" t="str">
        <f t="shared" si="97"/>
        <v/>
      </c>
      <c r="N114" s="83" t="str">
        <f t="shared" si="10"/>
        <v/>
      </c>
      <c r="O114" s="83" t="str">
        <f t="shared" si="11"/>
        <v/>
      </c>
      <c r="P114" s="83" t="str">
        <f t="shared" si="12"/>
        <v/>
      </c>
      <c r="Q114" s="83" t="str">
        <f t="shared" si="13"/>
        <v/>
      </c>
      <c r="R114" s="106"/>
      <c r="S114" s="1"/>
      <c r="U114" s="85" t="e">
        <f t="shared" si="0"/>
        <v>#NUM!</v>
      </c>
      <c r="V114" s="86" t="e">
        <f t="shared" si="98"/>
        <v>#NUM!</v>
      </c>
      <c r="W114" s="87" t="e">
        <f t="shared" si="14"/>
        <v>#NUM!</v>
      </c>
      <c r="X114" s="87" t="e">
        <f t="shared" si="15"/>
        <v>#NUM!</v>
      </c>
      <c r="Y114" s="87" t="e">
        <f t="shared" si="16"/>
        <v>#NUM!</v>
      </c>
      <c r="Z114" s="88" t="e">
        <f t="shared" si="1"/>
        <v>#NUM!</v>
      </c>
      <c r="AB114" s="89">
        <f t="shared" si="99"/>
        <v>0</v>
      </c>
      <c r="AC114" s="87">
        <f t="shared" si="100"/>
        <v>0</v>
      </c>
      <c r="AD114" s="87" t="str">
        <f t="shared" si="17"/>
        <v/>
      </c>
      <c r="AE114" s="87" t="str">
        <f t="shared" si="18"/>
        <v/>
      </c>
      <c r="AF114" s="86">
        <f t="shared" si="101"/>
        <v>0</v>
      </c>
      <c r="AG114" s="87">
        <f t="shared" si="2"/>
        <v>0</v>
      </c>
      <c r="AH114" s="87">
        <f t="shared" si="102"/>
        <v>0</v>
      </c>
      <c r="AI114" s="90"/>
      <c r="AJ114" s="87" t="e">
        <f t="shared" si="19"/>
        <v>#NUM!</v>
      </c>
      <c r="AK114" s="87" t="e">
        <f t="shared" si="103"/>
        <v>#NUM!</v>
      </c>
      <c r="AL114" s="87" t="e">
        <f t="shared" si="104"/>
        <v>#NUM!</v>
      </c>
      <c r="AM114" s="87" t="e">
        <f t="shared" si="105"/>
        <v>#NUM!</v>
      </c>
      <c r="AN114" s="86">
        <f t="shared" si="20"/>
        <v>0</v>
      </c>
      <c r="AO114" s="87">
        <f t="shared" si="21"/>
        <v>0</v>
      </c>
      <c r="AP114" s="88">
        <f t="shared" si="22"/>
        <v>0</v>
      </c>
      <c r="AR114" s="89">
        <f t="shared" si="23"/>
        <v>0</v>
      </c>
      <c r="AS114" s="87">
        <f t="shared" si="24"/>
        <v>0</v>
      </c>
      <c r="AT114" s="87" t="str">
        <f t="shared" si="25"/>
        <v/>
      </c>
      <c r="AU114" s="87" t="str">
        <f t="shared" si="26"/>
        <v/>
      </c>
      <c r="AV114" s="86">
        <f t="shared" si="106"/>
        <v>0</v>
      </c>
      <c r="AW114" s="87">
        <f t="shared" si="107"/>
        <v>0</v>
      </c>
      <c r="AX114" s="87">
        <f t="shared" si="108"/>
        <v>0</v>
      </c>
      <c r="AY114" s="93"/>
      <c r="AZ114" s="87">
        <f t="shared" si="201"/>
        <v>0</v>
      </c>
      <c r="BA114" s="87">
        <f t="shared" si="109"/>
        <v>0</v>
      </c>
      <c r="BB114" s="87">
        <f t="shared" si="110"/>
        <v>0</v>
      </c>
      <c r="BC114" s="87">
        <f t="shared" si="184"/>
        <v>0</v>
      </c>
      <c r="BD114" s="86" t="e">
        <f t="shared" si="27"/>
        <v>#NUM!</v>
      </c>
      <c r="BE114" s="87" t="e">
        <f t="shared" si="3"/>
        <v>#NUM!</v>
      </c>
      <c r="BF114" s="88">
        <f t="shared" si="111"/>
        <v>0</v>
      </c>
      <c r="BH114" s="87" t="e">
        <f t="shared" si="28"/>
        <v>#NUM!</v>
      </c>
      <c r="BK114" s="95">
        <v>40245</v>
      </c>
      <c r="BL114" s="96">
        <v>35</v>
      </c>
      <c r="BX114" s="107"/>
      <c r="BY114" s="107"/>
      <c r="BZ114" s="107"/>
      <c r="CA114" s="107"/>
      <c r="CB114" s="107"/>
      <c r="CC114" s="107"/>
      <c r="CD114" s="107"/>
      <c r="CE114" s="107"/>
      <c r="CF114" s="107"/>
      <c r="CG114" s="107"/>
      <c r="CS114" s="108" t="str">
        <f t="shared" si="29"/>
        <v/>
      </c>
      <c r="CT114" s="109" t="str">
        <f t="shared" si="30"/>
        <v/>
      </c>
      <c r="CU114" s="109" t="str">
        <f t="shared" si="31"/>
        <v/>
      </c>
      <c r="CV114" s="110" t="str">
        <f t="shared" si="205"/>
        <v/>
      </c>
      <c r="CX114" s="108" t="str">
        <f t="shared" si="33"/>
        <v/>
      </c>
      <c r="CY114" s="109" t="str">
        <f t="shared" si="113"/>
        <v/>
      </c>
      <c r="CZ114" s="109" t="str">
        <f t="shared" si="34"/>
        <v/>
      </c>
      <c r="DA114" s="110" t="str">
        <f t="shared" si="206"/>
        <v/>
      </c>
      <c r="DC114" s="108" t="str">
        <f t="shared" si="114"/>
        <v/>
      </c>
      <c r="DD114" s="109" t="str">
        <f t="shared" si="115"/>
        <v/>
      </c>
      <c r="DE114" s="109" t="str">
        <f t="shared" si="36"/>
        <v/>
      </c>
      <c r="DF114" s="110" t="str">
        <f t="shared" si="207"/>
        <v/>
      </c>
      <c r="DH114" s="108" t="str">
        <f t="shared" si="38"/>
        <v/>
      </c>
      <c r="DI114" s="109" t="str">
        <f t="shared" si="39"/>
        <v/>
      </c>
      <c r="DJ114" s="109" t="str">
        <f t="shared" si="40"/>
        <v/>
      </c>
      <c r="DK114" s="110" t="str">
        <f t="shared" si="208"/>
        <v/>
      </c>
      <c r="DM114" s="108" t="str">
        <f t="shared" si="116"/>
        <v/>
      </c>
      <c r="DN114" s="109" t="str">
        <f t="shared" si="117"/>
        <v/>
      </c>
      <c r="DO114" s="109" t="str">
        <f t="shared" si="42"/>
        <v/>
      </c>
      <c r="DP114" s="110" t="str">
        <f t="shared" si="209"/>
        <v/>
      </c>
      <c r="DR114" s="108" t="str">
        <f t="shared" si="43"/>
        <v/>
      </c>
      <c r="DS114" s="109" t="str">
        <f t="shared" si="118"/>
        <v/>
      </c>
      <c r="DT114" s="109" t="str">
        <f t="shared" si="44"/>
        <v/>
      </c>
      <c r="DU114" s="110" t="str">
        <f t="shared" si="210"/>
        <v/>
      </c>
      <c r="DW114" s="108" t="str">
        <f t="shared" si="120"/>
        <v/>
      </c>
      <c r="DX114" s="109" t="str">
        <f t="shared" si="121"/>
        <v/>
      </c>
      <c r="DY114" s="109" t="str">
        <f t="shared" si="45"/>
        <v/>
      </c>
      <c r="DZ114" s="110" t="str">
        <f t="shared" si="211"/>
        <v/>
      </c>
      <c r="EB114" s="108" t="str">
        <f t="shared" si="46"/>
        <v/>
      </c>
      <c r="EC114" s="109" t="str">
        <f t="shared" si="122"/>
        <v/>
      </c>
      <c r="ED114" s="109" t="str">
        <f t="shared" si="47"/>
        <v/>
      </c>
      <c r="EE114" s="110" t="str">
        <f t="shared" si="212"/>
        <v/>
      </c>
      <c r="EG114" s="108" t="str">
        <f t="shared" si="124"/>
        <v/>
      </c>
      <c r="EH114" s="109" t="str">
        <f t="shared" si="125"/>
        <v/>
      </c>
      <c r="EI114" s="109" t="str">
        <f t="shared" si="48"/>
        <v/>
      </c>
      <c r="EJ114" s="110" t="str">
        <f t="shared" si="213"/>
        <v/>
      </c>
      <c r="EL114" s="108" t="str">
        <f t="shared" si="49"/>
        <v/>
      </c>
      <c r="EM114" s="109" t="str">
        <f t="shared" si="126"/>
        <v/>
      </c>
      <c r="EN114" s="109" t="str">
        <f t="shared" si="50"/>
        <v/>
      </c>
      <c r="EO114" s="110" t="str">
        <f t="shared" si="214"/>
        <v/>
      </c>
      <c r="EQ114" s="108" t="str">
        <f t="shared" si="128"/>
        <v/>
      </c>
      <c r="ER114" s="109" t="str">
        <f t="shared" si="129"/>
        <v/>
      </c>
      <c r="ES114" s="109" t="str">
        <f t="shared" si="51"/>
        <v/>
      </c>
      <c r="ET114" s="110" t="str">
        <f t="shared" si="215"/>
        <v/>
      </c>
      <c r="EV114" s="108" t="str">
        <f t="shared" si="52"/>
        <v/>
      </c>
      <c r="EW114" s="109" t="str">
        <f t="shared" si="130"/>
        <v/>
      </c>
      <c r="EX114" s="109" t="str">
        <f t="shared" si="53"/>
        <v/>
      </c>
      <c r="EY114" s="110" t="str">
        <f t="shared" si="216"/>
        <v/>
      </c>
      <c r="FA114" s="108" t="str">
        <f t="shared" si="132"/>
        <v/>
      </c>
      <c r="FB114" s="109" t="str">
        <f t="shared" si="133"/>
        <v/>
      </c>
      <c r="FC114" s="109" t="str">
        <f t="shared" si="54"/>
        <v/>
      </c>
      <c r="FD114" s="110" t="str">
        <f t="shared" si="217"/>
        <v/>
      </c>
      <c r="FF114" s="108" t="str">
        <f t="shared" si="55"/>
        <v/>
      </c>
      <c r="FG114" s="109" t="str">
        <f t="shared" si="134"/>
        <v/>
      </c>
      <c r="FH114" s="109" t="str">
        <f t="shared" si="56"/>
        <v/>
      </c>
      <c r="FI114" s="110" t="str">
        <f t="shared" si="218"/>
        <v/>
      </c>
      <c r="FK114" s="108" t="str">
        <f t="shared" si="136"/>
        <v/>
      </c>
      <c r="FL114" s="109" t="str">
        <f t="shared" si="137"/>
        <v/>
      </c>
      <c r="FM114" s="109" t="str">
        <f t="shared" si="57"/>
        <v/>
      </c>
      <c r="FN114" s="110" t="str">
        <f t="shared" si="219"/>
        <v/>
      </c>
      <c r="FP114" s="108" t="str">
        <f t="shared" si="58"/>
        <v/>
      </c>
      <c r="FQ114" s="109" t="str">
        <f t="shared" si="138"/>
        <v/>
      </c>
      <c r="FR114" s="109" t="str">
        <f t="shared" si="59"/>
        <v/>
      </c>
      <c r="FS114" s="110" t="str">
        <f t="shared" si="220"/>
        <v/>
      </c>
      <c r="FU114" s="108" t="str">
        <f t="shared" si="140"/>
        <v/>
      </c>
      <c r="FV114" s="109" t="str">
        <f t="shared" si="141"/>
        <v/>
      </c>
      <c r="FW114" s="109" t="str">
        <f t="shared" si="60"/>
        <v/>
      </c>
      <c r="FX114" s="110" t="str">
        <f t="shared" si="221"/>
        <v/>
      </c>
      <c r="FZ114" s="108" t="str">
        <f t="shared" si="61"/>
        <v/>
      </c>
      <c r="GA114" s="109" t="str">
        <f t="shared" si="142"/>
        <v/>
      </c>
      <c r="GB114" s="109" t="str">
        <f t="shared" si="62"/>
        <v/>
      </c>
      <c r="GC114" s="110" t="str">
        <f t="shared" si="222"/>
        <v/>
      </c>
      <c r="GE114" s="108" t="str">
        <f t="shared" si="144"/>
        <v/>
      </c>
      <c r="GF114" s="109" t="str">
        <f t="shared" si="145"/>
        <v/>
      </c>
      <c r="GG114" s="109" t="str">
        <f t="shared" si="146"/>
        <v/>
      </c>
      <c r="GH114" s="110" t="str">
        <f t="shared" si="223"/>
        <v/>
      </c>
      <c r="GL114" s="108" t="str">
        <f t="shared" si="63"/>
        <v/>
      </c>
      <c r="GM114" s="109" t="str">
        <f t="shared" si="64"/>
        <v/>
      </c>
      <c r="GN114" s="109" t="str">
        <f t="shared" si="65"/>
        <v/>
      </c>
      <c r="GO114" s="110" t="str">
        <f t="shared" si="66"/>
        <v/>
      </c>
      <c r="GP114" s="51"/>
      <c r="GQ114" s="108" t="str">
        <f t="shared" si="67"/>
        <v/>
      </c>
      <c r="GR114" s="109" t="str">
        <f t="shared" si="147"/>
        <v/>
      </c>
      <c r="GS114" s="109" t="str">
        <f t="shared" si="68"/>
        <v/>
      </c>
      <c r="GT114" s="110" t="str">
        <f t="shared" si="69"/>
        <v/>
      </c>
      <c r="GU114" s="51"/>
      <c r="GV114" s="108" t="str">
        <f t="shared" si="148"/>
        <v/>
      </c>
      <c r="GW114" s="109" t="str">
        <f t="shared" si="149"/>
        <v/>
      </c>
      <c r="GX114" s="109" t="str">
        <f t="shared" si="70"/>
        <v/>
      </c>
      <c r="GY114" s="110" t="str">
        <f t="shared" si="150"/>
        <v/>
      </c>
      <c r="GZ114" s="51"/>
      <c r="HA114" s="108" t="str">
        <f t="shared" si="71"/>
        <v/>
      </c>
      <c r="HB114" s="109" t="str">
        <f t="shared" si="151"/>
        <v/>
      </c>
      <c r="HC114" s="109" t="str">
        <f t="shared" si="72"/>
        <v/>
      </c>
      <c r="HD114" s="110" t="str">
        <f t="shared" si="193"/>
        <v/>
      </c>
      <c r="HE114" s="51"/>
      <c r="HF114" s="108" t="str">
        <f t="shared" si="152"/>
        <v/>
      </c>
      <c r="HG114" s="109" t="str">
        <f t="shared" si="153"/>
        <v/>
      </c>
      <c r="HH114" s="109" t="str">
        <f t="shared" si="73"/>
        <v/>
      </c>
      <c r="HI114" s="110" t="str">
        <f t="shared" si="154"/>
        <v/>
      </c>
      <c r="HJ114" s="51"/>
      <c r="HK114" s="108" t="str">
        <f t="shared" si="74"/>
        <v/>
      </c>
      <c r="HL114" s="109" t="str">
        <f t="shared" si="155"/>
        <v/>
      </c>
      <c r="HM114" s="109" t="str">
        <f t="shared" si="75"/>
        <v/>
      </c>
      <c r="HN114" s="110" t="str">
        <f t="shared" si="194"/>
        <v/>
      </c>
      <c r="HO114" s="51"/>
      <c r="HP114" s="108" t="str">
        <f t="shared" si="156"/>
        <v/>
      </c>
      <c r="HQ114" s="109" t="str">
        <f t="shared" si="157"/>
        <v/>
      </c>
      <c r="HR114" s="109" t="str">
        <f t="shared" si="76"/>
        <v/>
      </c>
      <c r="HS114" s="110" t="str">
        <f t="shared" si="158"/>
        <v/>
      </c>
      <c r="HT114" s="51"/>
      <c r="HU114" s="108" t="str">
        <f t="shared" si="77"/>
        <v/>
      </c>
      <c r="HV114" s="109" t="str">
        <f t="shared" si="159"/>
        <v/>
      </c>
      <c r="HW114" s="109" t="str">
        <f t="shared" si="78"/>
        <v/>
      </c>
      <c r="HX114" s="110" t="str">
        <f t="shared" si="195"/>
        <v/>
      </c>
      <c r="HY114" s="51"/>
      <c r="HZ114" s="108" t="str">
        <f t="shared" si="160"/>
        <v/>
      </c>
      <c r="IA114" s="109" t="str">
        <f t="shared" si="161"/>
        <v/>
      </c>
      <c r="IB114" s="109" t="str">
        <f t="shared" si="79"/>
        <v/>
      </c>
      <c r="IC114" s="110" t="str">
        <f t="shared" si="162"/>
        <v/>
      </c>
      <c r="ID114" s="51"/>
      <c r="IE114" s="108" t="str">
        <f t="shared" si="80"/>
        <v/>
      </c>
      <c r="IF114" s="109" t="str">
        <f t="shared" si="163"/>
        <v/>
      </c>
      <c r="IG114" s="109" t="str">
        <f t="shared" si="81"/>
        <v/>
      </c>
      <c r="IH114" s="110" t="str">
        <f t="shared" si="196"/>
        <v/>
      </c>
      <c r="II114" s="51"/>
      <c r="IJ114" s="108" t="str">
        <f t="shared" si="164"/>
        <v/>
      </c>
      <c r="IK114" s="109" t="str">
        <f t="shared" si="165"/>
        <v/>
      </c>
      <c r="IL114" s="109" t="str">
        <f t="shared" si="82"/>
        <v/>
      </c>
      <c r="IM114" s="110" t="str">
        <f t="shared" si="166"/>
        <v/>
      </c>
      <c r="IN114" s="51"/>
      <c r="IO114" s="108" t="str">
        <f t="shared" si="83"/>
        <v/>
      </c>
      <c r="IP114" s="109" t="str">
        <f t="shared" si="167"/>
        <v/>
      </c>
      <c r="IQ114" s="109" t="str">
        <f t="shared" si="84"/>
        <v/>
      </c>
      <c r="IR114" s="110" t="str">
        <f t="shared" si="197"/>
        <v/>
      </c>
      <c r="IS114" s="51"/>
      <c r="IT114" s="108" t="str">
        <f t="shared" si="168"/>
        <v/>
      </c>
      <c r="IU114" s="109" t="str">
        <f t="shared" si="169"/>
        <v/>
      </c>
      <c r="IV114" s="109" t="str">
        <f t="shared" si="85"/>
        <v/>
      </c>
      <c r="IW114" s="110" t="str">
        <f t="shared" si="170"/>
        <v/>
      </c>
      <c r="IX114" s="51"/>
      <c r="IY114" s="108" t="str">
        <f t="shared" si="86"/>
        <v/>
      </c>
      <c r="IZ114" s="109" t="str">
        <f t="shared" si="171"/>
        <v/>
      </c>
      <c r="JA114" s="109" t="str">
        <f t="shared" si="87"/>
        <v/>
      </c>
      <c r="JB114" s="110" t="str">
        <f t="shared" si="198"/>
        <v/>
      </c>
      <c r="JC114" s="51"/>
      <c r="JD114" s="108" t="str">
        <f t="shared" si="172"/>
        <v/>
      </c>
      <c r="JE114" s="109" t="str">
        <f t="shared" si="173"/>
        <v/>
      </c>
      <c r="JF114" s="109" t="str">
        <f t="shared" si="88"/>
        <v/>
      </c>
      <c r="JG114" s="110" t="str">
        <f t="shared" si="174"/>
        <v/>
      </c>
      <c r="JH114" s="51"/>
      <c r="JI114" s="108" t="str">
        <f t="shared" si="89"/>
        <v/>
      </c>
      <c r="JJ114" s="109" t="str">
        <f t="shared" si="175"/>
        <v/>
      </c>
      <c r="JK114" s="109" t="str">
        <f t="shared" si="90"/>
        <v/>
      </c>
      <c r="JL114" s="110" t="str">
        <f t="shared" si="199"/>
        <v/>
      </c>
      <c r="JM114" s="51"/>
      <c r="JN114" s="108" t="str">
        <f t="shared" si="176"/>
        <v/>
      </c>
      <c r="JO114" s="109" t="str">
        <f t="shared" si="177"/>
        <v/>
      </c>
      <c r="JP114" s="109" t="str">
        <f t="shared" si="91"/>
        <v/>
      </c>
      <c r="JQ114" s="110" t="str">
        <f t="shared" si="178"/>
        <v/>
      </c>
      <c r="JR114" s="51"/>
      <c r="JS114" s="108" t="str">
        <f t="shared" si="92"/>
        <v/>
      </c>
      <c r="JT114" s="109" t="str">
        <f t="shared" si="179"/>
        <v/>
      </c>
      <c r="JU114" s="109" t="str">
        <f t="shared" si="93"/>
        <v/>
      </c>
      <c r="JV114" s="110" t="str">
        <f t="shared" si="200"/>
        <v/>
      </c>
      <c r="JW114" s="51"/>
      <c r="JX114" s="108" t="str">
        <f t="shared" si="180"/>
        <v/>
      </c>
      <c r="JY114" s="109" t="str">
        <f t="shared" si="181"/>
        <v/>
      </c>
      <c r="JZ114" s="109" t="str">
        <f t="shared" si="94"/>
        <v/>
      </c>
      <c r="KA114" s="110" t="str">
        <f t="shared" si="95"/>
        <v/>
      </c>
    </row>
    <row r="115" spans="1:287" ht="12" customHeight="1">
      <c r="A115" s="105">
        <f t="array" ref="A115">MAX(IF($J$80:J114&gt;0,$C$80:C114,0))</f>
        <v>43536</v>
      </c>
      <c r="B115" s="81" t="str">
        <f t="shared" si="4"/>
        <v/>
      </c>
      <c r="C115" s="82">
        <f t="shared" si="182"/>
        <v>0</v>
      </c>
      <c r="D115" s="83" t="str">
        <f t="shared" si="5"/>
        <v/>
      </c>
      <c r="E115" s="83" t="str">
        <f t="shared" si="96"/>
        <v/>
      </c>
      <c r="F115" s="83" t="str">
        <f t="shared" si="6"/>
        <v/>
      </c>
      <c r="G115" s="83" t="str">
        <f t="shared" si="7"/>
        <v/>
      </c>
      <c r="H115" s="83" t="str">
        <f t="shared" si="8"/>
        <v/>
      </c>
      <c r="I115" s="105">
        <f t="array" ref="I115">MAX(IF($R$80:R114&gt;0,$L$80:L114,0))</f>
        <v>0</v>
      </c>
      <c r="J115" s="106"/>
      <c r="K115" s="2" t="str">
        <f t="shared" si="9"/>
        <v/>
      </c>
      <c r="L115" s="82">
        <f t="shared" si="183"/>
        <v>0</v>
      </c>
      <c r="M115" s="83" t="str">
        <f t="shared" si="97"/>
        <v/>
      </c>
      <c r="N115" s="83" t="str">
        <f t="shared" si="10"/>
        <v/>
      </c>
      <c r="O115" s="83" t="str">
        <f t="shared" si="11"/>
        <v/>
      </c>
      <c r="P115" s="83" t="str">
        <f t="shared" si="12"/>
        <v/>
      </c>
      <c r="Q115" s="83" t="str">
        <f t="shared" si="13"/>
        <v/>
      </c>
      <c r="R115" s="106"/>
      <c r="S115" s="1"/>
      <c r="U115" s="85" t="e">
        <f t="shared" si="0"/>
        <v>#NUM!</v>
      </c>
      <c r="V115" s="86" t="e">
        <f t="shared" si="98"/>
        <v>#NUM!</v>
      </c>
      <c r="W115" s="87" t="e">
        <f t="shared" si="14"/>
        <v>#NUM!</v>
      </c>
      <c r="X115" s="87" t="e">
        <f t="shared" si="15"/>
        <v>#NUM!</v>
      </c>
      <c r="Y115" s="87" t="e">
        <f t="shared" si="16"/>
        <v>#NUM!</v>
      </c>
      <c r="Z115" s="88" t="e">
        <f t="shared" si="1"/>
        <v>#NUM!</v>
      </c>
      <c r="AB115" s="89">
        <f t="shared" si="99"/>
        <v>0</v>
      </c>
      <c r="AC115" s="87">
        <f t="shared" si="100"/>
        <v>0</v>
      </c>
      <c r="AD115" s="87" t="str">
        <f t="shared" si="17"/>
        <v/>
      </c>
      <c r="AE115" s="87" t="str">
        <f t="shared" si="18"/>
        <v/>
      </c>
      <c r="AF115" s="86">
        <f t="shared" si="101"/>
        <v>0</v>
      </c>
      <c r="AG115" s="87">
        <f t="shared" si="2"/>
        <v>0</v>
      </c>
      <c r="AH115" s="87">
        <f t="shared" si="102"/>
        <v>0</v>
      </c>
      <c r="AI115" s="90"/>
      <c r="AJ115" s="87" t="e">
        <f t="shared" si="19"/>
        <v>#NUM!</v>
      </c>
      <c r="AK115" s="87" t="e">
        <f t="shared" si="103"/>
        <v>#NUM!</v>
      </c>
      <c r="AL115" s="87" t="e">
        <f t="shared" si="104"/>
        <v>#NUM!</v>
      </c>
      <c r="AM115" s="87" t="e">
        <f t="shared" si="105"/>
        <v>#NUM!</v>
      </c>
      <c r="AN115" s="86">
        <f t="shared" si="20"/>
        <v>0</v>
      </c>
      <c r="AO115" s="87">
        <f t="shared" si="21"/>
        <v>0</v>
      </c>
      <c r="AP115" s="88">
        <f t="shared" si="22"/>
        <v>0</v>
      </c>
      <c r="AR115" s="89">
        <f t="shared" si="23"/>
        <v>0</v>
      </c>
      <c r="AS115" s="87">
        <f t="shared" si="24"/>
        <v>0</v>
      </c>
      <c r="AT115" s="87" t="str">
        <f t="shared" si="25"/>
        <v/>
      </c>
      <c r="AU115" s="87" t="str">
        <f t="shared" si="26"/>
        <v/>
      </c>
      <c r="AV115" s="86">
        <f t="shared" si="106"/>
        <v>0</v>
      </c>
      <c r="AW115" s="87">
        <f t="shared" si="107"/>
        <v>0</v>
      </c>
      <c r="AX115" s="87">
        <f t="shared" si="108"/>
        <v>0</v>
      </c>
      <c r="AY115" s="93"/>
      <c r="AZ115" s="87">
        <f t="shared" si="201"/>
        <v>0</v>
      </c>
      <c r="BA115" s="87">
        <f t="shared" si="109"/>
        <v>0</v>
      </c>
      <c r="BB115" s="87">
        <f t="shared" si="110"/>
        <v>0</v>
      </c>
      <c r="BC115" s="87">
        <f t="shared" si="184"/>
        <v>0</v>
      </c>
      <c r="BD115" s="86" t="e">
        <f t="shared" si="27"/>
        <v>#NUM!</v>
      </c>
      <c r="BE115" s="87" t="e">
        <f t="shared" si="3"/>
        <v>#NUM!</v>
      </c>
      <c r="BF115" s="88">
        <f t="shared" si="111"/>
        <v>0</v>
      </c>
      <c r="BH115" s="87" t="e">
        <f t="shared" si="28"/>
        <v>#NUM!</v>
      </c>
      <c r="BK115" s="95">
        <v>40270</v>
      </c>
      <c r="BL115" s="96">
        <v>36</v>
      </c>
      <c r="BT115" t="s">
        <v>144</v>
      </c>
      <c r="BU115" t="s">
        <v>501</v>
      </c>
      <c r="BW115">
        <v>1</v>
      </c>
      <c r="BX115">
        <v>6</v>
      </c>
      <c r="BY115">
        <v>11</v>
      </c>
      <c r="BZ115">
        <v>15</v>
      </c>
      <c r="CA115">
        <v>24</v>
      </c>
      <c r="CB115">
        <v>36</v>
      </c>
      <c r="CC115">
        <v>48</v>
      </c>
      <c r="CD115">
        <v>60</v>
      </c>
      <c r="CE115">
        <v>61</v>
      </c>
      <c r="CS115" s="108" t="str">
        <f t="shared" si="29"/>
        <v/>
      </c>
      <c r="CT115" s="109" t="str">
        <f t="shared" si="30"/>
        <v/>
      </c>
      <c r="CU115" s="109" t="str">
        <f t="shared" si="31"/>
        <v/>
      </c>
      <c r="CV115" s="110" t="str">
        <f t="shared" si="205"/>
        <v/>
      </c>
      <c r="CX115" s="108" t="str">
        <f t="shared" si="33"/>
        <v/>
      </c>
      <c r="CY115" s="109" t="str">
        <f t="shared" si="113"/>
        <v/>
      </c>
      <c r="CZ115" s="109" t="str">
        <f t="shared" si="34"/>
        <v/>
      </c>
      <c r="DA115" s="110" t="str">
        <f t="shared" si="206"/>
        <v/>
      </c>
      <c r="DC115" s="108" t="str">
        <f t="shared" si="114"/>
        <v/>
      </c>
      <c r="DD115" s="109" t="str">
        <f t="shared" si="115"/>
        <v/>
      </c>
      <c r="DE115" s="109" t="str">
        <f t="shared" si="36"/>
        <v/>
      </c>
      <c r="DF115" s="110" t="str">
        <f t="shared" si="207"/>
        <v/>
      </c>
      <c r="DH115" s="108" t="str">
        <f t="shared" si="38"/>
        <v/>
      </c>
      <c r="DI115" s="109" t="str">
        <f t="shared" si="39"/>
        <v/>
      </c>
      <c r="DJ115" s="109" t="str">
        <f t="shared" si="40"/>
        <v/>
      </c>
      <c r="DK115" s="110" t="str">
        <f t="shared" si="208"/>
        <v/>
      </c>
      <c r="DM115" s="108" t="str">
        <f t="shared" si="116"/>
        <v/>
      </c>
      <c r="DN115" s="109" t="str">
        <f t="shared" si="117"/>
        <v/>
      </c>
      <c r="DO115" s="109" t="str">
        <f t="shared" si="42"/>
        <v/>
      </c>
      <c r="DP115" s="110" t="str">
        <f t="shared" si="209"/>
        <v/>
      </c>
      <c r="DR115" s="108" t="str">
        <f t="shared" si="43"/>
        <v/>
      </c>
      <c r="DS115" s="109" t="str">
        <f t="shared" si="118"/>
        <v/>
      </c>
      <c r="DT115" s="109" t="str">
        <f t="shared" si="44"/>
        <v/>
      </c>
      <c r="DU115" s="110" t="str">
        <f t="shared" si="210"/>
        <v/>
      </c>
      <c r="DW115" s="108" t="str">
        <f t="shared" si="120"/>
        <v/>
      </c>
      <c r="DX115" s="109" t="str">
        <f t="shared" si="121"/>
        <v/>
      </c>
      <c r="DY115" s="109" t="str">
        <f t="shared" si="45"/>
        <v/>
      </c>
      <c r="DZ115" s="110" t="str">
        <f t="shared" si="211"/>
        <v/>
      </c>
      <c r="EB115" s="108" t="str">
        <f t="shared" si="46"/>
        <v/>
      </c>
      <c r="EC115" s="109" t="str">
        <f t="shared" si="122"/>
        <v/>
      </c>
      <c r="ED115" s="109" t="str">
        <f t="shared" si="47"/>
        <v/>
      </c>
      <c r="EE115" s="110" t="str">
        <f t="shared" si="212"/>
        <v/>
      </c>
      <c r="EG115" s="108" t="str">
        <f t="shared" si="124"/>
        <v/>
      </c>
      <c r="EH115" s="109" t="str">
        <f t="shared" si="125"/>
        <v/>
      </c>
      <c r="EI115" s="109" t="str">
        <f t="shared" si="48"/>
        <v/>
      </c>
      <c r="EJ115" s="110" t="str">
        <f t="shared" si="213"/>
        <v/>
      </c>
      <c r="EL115" s="108" t="str">
        <f t="shared" si="49"/>
        <v/>
      </c>
      <c r="EM115" s="109" t="str">
        <f t="shared" si="126"/>
        <v/>
      </c>
      <c r="EN115" s="109" t="str">
        <f t="shared" si="50"/>
        <v/>
      </c>
      <c r="EO115" s="110" t="str">
        <f t="shared" si="214"/>
        <v/>
      </c>
      <c r="EQ115" s="108" t="str">
        <f t="shared" si="128"/>
        <v/>
      </c>
      <c r="ER115" s="109" t="str">
        <f t="shared" si="129"/>
        <v/>
      </c>
      <c r="ES115" s="109" t="str">
        <f t="shared" si="51"/>
        <v/>
      </c>
      <c r="ET115" s="110" t="str">
        <f t="shared" si="215"/>
        <v/>
      </c>
      <c r="EV115" s="108" t="str">
        <f t="shared" si="52"/>
        <v/>
      </c>
      <c r="EW115" s="109" t="str">
        <f t="shared" si="130"/>
        <v/>
      </c>
      <c r="EX115" s="109" t="str">
        <f t="shared" si="53"/>
        <v/>
      </c>
      <c r="EY115" s="110" t="str">
        <f t="shared" si="216"/>
        <v/>
      </c>
      <c r="FA115" s="108" t="str">
        <f t="shared" si="132"/>
        <v/>
      </c>
      <c r="FB115" s="109" t="str">
        <f t="shared" si="133"/>
        <v/>
      </c>
      <c r="FC115" s="109" t="str">
        <f t="shared" si="54"/>
        <v/>
      </c>
      <c r="FD115" s="110" t="str">
        <f t="shared" si="217"/>
        <v/>
      </c>
      <c r="FF115" s="108" t="str">
        <f t="shared" si="55"/>
        <v/>
      </c>
      <c r="FG115" s="109" t="str">
        <f t="shared" si="134"/>
        <v/>
      </c>
      <c r="FH115" s="109" t="str">
        <f t="shared" si="56"/>
        <v/>
      </c>
      <c r="FI115" s="110" t="str">
        <f t="shared" si="218"/>
        <v/>
      </c>
      <c r="FK115" s="108" t="str">
        <f t="shared" si="136"/>
        <v/>
      </c>
      <c r="FL115" s="109" t="str">
        <f t="shared" si="137"/>
        <v/>
      </c>
      <c r="FM115" s="109" t="str">
        <f t="shared" si="57"/>
        <v/>
      </c>
      <c r="FN115" s="110" t="str">
        <f t="shared" si="219"/>
        <v/>
      </c>
      <c r="FP115" s="108" t="str">
        <f t="shared" si="58"/>
        <v/>
      </c>
      <c r="FQ115" s="109" t="str">
        <f t="shared" si="138"/>
        <v/>
      </c>
      <c r="FR115" s="109" t="str">
        <f t="shared" si="59"/>
        <v/>
      </c>
      <c r="FS115" s="110" t="str">
        <f t="shared" si="220"/>
        <v/>
      </c>
      <c r="FU115" s="108" t="str">
        <f t="shared" si="140"/>
        <v/>
      </c>
      <c r="FV115" s="109" t="str">
        <f t="shared" si="141"/>
        <v/>
      </c>
      <c r="FW115" s="109" t="str">
        <f t="shared" si="60"/>
        <v/>
      </c>
      <c r="FX115" s="110" t="str">
        <f t="shared" si="221"/>
        <v/>
      </c>
      <c r="FZ115" s="108" t="str">
        <f t="shared" si="61"/>
        <v/>
      </c>
      <c r="GA115" s="109" t="str">
        <f t="shared" si="142"/>
        <v/>
      </c>
      <c r="GB115" s="109" t="str">
        <f t="shared" si="62"/>
        <v/>
      </c>
      <c r="GC115" s="110" t="str">
        <f t="shared" si="222"/>
        <v/>
      </c>
      <c r="GE115" s="108" t="str">
        <f t="shared" si="144"/>
        <v/>
      </c>
      <c r="GF115" s="109" t="str">
        <f t="shared" si="145"/>
        <v/>
      </c>
      <c r="GG115" s="109" t="str">
        <f t="shared" si="146"/>
        <v/>
      </c>
      <c r="GH115" s="110" t="str">
        <f t="shared" si="223"/>
        <v/>
      </c>
      <c r="GL115" s="108" t="str">
        <f t="shared" si="63"/>
        <v/>
      </c>
      <c r="GM115" s="109" t="str">
        <f t="shared" si="64"/>
        <v/>
      </c>
      <c r="GN115" s="109" t="str">
        <f t="shared" si="65"/>
        <v/>
      </c>
      <c r="GO115" s="110" t="str">
        <f t="shared" si="66"/>
        <v/>
      </c>
      <c r="GP115" s="51"/>
      <c r="GQ115" s="108" t="str">
        <f t="shared" si="67"/>
        <v/>
      </c>
      <c r="GR115" s="109" t="str">
        <f t="shared" si="147"/>
        <v/>
      </c>
      <c r="GS115" s="109" t="str">
        <f t="shared" si="68"/>
        <v/>
      </c>
      <c r="GT115" s="110" t="str">
        <f t="shared" si="69"/>
        <v/>
      </c>
      <c r="GU115" s="51"/>
      <c r="GV115" s="108" t="str">
        <f t="shared" si="148"/>
        <v/>
      </c>
      <c r="GW115" s="109" t="str">
        <f t="shared" si="149"/>
        <v/>
      </c>
      <c r="GX115" s="109" t="str">
        <f t="shared" si="70"/>
        <v/>
      </c>
      <c r="GY115" s="110" t="str">
        <f t="shared" si="150"/>
        <v/>
      </c>
      <c r="GZ115" s="51"/>
      <c r="HA115" s="108" t="str">
        <f t="shared" si="71"/>
        <v/>
      </c>
      <c r="HB115" s="109" t="str">
        <f t="shared" si="151"/>
        <v/>
      </c>
      <c r="HC115" s="109" t="str">
        <f t="shared" si="72"/>
        <v/>
      </c>
      <c r="HD115" s="110" t="str">
        <f t="shared" si="193"/>
        <v/>
      </c>
      <c r="HE115" s="51"/>
      <c r="HF115" s="108" t="str">
        <f t="shared" si="152"/>
        <v/>
      </c>
      <c r="HG115" s="109" t="str">
        <f t="shared" si="153"/>
        <v/>
      </c>
      <c r="HH115" s="109" t="str">
        <f t="shared" si="73"/>
        <v/>
      </c>
      <c r="HI115" s="110" t="str">
        <f t="shared" si="154"/>
        <v/>
      </c>
      <c r="HJ115" s="51"/>
      <c r="HK115" s="108" t="str">
        <f t="shared" si="74"/>
        <v/>
      </c>
      <c r="HL115" s="109" t="str">
        <f t="shared" si="155"/>
        <v/>
      </c>
      <c r="HM115" s="109" t="str">
        <f t="shared" si="75"/>
        <v/>
      </c>
      <c r="HN115" s="110" t="str">
        <f t="shared" si="194"/>
        <v/>
      </c>
      <c r="HO115" s="51"/>
      <c r="HP115" s="108" t="str">
        <f t="shared" si="156"/>
        <v/>
      </c>
      <c r="HQ115" s="109" t="str">
        <f t="shared" si="157"/>
        <v/>
      </c>
      <c r="HR115" s="109" t="str">
        <f t="shared" si="76"/>
        <v/>
      </c>
      <c r="HS115" s="110" t="str">
        <f t="shared" si="158"/>
        <v/>
      </c>
      <c r="HT115" s="51"/>
      <c r="HU115" s="108" t="str">
        <f t="shared" si="77"/>
        <v/>
      </c>
      <c r="HV115" s="109" t="str">
        <f t="shared" si="159"/>
        <v/>
      </c>
      <c r="HW115" s="109" t="str">
        <f t="shared" si="78"/>
        <v/>
      </c>
      <c r="HX115" s="110" t="str">
        <f t="shared" si="195"/>
        <v/>
      </c>
      <c r="HY115" s="51"/>
      <c r="HZ115" s="108" t="str">
        <f t="shared" si="160"/>
        <v/>
      </c>
      <c r="IA115" s="109" t="str">
        <f t="shared" si="161"/>
        <v/>
      </c>
      <c r="IB115" s="109" t="str">
        <f t="shared" si="79"/>
        <v/>
      </c>
      <c r="IC115" s="110" t="str">
        <f t="shared" si="162"/>
        <v/>
      </c>
      <c r="ID115" s="51"/>
      <c r="IE115" s="108" t="str">
        <f t="shared" si="80"/>
        <v/>
      </c>
      <c r="IF115" s="109" t="str">
        <f t="shared" si="163"/>
        <v/>
      </c>
      <c r="IG115" s="109" t="str">
        <f t="shared" si="81"/>
        <v/>
      </c>
      <c r="IH115" s="110" t="str">
        <f t="shared" si="196"/>
        <v/>
      </c>
      <c r="II115" s="51"/>
      <c r="IJ115" s="108" t="str">
        <f t="shared" si="164"/>
        <v/>
      </c>
      <c r="IK115" s="109" t="str">
        <f t="shared" si="165"/>
        <v/>
      </c>
      <c r="IL115" s="109" t="str">
        <f t="shared" si="82"/>
        <v/>
      </c>
      <c r="IM115" s="110" t="str">
        <f t="shared" si="166"/>
        <v/>
      </c>
      <c r="IN115" s="51"/>
      <c r="IO115" s="108" t="str">
        <f t="shared" si="83"/>
        <v/>
      </c>
      <c r="IP115" s="109" t="str">
        <f t="shared" si="167"/>
        <v/>
      </c>
      <c r="IQ115" s="109" t="str">
        <f t="shared" si="84"/>
        <v/>
      </c>
      <c r="IR115" s="110" t="str">
        <f t="shared" si="197"/>
        <v/>
      </c>
      <c r="IS115" s="51"/>
      <c r="IT115" s="108" t="str">
        <f t="shared" si="168"/>
        <v/>
      </c>
      <c r="IU115" s="109" t="str">
        <f t="shared" si="169"/>
        <v/>
      </c>
      <c r="IV115" s="109" t="str">
        <f t="shared" si="85"/>
        <v/>
      </c>
      <c r="IW115" s="110" t="str">
        <f t="shared" si="170"/>
        <v/>
      </c>
      <c r="IX115" s="51"/>
      <c r="IY115" s="108" t="str">
        <f t="shared" si="86"/>
        <v/>
      </c>
      <c r="IZ115" s="109" t="str">
        <f t="shared" si="171"/>
        <v/>
      </c>
      <c r="JA115" s="109" t="str">
        <f t="shared" si="87"/>
        <v/>
      </c>
      <c r="JB115" s="110" t="str">
        <f t="shared" si="198"/>
        <v/>
      </c>
      <c r="JC115" s="51"/>
      <c r="JD115" s="108" t="str">
        <f t="shared" si="172"/>
        <v/>
      </c>
      <c r="JE115" s="109" t="str">
        <f t="shared" si="173"/>
        <v/>
      </c>
      <c r="JF115" s="109" t="str">
        <f t="shared" si="88"/>
        <v/>
      </c>
      <c r="JG115" s="110" t="str">
        <f t="shared" si="174"/>
        <v/>
      </c>
      <c r="JH115" s="51"/>
      <c r="JI115" s="108" t="str">
        <f t="shared" si="89"/>
        <v/>
      </c>
      <c r="JJ115" s="109" t="str">
        <f t="shared" si="175"/>
        <v/>
      </c>
      <c r="JK115" s="109" t="str">
        <f t="shared" si="90"/>
        <v/>
      </c>
      <c r="JL115" s="110" t="str">
        <f t="shared" si="199"/>
        <v/>
      </c>
      <c r="JM115" s="51"/>
      <c r="JN115" s="108" t="str">
        <f t="shared" si="176"/>
        <v/>
      </c>
      <c r="JO115" s="109" t="str">
        <f t="shared" si="177"/>
        <v/>
      </c>
      <c r="JP115" s="109" t="str">
        <f t="shared" si="91"/>
        <v/>
      </c>
      <c r="JQ115" s="110" t="str">
        <f t="shared" si="178"/>
        <v/>
      </c>
      <c r="JR115" s="51"/>
      <c r="JS115" s="108" t="str">
        <f t="shared" si="92"/>
        <v/>
      </c>
      <c r="JT115" s="109" t="str">
        <f t="shared" si="179"/>
        <v/>
      </c>
      <c r="JU115" s="109" t="str">
        <f t="shared" si="93"/>
        <v/>
      </c>
      <c r="JV115" s="110" t="str">
        <f t="shared" si="200"/>
        <v/>
      </c>
      <c r="JW115" s="51"/>
      <c r="JX115" s="108" t="str">
        <f t="shared" si="180"/>
        <v/>
      </c>
      <c r="JY115" s="109" t="str">
        <f t="shared" si="181"/>
        <v/>
      </c>
      <c r="JZ115" s="109" t="str">
        <f t="shared" si="94"/>
        <v/>
      </c>
      <c r="KA115" s="110" t="str">
        <f t="shared" si="95"/>
        <v/>
      </c>
    </row>
    <row r="116" spans="1:287" ht="12" customHeight="1">
      <c r="A116" s="105">
        <f t="array" ref="A116">MAX(IF($J$80:J115&gt;0,$C$80:C115,0))</f>
        <v>43536</v>
      </c>
      <c r="B116" s="81" t="str">
        <f t="shared" si="4"/>
        <v/>
      </c>
      <c r="C116" s="82">
        <f t="shared" si="182"/>
        <v>0</v>
      </c>
      <c r="D116" s="83" t="str">
        <f t="shared" si="5"/>
        <v/>
      </c>
      <c r="E116" s="83" t="str">
        <f t="shared" si="96"/>
        <v/>
      </c>
      <c r="F116" s="83" t="str">
        <f t="shared" si="6"/>
        <v/>
      </c>
      <c r="G116" s="83" t="str">
        <f t="shared" si="7"/>
        <v/>
      </c>
      <c r="H116" s="83" t="str">
        <f t="shared" si="8"/>
        <v/>
      </c>
      <c r="I116" s="105">
        <f t="array" ref="I116">MAX(IF($R$80:R115&gt;0,$L$80:L115,0))</f>
        <v>0</v>
      </c>
      <c r="J116" s="106"/>
      <c r="K116" s="2" t="str">
        <f t="shared" si="9"/>
        <v/>
      </c>
      <c r="L116" s="82">
        <f t="shared" si="183"/>
        <v>0</v>
      </c>
      <c r="M116" s="83" t="str">
        <f t="shared" si="97"/>
        <v/>
      </c>
      <c r="N116" s="83" t="str">
        <f t="shared" si="10"/>
        <v/>
      </c>
      <c r="O116" s="83" t="str">
        <f t="shared" si="11"/>
        <v/>
      </c>
      <c r="P116" s="83" t="str">
        <f t="shared" si="12"/>
        <v/>
      </c>
      <c r="Q116" s="83" t="str">
        <f t="shared" si="13"/>
        <v/>
      </c>
      <c r="R116" s="106"/>
      <c r="S116" s="1"/>
      <c r="U116" s="85" t="e">
        <f t="shared" si="0"/>
        <v>#NUM!</v>
      </c>
      <c r="V116" s="86" t="e">
        <f t="shared" si="98"/>
        <v>#NUM!</v>
      </c>
      <c r="W116" s="87" t="e">
        <f t="shared" si="14"/>
        <v>#NUM!</v>
      </c>
      <c r="X116" s="87" t="e">
        <f t="shared" si="15"/>
        <v>#NUM!</v>
      </c>
      <c r="Y116" s="87" t="e">
        <f t="shared" si="16"/>
        <v>#NUM!</v>
      </c>
      <c r="Z116" s="88" t="e">
        <f t="shared" si="1"/>
        <v>#NUM!</v>
      </c>
      <c r="AB116" s="89">
        <f t="shared" si="99"/>
        <v>0</v>
      </c>
      <c r="AC116" s="87">
        <f t="shared" si="100"/>
        <v>0</v>
      </c>
      <c r="AD116" s="87" t="str">
        <f t="shared" si="17"/>
        <v/>
      </c>
      <c r="AE116" s="87" t="str">
        <f t="shared" si="18"/>
        <v/>
      </c>
      <c r="AF116" s="86">
        <f t="shared" si="101"/>
        <v>0</v>
      </c>
      <c r="AG116" s="87">
        <f t="shared" si="2"/>
        <v>0</v>
      </c>
      <c r="AH116" s="87">
        <f t="shared" si="102"/>
        <v>0</v>
      </c>
      <c r="AI116" s="90"/>
      <c r="AJ116" s="87" t="e">
        <f t="shared" si="19"/>
        <v>#NUM!</v>
      </c>
      <c r="AK116" s="87" t="e">
        <f t="shared" si="103"/>
        <v>#NUM!</v>
      </c>
      <c r="AL116" s="87" t="e">
        <f t="shared" si="104"/>
        <v>#NUM!</v>
      </c>
      <c r="AM116" s="87" t="e">
        <f t="shared" si="105"/>
        <v>#NUM!</v>
      </c>
      <c r="AN116" s="86">
        <f t="shared" si="20"/>
        <v>0</v>
      </c>
      <c r="AO116" s="87">
        <f t="shared" si="21"/>
        <v>0</v>
      </c>
      <c r="AP116" s="88">
        <f t="shared" si="22"/>
        <v>0</v>
      </c>
      <c r="AR116" s="89">
        <f t="shared" si="23"/>
        <v>0</v>
      </c>
      <c r="AS116" s="87">
        <f t="shared" si="24"/>
        <v>0</v>
      </c>
      <c r="AT116" s="87" t="str">
        <f t="shared" si="25"/>
        <v/>
      </c>
      <c r="AU116" s="87" t="str">
        <f t="shared" si="26"/>
        <v/>
      </c>
      <c r="AV116" s="86">
        <f t="shared" si="106"/>
        <v>0</v>
      </c>
      <c r="AW116" s="87">
        <f t="shared" si="107"/>
        <v>0</v>
      </c>
      <c r="AX116" s="87">
        <f t="shared" si="108"/>
        <v>0</v>
      </c>
      <c r="AY116" s="93"/>
      <c r="AZ116" s="87">
        <f t="shared" si="201"/>
        <v>0</v>
      </c>
      <c r="BA116" s="87">
        <f t="shared" si="109"/>
        <v>0</v>
      </c>
      <c r="BB116" s="87">
        <f t="shared" si="110"/>
        <v>0</v>
      </c>
      <c r="BC116" s="87">
        <f t="shared" si="184"/>
        <v>0</v>
      </c>
      <c r="BD116" s="86" t="e">
        <f t="shared" si="27"/>
        <v>#NUM!</v>
      </c>
      <c r="BE116" s="87" t="e">
        <f t="shared" si="3"/>
        <v>#NUM!</v>
      </c>
      <c r="BF116" s="88">
        <f t="shared" si="111"/>
        <v>0</v>
      </c>
      <c r="BH116" s="87" t="e">
        <f t="shared" si="28"/>
        <v>#NUM!</v>
      </c>
      <c r="BK116" s="95">
        <v>40273</v>
      </c>
      <c r="BL116" s="96">
        <v>37</v>
      </c>
      <c r="BT116" s="51"/>
      <c r="BU116" s="51"/>
      <c r="BV116" s="30"/>
      <c r="BW116">
        <v>5</v>
      </c>
      <c r="BX116">
        <v>10</v>
      </c>
      <c r="BY116">
        <v>14</v>
      </c>
      <c r="BZ116">
        <v>23</v>
      </c>
      <c r="CA116">
        <v>35</v>
      </c>
      <c r="CB116">
        <v>47</v>
      </c>
      <c r="CC116">
        <v>59</v>
      </c>
      <c r="CD116">
        <v>60</v>
      </c>
      <c r="CF116" s="107"/>
      <c r="CG116" s="107"/>
      <c r="CS116" s="108" t="str">
        <f t="shared" si="29"/>
        <v/>
      </c>
      <c r="CT116" s="109" t="str">
        <f t="shared" si="30"/>
        <v/>
      </c>
      <c r="CU116" s="109" t="str">
        <f t="shared" si="31"/>
        <v/>
      </c>
      <c r="CV116" s="110" t="str">
        <f t="shared" si="205"/>
        <v/>
      </c>
      <c r="CX116" s="108" t="str">
        <f t="shared" si="33"/>
        <v/>
      </c>
      <c r="CY116" s="109" t="str">
        <f t="shared" si="113"/>
        <v/>
      </c>
      <c r="CZ116" s="109" t="str">
        <f t="shared" si="34"/>
        <v/>
      </c>
      <c r="DA116" s="110" t="str">
        <f t="shared" si="206"/>
        <v/>
      </c>
      <c r="DC116" s="108" t="str">
        <f t="shared" si="114"/>
        <v/>
      </c>
      <c r="DD116" s="109" t="str">
        <f t="shared" si="115"/>
        <v/>
      </c>
      <c r="DE116" s="109" t="str">
        <f t="shared" si="36"/>
        <v/>
      </c>
      <c r="DF116" s="110" t="str">
        <f t="shared" si="207"/>
        <v/>
      </c>
      <c r="DH116" s="108" t="str">
        <f t="shared" si="38"/>
        <v/>
      </c>
      <c r="DI116" s="109" t="str">
        <f t="shared" si="39"/>
        <v/>
      </c>
      <c r="DJ116" s="109" t="str">
        <f t="shared" si="40"/>
        <v/>
      </c>
      <c r="DK116" s="110" t="str">
        <f t="shared" si="208"/>
        <v/>
      </c>
      <c r="DM116" s="108" t="str">
        <f t="shared" si="116"/>
        <v/>
      </c>
      <c r="DN116" s="109" t="str">
        <f t="shared" si="117"/>
        <v/>
      </c>
      <c r="DO116" s="109" t="str">
        <f t="shared" si="42"/>
        <v/>
      </c>
      <c r="DP116" s="110" t="str">
        <f t="shared" si="209"/>
        <v/>
      </c>
      <c r="DR116" s="108" t="str">
        <f t="shared" si="43"/>
        <v/>
      </c>
      <c r="DS116" s="109" t="str">
        <f t="shared" si="118"/>
        <v/>
      </c>
      <c r="DT116" s="109" t="str">
        <f t="shared" si="44"/>
        <v/>
      </c>
      <c r="DU116" s="110" t="str">
        <f t="shared" si="210"/>
        <v/>
      </c>
      <c r="DW116" s="108" t="str">
        <f t="shared" si="120"/>
        <v/>
      </c>
      <c r="DX116" s="109" t="str">
        <f t="shared" si="121"/>
        <v/>
      </c>
      <c r="DY116" s="109" t="str">
        <f t="shared" si="45"/>
        <v/>
      </c>
      <c r="DZ116" s="110" t="str">
        <f t="shared" si="211"/>
        <v/>
      </c>
      <c r="EB116" s="108" t="str">
        <f t="shared" si="46"/>
        <v/>
      </c>
      <c r="EC116" s="109" t="str">
        <f t="shared" si="122"/>
        <v/>
      </c>
      <c r="ED116" s="109" t="str">
        <f t="shared" si="47"/>
        <v/>
      </c>
      <c r="EE116" s="110" t="str">
        <f t="shared" si="212"/>
        <v/>
      </c>
      <c r="EG116" s="108" t="str">
        <f t="shared" si="124"/>
        <v/>
      </c>
      <c r="EH116" s="109" t="str">
        <f t="shared" si="125"/>
        <v/>
      </c>
      <c r="EI116" s="109" t="str">
        <f t="shared" si="48"/>
        <v/>
      </c>
      <c r="EJ116" s="110" t="str">
        <f t="shared" si="213"/>
        <v/>
      </c>
      <c r="EL116" s="108" t="str">
        <f t="shared" si="49"/>
        <v/>
      </c>
      <c r="EM116" s="109" t="str">
        <f t="shared" si="126"/>
        <v/>
      </c>
      <c r="EN116" s="109" t="str">
        <f t="shared" si="50"/>
        <v/>
      </c>
      <c r="EO116" s="110" t="str">
        <f t="shared" si="214"/>
        <v/>
      </c>
      <c r="EQ116" s="108" t="str">
        <f t="shared" si="128"/>
        <v/>
      </c>
      <c r="ER116" s="109" t="str">
        <f t="shared" si="129"/>
        <v/>
      </c>
      <c r="ES116" s="109" t="str">
        <f t="shared" si="51"/>
        <v/>
      </c>
      <c r="ET116" s="110" t="str">
        <f t="shared" si="215"/>
        <v/>
      </c>
      <c r="EV116" s="108" t="str">
        <f t="shared" si="52"/>
        <v/>
      </c>
      <c r="EW116" s="109" t="str">
        <f t="shared" si="130"/>
        <v/>
      </c>
      <c r="EX116" s="109" t="str">
        <f t="shared" si="53"/>
        <v/>
      </c>
      <c r="EY116" s="110" t="str">
        <f t="shared" si="216"/>
        <v/>
      </c>
      <c r="FA116" s="108" t="str">
        <f t="shared" si="132"/>
        <v/>
      </c>
      <c r="FB116" s="109" t="str">
        <f t="shared" si="133"/>
        <v/>
      </c>
      <c r="FC116" s="109" t="str">
        <f t="shared" si="54"/>
        <v/>
      </c>
      <c r="FD116" s="110" t="str">
        <f t="shared" si="217"/>
        <v/>
      </c>
      <c r="FF116" s="108" t="str">
        <f t="shared" si="55"/>
        <v/>
      </c>
      <c r="FG116" s="109" t="str">
        <f t="shared" si="134"/>
        <v/>
      </c>
      <c r="FH116" s="109" t="str">
        <f t="shared" si="56"/>
        <v/>
      </c>
      <c r="FI116" s="110" t="str">
        <f t="shared" si="218"/>
        <v/>
      </c>
      <c r="FK116" s="108" t="str">
        <f t="shared" si="136"/>
        <v/>
      </c>
      <c r="FL116" s="109" t="str">
        <f t="shared" si="137"/>
        <v/>
      </c>
      <c r="FM116" s="109" t="str">
        <f t="shared" si="57"/>
        <v/>
      </c>
      <c r="FN116" s="110" t="str">
        <f t="shared" si="219"/>
        <v/>
      </c>
      <c r="FP116" s="108" t="str">
        <f t="shared" si="58"/>
        <v/>
      </c>
      <c r="FQ116" s="109" t="str">
        <f t="shared" si="138"/>
        <v/>
      </c>
      <c r="FR116" s="109" t="str">
        <f t="shared" si="59"/>
        <v/>
      </c>
      <c r="FS116" s="110" t="str">
        <f t="shared" si="220"/>
        <v/>
      </c>
      <c r="FU116" s="108" t="str">
        <f t="shared" si="140"/>
        <v/>
      </c>
      <c r="FV116" s="109" t="str">
        <f t="shared" si="141"/>
        <v/>
      </c>
      <c r="FW116" s="109" t="str">
        <f t="shared" si="60"/>
        <v/>
      </c>
      <c r="FX116" s="110" t="str">
        <f t="shared" si="221"/>
        <v/>
      </c>
      <c r="FZ116" s="108" t="str">
        <f t="shared" si="61"/>
        <v/>
      </c>
      <c r="GA116" s="109" t="str">
        <f t="shared" si="142"/>
        <v/>
      </c>
      <c r="GB116" s="109" t="str">
        <f t="shared" si="62"/>
        <v/>
      </c>
      <c r="GC116" s="110" t="str">
        <f t="shared" si="222"/>
        <v/>
      </c>
      <c r="GE116" s="108" t="str">
        <f t="shared" si="144"/>
        <v/>
      </c>
      <c r="GF116" s="109" t="str">
        <f t="shared" si="145"/>
        <v/>
      </c>
      <c r="GG116" s="109" t="str">
        <f t="shared" si="146"/>
        <v/>
      </c>
      <c r="GH116" s="110" t="str">
        <f t="shared" si="223"/>
        <v/>
      </c>
      <c r="GL116" s="108" t="str">
        <f t="shared" si="63"/>
        <v/>
      </c>
      <c r="GM116" s="109" t="str">
        <f t="shared" si="64"/>
        <v/>
      </c>
      <c r="GN116" s="109" t="str">
        <f t="shared" si="65"/>
        <v/>
      </c>
      <c r="GO116" s="110" t="str">
        <f t="shared" si="66"/>
        <v/>
      </c>
      <c r="GP116" s="51"/>
      <c r="GQ116" s="108" t="str">
        <f t="shared" si="67"/>
        <v/>
      </c>
      <c r="GR116" s="109" t="str">
        <f t="shared" si="147"/>
        <v/>
      </c>
      <c r="GS116" s="109" t="str">
        <f t="shared" si="68"/>
        <v/>
      </c>
      <c r="GT116" s="110" t="str">
        <f t="shared" si="69"/>
        <v/>
      </c>
      <c r="GU116" s="51"/>
      <c r="GV116" s="108" t="str">
        <f t="shared" si="148"/>
        <v/>
      </c>
      <c r="GW116" s="109" t="str">
        <f t="shared" si="149"/>
        <v/>
      </c>
      <c r="GX116" s="109" t="str">
        <f t="shared" si="70"/>
        <v/>
      </c>
      <c r="GY116" s="110" t="str">
        <f t="shared" si="150"/>
        <v/>
      </c>
      <c r="GZ116" s="51"/>
      <c r="HA116" s="108" t="str">
        <f t="shared" si="71"/>
        <v/>
      </c>
      <c r="HB116" s="109" t="str">
        <f t="shared" si="151"/>
        <v/>
      </c>
      <c r="HC116" s="109" t="str">
        <f t="shared" si="72"/>
        <v/>
      </c>
      <c r="HD116" s="110" t="str">
        <f t="shared" si="193"/>
        <v/>
      </c>
      <c r="HE116" s="51"/>
      <c r="HF116" s="108" t="str">
        <f t="shared" si="152"/>
        <v/>
      </c>
      <c r="HG116" s="109" t="str">
        <f t="shared" si="153"/>
        <v/>
      </c>
      <c r="HH116" s="109" t="str">
        <f t="shared" si="73"/>
        <v/>
      </c>
      <c r="HI116" s="110" t="str">
        <f t="shared" si="154"/>
        <v/>
      </c>
      <c r="HJ116" s="51"/>
      <c r="HK116" s="108" t="str">
        <f t="shared" si="74"/>
        <v/>
      </c>
      <c r="HL116" s="109" t="str">
        <f t="shared" si="155"/>
        <v/>
      </c>
      <c r="HM116" s="109" t="str">
        <f t="shared" si="75"/>
        <v/>
      </c>
      <c r="HN116" s="110" t="str">
        <f t="shared" si="194"/>
        <v/>
      </c>
      <c r="HO116" s="51"/>
      <c r="HP116" s="108" t="str">
        <f t="shared" si="156"/>
        <v/>
      </c>
      <c r="HQ116" s="109" t="str">
        <f t="shared" si="157"/>
        <v/>
      </c>
      <c r="HR116" s="109" t="str">
        <f t="shared" si="76"/>
        <v/>
      </c>
      <c r="HS116" s="110" t="str">
        <f t="shared" si="158"/>
        <v/>
      </c>
      <c r="HT116" s="51"/>
      <c r="HU116" s="108" t="str">
        <f t="shared" si="77"/>
        <v/>
      </c>
      <c r="HV116" s="109" t="str">
        <f t="shared" si="159"/>
        <v/>
      </c>
      <c r="HW116" s="109" t="str">
        <f t="shared" si="78"/>
        <v/>
      </c>
      <c r="HX116" s="110" t="str">
        <f t="shared" si="195"/>
        <v/>
      </c>
      <c r="HY116" s="51"/>
      <c r="HZ116" s="108" t="str">
        <f t="shared" si="160"/>
        <v/>
      </c>
      <c r="IA116" s="109" t="str">
        <f t="shared" si="161"/>
        <v/>
      </c>
      <c r="IB116" s="109" t="str">
        <f t="shared" si="79"/>
        <v/>
      </c>
      <c r="IC116" s="110" t="str">
        <f t="shared" si="162"/>
        <v/>
      </c>
      <c r="ID116" s="51"/>
      <c r="IE116" s="108" t="str">
        <f t="shared" si="80"/>
        <v/>
      </c>
      <c r="IF116" s="109" t="str">
        <f t="shared" si="163"/>
        <v/>
      </c>
      <c r="IG116" s="109" t="str">
        <f t="shared" si="81"/>
        <v/>
      </c>
      <c r="IH116" s="110" t="str">
        <f t="shared" si="196"/>
        <v/>
      </c>
      <c r="II116" s="51"/>
      <c r="IJ116" s="108" t="str">
        <f t="shared" si="164"/>
        <v/>
      </c>
      <c r="IK116" s="109" t="str">
        <f t="shared" si="165"/>
        <v/>
      </c>
      <c r="IL116" s="109" t="str">
        <f t="shared" si="82"/>
        <v/>
      </c>
      <c r="IM116" s="110" t="str">
        <f t="shared" si="166"/>
        <v/>
      </c>
      <c r="IN116" s="51"/>
      <c r="IO116" s="108" t="str">
        <f t="shared" si="83"/>
        <v/>
      </c>
      <c r="IP116" s="109" t="str">
        <f t="shared" si="167"/>
        <v/>
      </c>
      <c r="IQ116" s="109" t="str">
        <f t="shared" si="84"/>
        <v/>
      </c>
      <c r="IR116" s="110" t="str">
        <f t="shared" si="197"/>
        <v/>
      </c>
      <c r="IS116" s="51"/>
      <c r="IT116" s="108" t="str">
        <f t="shared" si="168"/>
        <v/>
      </c>
      <c r="IU116" s="109" t="str">
        <f t="shared" si="169"/>
        <v/>
      </c>
      <c r="IV116" s="109" t="str">
        <f t="shared" si="85"/>
        <v/>
      </c>
      <c r="IW116" s="110" t="str">
        <f t="shared" si="170"/>
        <v/>
      </c>
      <c r="IX116" s="51"/>
      <c r="IY116" s="108" t="str">
        <f t="shared" si="86"/>
        <v/>
      </c>
      <c r="IZ116" s="109" t="str">
        <f t="shared" si="171"/>
        <v/>
      </c>
      <c r="JA116" s="109" t="str">
        <f t="shared" si="87"/>
        <v/>
      </c>
      <c r="JB116" s="110" t="str">
        <f t="shared" si="198"/>
        <v/>
      </c>
      <c r="JC116" s="51"/>
      <c r="JD116" s="108" t="str">
        <f t="shared" si="172"/>
        <v/>
      </c>
      <c r="JE116" s="109" t="str">
        <f t="shared" si="173"/>
        <v/>
      </c>
      <c r="JF116" s="109" t="str">
        <f t="shared" si="88"/>
        <v/>
      </c>
      <c r="JG116" s="110" t="str">
        <f t="shared" si="174"/>
        <v/>
      </c>
      <c r="JH116" s="51"/>
      <c r="JI116" s="108" t="str">
        <f t="shared" si="89"/>
        <v/>
      </c>
      <c r="JJ116" s="109" t="str">
        <f t="shared" si="175"/>
        <v/>
      </c>
      <c r="JK116" s="109" t="str">
        <f t="shared" si="90"/>
        <v/>
      </c>
      <c r="JL116" s="110" t="str">
        <f t="shared" si="199"/>
        <v/>
      </c>
      <c r="JM116" s="51"/>
      <c r="JN116" s="108" t="str">
        <f t="shared" si="176"/>
        <v/>
      </c>
      <c r="JO116" s="109" t="str">
        <f t="shared" si="177"/>
        <v/>
      </c>
      <c r="JP116" s="109" t="str">
        <f t="shared" si="91"/>
        <v/>
      </c>
      <c r="JQ116" s="110" t="str">
        <f t="shared" si="178"/>
        <v/>
      </c>
      <c r="JR116" s="51"/>
      <c r="JS116" s="108" t="str">
        <f t="shared" si="92"/>
        <v/>
      </c>
      <c r="JT116" s="109" t="str">
        <f t="shared" si="179"/>
        <v/>
      </c>
      <c r="JU116" s="109" t="str">
        <f t="shared" si="93"/>
        <v/>
      </c>
      <c r="JV116" s="110" t="str">
        <f t="shared" si="200"/>
        <v/>
      </c>
      <c r="JW116" s="51"/>
      <c r="JX116" s="108" t="str">
        <f t="shared" si="180"/>
        <v/>
      </c>
      <c r="JY116" s="109" t="str">
        <f t="shared" si="181"/>
        <v/>
      </c>
      <c r="JZ116" s="109" t="str">
        <f t="shared" si="94"/>
        <v/>
      </c>
      <c r="KA116" s="110" t="str">
        <f t="shared" si="95"/>
        <v/>
      </c>
    </row>
    <row r="117" spans="1:287" ht="12" customHeight="1">
      <c r="A117" s="105">
        <f t="array" ref="A117">MAX(IF($J$80:J116&gt;0,$C$80:C116,0))</f>
        <v>43536</v>
      </c>
      <c r="B117" s="81" t="str">
        <f t="shared" si="4"/>
        <v/>
      </c>
      <c r="C117" s="82">
        <f t="shared" si="182"/>
        <v>0</v>
      </c>
      <c r="D117" s="83" t="str">
        <f t="shared" si="5"/>
        <v/>
      </c>
      <c r="E117" s="83" t="str">
        <f t="shared" si="96"/>
        <v/>
      </c>
      <c r="F117" s="83" t="str">
        <f t="shared" si="6"/>
        <v/>
      </c>
      <c r="G117" s="83" t="str">
        <f t="shared" si="7"/>
        <v/>
      </c>
      <c r="H117" s="83" t="str">
        <f t="shared" si="8"/>
        <v/>
      </c>
      <c r="I117" s="105">
        <f t="array" ref="I117">MAX(IF($R$80:R116&gt;0,$L$80:L116,0))</f>
        <v>0</v>
      </c>
      <c r="J117" s="106"/>
      <c r="K117" s="2" t="str">
        <f t="shared" si="9"/>
        <v/>
      </c>
      <c r="L117" s="82">
        <f t="shared" si="183"/>
        <v>0</v>
      </c>
      <c r="M117" s="83" t="str">
        <f t="shared" si="97"/>
        <v/>
      </c>
      <c r="N117" s="83" t="str">
        <f t="shared" si="10"/>
        <v/>
      </c>
      <c r="O117" s="83" t="str">
        <f t="shared" si="11"/>
        <v/>
      </c>
      <c r="P117" s="83" t="str">
        <f t="shared" si="12"/>
        <v/>
      </c>
      <c r="Q117" s="83" t="str">
        <f t="shared" si="13"/>
        <v/>
      </c>
      <c r="R117" s="106"/>
      <c r="S117" s="1"/>
      <c r="U117" s="85" t="e">
        <f t="shared" si="0"/>
        <v>#NUM!</v>
      </c>
      <c r="V117" s="86" t="e">
        <f t="shared" si="98"/>
        <v>#NUM!</v>
      </c>
      <c r="W117" s="87" t="e">
        <f t="shared" si="14"/>
        <v>#NUM!</v>
      </c>
      <c r="X117" s="87" t="e">
        <f t="shared" si="15"/>
        <v>#NUM!</v>
      </c>
      <c r="Y117" s="87" t="e">
        <f t="shared" si="16"/>
        <v>#NUM!</v>
      </c>
      <c r="Z117" s="88" t="e">
        <f t="shared" si="1"/>
        <v>#NUM!</v>
      </c>
      <c r="AA117" t="s">
        <v>282</v>
      </c>
      <c r="AB117" s="89">
        <f t="shared" si="99"/>
        <v>0</v>
      </c>
      <c r="AC117" s="87">
        <f t="shared" si="100"/>
        <v>0</v>
      </c>
      <c r="AD117" s="87" t="str">
        <f t="shared" si="17"/>
        <v/>
      </c>
      <c r="AE117" s="87" t="str">
        <f t="shared" si="18"/>
        <v/>
      </c>
      <c r="AF117" s="86">
        <f t="shared" si="101"/>
        <v>0</v>
      </c>
      <c r="AG117" s="87">
        <f t="shared" si="2"/>
        <v>0</v>
      </c>
      <c r="AH117" s="87">
        <f t="shared" si="102"/>
        <v>0</v>
      </c>
      <c r="AI117" s="90"/>
      <c r="AJ117" s="87" t="e">
        <f t="shared" si="19"/>
        <v>#NUM!</v>
      </c>
      <c r="AK117" s="87" t="e">
        <f t="shared" si="103"/>
        <v>#NUM!</v>
      </c>
      <c r="AL117" s="87" t="e">
        <f t="shared" si="104"/>
        <v>#NUM!</v>
      </c>
      <c r="AM117" s="87" t="e">
        <f t="shared" si="105"/>
        <v>#NUM!</v>
      </c>
      <c r="AN117" s="86">
        <f t="shared" si="20"/>
        <v>0</v>
      </c>
      <c r="AO117" s="87">
        <f t="shared" si="21"/>
        <v>0</v>
      </c>
      <c r="AP117" s="88">
        <f t="shared" si="22"/>
        <v>0</v>
      </c>
      <c r="AR117" s="89">
        <f t="shared" si="23"/>
        <v>0</v>
      </c>
      <c r="AS117" s="87">
        <f t="shared" si="24"/>
        <v>0</v>
      </c>
      <c r="AT117" s="87" t="str">
        <f t="shared" si="25"/>
        <v/>
      </c>
      <c r="AU117" s="87" t="str">
        <f t="shared" si="26"/>
        <v/>
      </c>
      <c r="AV117" s="86">
        <f t="shared" si="106"/>
        <v>0</v>
      </c>
      <c r="AW117" s="87">
        <f t="shared" si="107"/>
        <v>0</v>
      </c>
      <c r="AX117" s="87">
        <f t="shared" si="108"/>
        <v>0</v>
      </c>
      <c r="AY117" s="93"/>
      <c r="AZ117" s="87">
        <f t="shared" si="201"/>
        <v>0</v>
      </c>
      <c r="BA117" s="87">
        <f t="shared" si="109"/>
        <v>0</v>
      </c>
      <c r="BB117" s="87">
        <f t="shared" si="110"/>
        <v>0</v>
      </c>
      <c r="BC117" s="87">
        <f t="shared" si="184"/>
        <v>0</v>
      </c>
      <c r="BD117" s="86" t="e">
        <f t="shared" si="27"/>
        <v>#NUM!</v>
      </c>
      <c r="BE117" s="87" t="e">
        <f t="shared" si="3"/>
        <v>#NUM!</v>
      </c>
      <c r="BF117" s="88">
        <f t="shared" si="111"/>
        <v>0</v>
      </c>
      <c r="BH117" s="87" t="e">
        <f t="shared" si="28"/>
        <v>#NUM!</v>
      </c>
      <c r="BI117" s="116"/>
      <c r="BK117" s="95">
        <v>40277</v>
      </c>
      <c r="BL117" s="96">
        <v>38</v>
      </c>
      <c r="BT117" s="51"/>
      <c r="BU117" s="51"/>
      <c r="BV117" s="30"/>
      <c r="BW117" s="107" t="str">
        <f>CONCATENATE(BW115,"&gt;&gt;",BW116)</f>
        <v>1&gt;&gt;5</v>
      </c>
      <c r="BX117" s="107" t="str">
        <f t="shared" ref="BX117:CE117" si="224">CONCATENATE(BX115,"&gt;&gt;",BX116)</f>
        <v>6&gt;&gt;10</v>
      </c>
      <c r="BY117" s="107" t="str">
        <f t="shared" si="224"/>
        <v>11&gt;&gt;14</v>
      </c>
      <c r="BZ117" s="107" t="str">
        <f t="shared" si="224"/>
        <v>15&gt;&gt;23</v>
      </c>
      <c r="CA117" s="107" t="str">
        <f t="shared" si="224"/>
        <v>24&gt;&gt;35</v>
      </c>
      <c r="CB117" s="107" t="str">
        <f t="shared" si="224"/>
        <v>36&gt;&gt;47</v>
      </c>
      <c r="CC117" s="107" t="str">
        <f t="shared" si="224"/>
        <v>48&gt;&gt;59</v>
      </c>
      <c r="CD117" s="107" t="str">
        <f t="shared" si="224"/>
        <v>60&gt;&gt;60</v>
      </c>
      <c r="CE117" s="107" t="str">
        <f t="shared" si="224"/>
        <v>61&gt;&gt;</v>
      </c>
      <c r="CF117" s="107"/>
      <c r="CG117" s="107"/>
      <c r="CS117" s="108" t="str">
        <f t="shared" si="29"/>
        <v/>
      </c>
      <c r="CT117" s="109" t="str">
        <f t="shared" si="30"/>
        <v/>
      </c>
      <c r="CU117" s="109" t="str">
        <f t="shared" si="31"/>
        <v/>
      </c>
      <c r="CV117" s="110" t="str">
        <f t="shared" si="205"/>
        <v/>
      </c>
      <c r="CX117" s="108" t="str">
        <f t="shared" si="33"/>
        <v/>
      </c>
      <c r="CY117" s="109" t="str">
        <f t="shared" si="113"/>
        <v/>
      </c>
      <c r="CZ117" s="109" t="str">
        <f t="shared" si="34"/>
        <v/>
      </c>
      <c r="DA117" s="110" t="str">
        <f t="shared" si="206"/>
        <v/>
      </c>
      <c r="DC117" s="108" t="str">
        <f t="shared" si="114"/>
        <v/>
      </c>
      <c r="DD117" s="109" t="str">
        <f t="shared" si="115"/>
        <v/>
      </c>
      <c r="DE117" s="109" t="str">
        <f t="shared" si="36"/>
        <v/>
      </c>
      <c r="DF117" s="110" t="str">
        <f t="shared" si="207"/>
        <v/>
      </c>
      <c r="DH117" s="108" t="str">
        <f t="shared" si="38"/>
        <v/>
      </c>
      <c r="DI117" s="109" t="str">
        <f t="shared" si="39"/>
        <v/>
      </c>
      <c r="DJ117" s="109" t="str">
        <f t="shared" si="40"/>
        <v/>
      </c>
      <c r="DK117" s="110" t="str">
        <f t="shared" si="208"/>
        <v/>
      </c>
      <c r="DM117" s="108" t="str">
        <f t="shared" si="116"/>
        <v/>
      </c>
      <c r="DN117" s="109" t="str">
        <f t="shared" si="117"/>
        <v/>
      </c>
      <c r="DO117" s="109" t="str">
        <f t="shared" si="42"/>
        <v/>
      </c>
      <c r="DP117" s="110" t="str">
        <f t="shared" si="209"/>
        <v/>
      </c>
      <c r="DR117" s="108" t="str">
        <f t="shared" si="43"/>
        <v/>
      </c>
      <c r="DS117" s="109" t="str">
        <f t="shared" si="118"/>
        <v/>
      </c>
      <c r="DT117" s="109" t="str">
        <f t="shared" si="44"/>
        <v/>
      </c>
      <c r="DU117" s="110" t="str">
        <f t="shared" si="210"/>
        <v/>
      </c>
      <c r="DW117" s="108" t="str">
        <f t="shared" si="120"/>
        <v/>
      </c>
      <c r="DX117" s="109" t="str">
        <f t="shared" si="121"/>
        <v/>
      </c>
      <c r="DY117" s="109" t="str">
        <f t="shared" si="45"/>
        <v/>
      </c>
      <c r="DZ117" s="110" t="str">
        <f t="shared" si="211"/>
        <v/>
      </c>
      <c r="EB117" s="108" t="str">
        <f t="shared" si="46"/>
        <v/>
      </c>
      <c r="EC117" s="109" t="str">
        <f t="shared" si="122"/>
        <v/>
      </c>
      <c r="ED117" s="109" t="str">
        <f t="shared" si="47"/>
        <v/>
      </c>
      <c r="EE117" s="110" t="str">
        <f t="shared" si="212"/>
        <v/>
      </c>
      <c r="EG117" s="108" t="str">
        <f t="shared" si="124"/>
        <v/>
      </c>
      <c r="EH117" s="109" t="str">
        <f t="shared" si="125"/>
        <v/>
      </c>
      <c r="EI117" s="109" t="str">
        <f t="shared" si="48"/>
        <v/>
      </c>
      <c r="EJ117" s="110" t="str">
        <f t="shared" si="213"/>
        <v/>
      </c>
      <c r="EL117" s="108" t="str">
        <f t="shared" si="49"/>
        <v/>
      </c>
      <c r="EM117" s="109" t="str">
        <f t="shared" si="126"/>
        <v/>
      </c>
      <c r="EN117" s="109" t="str">
        <f t="shared" si="50"/>
        <v/>
      </c>
      <c r="EO117" s="110" t="str">
        <f t="shared" si="214"/>
        <v/>
      </c>
      <c r="EQ117" s="108" t="str">
        <f t="shared" si="128"/>
        <v/>
      </c>
      <c r="ER117" s="109" t="str">
        <f t="shared" si="129"/>
        <v/>
      </c>
      <c r="ES117" s="109" t="str">
        <f t="shared" si="51"/>
        <v/>
      </c>
      <c r="ET117" s="110" t="str">
        <f t="shared" si="215"/>
        <v/>
      </c>
      <c r="EV117" s="108" t="str">
        <f t="shared" si="52"/>
        <v/>
      </c>
      <c r="EW117" s="109" t="str">
        <f t="shared" si="130"/>
        <v/>
      </c>
      <c r="EX117" s="109" t="str">
        <f t="shared" si="53"/>
        <v/>
      </c>
      <c r="EY117" s="110" t="str">
        <f t="shared" si="216"/>
        <v/>
      </c>
      <c r="FA117" s="108" t="str">
        <f t="shared" si="132"/>
        <v/>
      </c>
      <c r="FB117" s="109" t="str">
        <f t="shared" si="133"/>
        <v/>
      </c>
      <c r="FC117" s="109" t="str">
        <f t="shared" si="54"/>
        <v/>
      </c>
      <c r="FD117" s="110" t="str">
        <f t="shared" si="217"/>
        <v/>
      </c>
      <c r="FF117" s="108" t="str">
        <f t="shared" si="55"/>
        <v/>
      </c>
      <c r="FG117" s="109" t="str">
        <f t="shared" si="134"/>
        <v/>
      </c>
      <c r="FH117" s="109" t="str">
        <f t="shared" si="56"/>
        <v/>
      </c>
      <c r="FI117" s="110" t="str">
        <f t="shared" si="218"/>
        <v/>
      </c>
      <c r="FK117" s="108" t="str">
        <f t="shared" si="136"/>
        <v/>
      </c>
      <c r="FL117" s="109" t="str">
        <f t="shared" si="137"/>
        <v/>
      </c>
      <c r="FM117" s="109" t="str">
        <f t="shared" si="57"/>
        <v/>
      </c>
      <c r="FN117" s="110" t="str">
        <f t="shared" si="219"/>
        <v/>
      </c>
      <c r="FP117" s="108" t="str">
        <f t="shared" si="58"/>
        <v/>
      </c>
      <c r="FQ117" s="109" t="str">
        <f t="shared" si="138"/>
        <v/>
      </c>
      <c r="FR117" s="109" t="str">
        <f t="shared" si="59"/>
        <v/>
      </c>
      <c r="FS117" s="110" t="str">
        <f t="shared" si="220"/>
        <v/>
      </c>
      <c r="FU117" s="108" t="str">
        <f t="shared" si="140"/>
        <v/>
      </c>
      <c r="FV117" s="109" t="str">
        <f t="shared" si="141"/>
        <v/>
      </c>
      <c r="FW117" s="109" t="str">
        <f t="shared" si="60"/>
        <v/>
      </c>
      <c r="FX117" s="110" t="str">
        <f t="shared" si="221"/>
        <v/>
      </c>
      <c r="FZ117" s="108" t="str">
        <f t="shared" si="61"/>
        <v/>
      </c>
      <c r="GA117" s="109" t="str">
        <f t="shared" si="142"/>
        <v/>
      </c>
      <c r="GB117" s="109" t="str">
        <f t="shared" si="62"/>
        <v/>
      </c>
      <c r="GC117" s="110" t="str">
        <f t="shared" si="222"/>
        <v/>
      </c>
      <c r="GE117" s="108" t="str">
        <f t="shared" si="144"/>
        <v/>
      </c>
      <c r="GF117" s="109" t="str">
        <f t="shared" si="145"/>
        <v/>
      </c>
      <c r="GG117" s="109" t="str">
        <f t="shared" si="146"/>
        <v/>
      </c>
      <c r="GH117" s="110" t="str">
        <f t="shared" si="223"/>
        <v/>
      </c>
      <c r="GL117" s="108" t="str">
        <f t="shared" si="63"/>
        <v/>
      </c>
      <c r="GM117" s="109" t="str">
        <f t="shared" si="64"/>
        <v/>
      </c>
      <c r="GN117" s="109" t="str">
        <f t="shared" si="65"/>
        <v/>
      </c>
      <c r="GO117" s="110" t="str">
        <f t="shared" si="66"/>
        <v/>
      </c>
      <c r="GP117" s="51"/>
      <c r="GQ117" s="108" t="str">
        <f t="shared" si="67"/>
        <v/>
      </c>
      <c r="GR117" s="109" t="str">
        <f t="shared" si="147"/>
        <v/>
      </c>
      <c r="GS117" s="109" t="str">
        <f t="shared" si="68"/>
        <v/>
      </c>
      <c r="GT117" s="110" t="str">
        <f t="shared" si="69"/>
        <v/>
      </c>
      <c r="GU117" s="51"/>
      <c r="GV117" s="108" t="str">
        <f t="shared" si="148"/>
        <v/>
      </c>
      <c r="GW117" s="109" t="str">
        <f t="shared" si="149"/>
        <v/>
      </c>
      <c r="GX117" s="109" t="str">
        <f t="shared" si="70"/>
        <v/>
      </c>
      <c r="GY117" s="110" t="str">
        <f t="shared" si="150"/>
        <v/>
      </c>
      <c r="GZ117" s="51"/>
      <c r="HA117" s="108" t="str">
        <f t="shared" si="71"/>
        <v/>
      </c>
      <c r="HB117" s="109" t="str">
        <f t="shared" si="151"/>
        <v/>
      </c>
      <c r="HC117" s="109" t="str">
        <f t="shared" si="72"/>
        <v/>
      </c>
      <c r="HD117" s="110" t="str">
        <f t="shared" si="193"/>
        <v/>
      </c>
      <c r="HE117" s="51"/>
      <c r="HF117" s="108" t="str">
        <f t="shared" si="152"/>
        <v/>
      </c>
      <c r="HG117" s="109" t="str">
        <f t="shared" si="153"/>
        <v/>
      </c>
      <c r="HH117" s="109" t="str">
        <f t="shared" si="73"/>
        <v/>
      </c>
      <c r="HI117" s="110" t="str">
        <f t="shared" si="154"/>
        <v/>
      </c>
      <c r="HJ117" s="51"/>
      <c r="HK117" s="108" t="str">
        <f t="shared" si="74"/>
        <v/>
      </c>
      <c r="HL117" s="109" t="str">
        <f t="shared" si="155"/>
        <v/>
      </c>
      <c r="HM117" s="109" t="str">
        <f t="shared" si="75"/>
        <v/>
      </c>
      <c r="HN117" s="110" t="str">
        <f t="shared" si="194"/>
        <v/>
      </c>
      <c r="HO117" s="51"/>
      <c r="HP117" s="108" t="str">
        <f t="shared" si="156"/>
        <v/>
      </c>
      <c r="HQ117" s="109" t="str">
        <f t="shared" si="157"/>
        <v/>
      </c>
      <c r="HR117" s="109" t="str">
        <f t="shared" si="76"/>
        <v/>
      </c>
      <c r="HS117" s="110" t="str">
        <f t="shared" si="158"/>
        <v/>
      </c>
      <c r="HT117" s="51"/>
      <c r="HU117" s="108" t="str">
        <f t="shared" si="77"/>
        <v/>
      </c>
      <c r="HV117" s="109" t="str">
        <f t="shared" si="159"/>
        <v/>
      </c>
      <c r="HW117" s="109" t="str">
        <f t="shared" si="78"/>
        <v/>
      </c>
      <c r="HX117" s="110" t="str">
        <f t="shared" si="195"/>
        <v/>
      </c>
      <c r="HY117" s="51"/>
      <c r="HZ117" s="108" t="str">
        <f t="shared" si="160"/>
        <v/>
      </c>
      <c r="IA117" s="109" t="str">
        <f t="shared" si="161"/>
        <v/>
      </c>
      <c r="IB117" s="109" t="str">
        <f t="shared" si="79"/>
        <v/>
      </c>
      <c r="IC117" s="110" t="str">
        <f t="shared" si="162"/>
        <v/>
      </c>
      <c r="ID117" s="51"/>
      <c r="IE117" s="108" t="str">
        <f t="shared" si="80"/>
        <v/>
      </c>
      <c r="IF117" s="109" t="str">
        <f t="shared" si="163"/>
        <v/>
      </c>
      <c r="IG117" s="109" t="str">
        <f t="shared" si="81"/>
        <v/>
      </c>
      <c r="IH117" s="110" t="str">
        <f t="shared" si="196"/>
        <v/>
      </c>
      <c r="II117" s="51"/>
      <c r="IJ117" s="108" t="str">
        <f t="shared" si="164"/>
        <v/>
      </c>
      <c r="IK117" s="109" t="str">
        <f t="shared" si="165"/>
        <v/>
      </c>
      <c r="IL117" s="109" t="str">
        <f t="shared" si="82"/>
        <v/>
      </c>
      <c r="IM117" s="110" t="str">
        <f t="shared" si="166"/>
        <v/>
      </c>
      <c r="IN117" s="51"/>
      <c r="IO117" s="108" t="str">
        <f t="shared" si="83"/>
        <v/>
      </c>
      <c r="IP117" s="109" t="str">
        <f t="shared" si="167"/>
        <v/>
      </c>
      <c r="IQ117" s="109" t="str">
        <f t="shared" si="84"/>
        <v/>
      </c>
      <c r="IR117" s="110" t="str">
        <f t="shared" si="197"/>
        <v/>
      </c>
      <c r="IS117" s="51"/>
      <c r="IT117" s="108" t="str">
        <f t="shared" si="168"/>
        <v/>
      </c>
      <c r="IU117" s="109" t="str">
        <f t="shared" si="169"/>
        <v/>
      </c>
      <c r="IV117" s="109" t="str">
        <f t="shared" si="85"/>
        <v/>
      </c>
      <c r="IW117" s="110" t="str">
        <f t="shared" si="170"/>
        <v/>
      </c>
      <c r="IX117" s="51"/>
      <c r="IY117" s="108" t="str">
        <f t="shared" si="86"/>
        <v/>
      </c>
      <c r="IZ117" s="109" t="str">
        <f t="shared" si="171"/>
        <v/>
      </c>
      <c r="JA117" s="109" t="str">
        <f t="shared" si="87"/>
        <v/>
      </c>
      <c r="JB117" s="110" t="str">
        <f t="shared" si="198"/>
        <v/>
      </c>
      <c r="JC117" s="51"/>
      <c r="JD117" s="108" t="str">
        <f t="shared" si="172"/>
        <v/>
      </c>
      <c r="JE117" s="109" t="str">
        <f t="shared" si="173"/>
        <v/>
      </c>
      <c r="JF117" s="109" t="str">
        <f t="shared" si="88"/>
        <v/>
      </c>
      <c r="JG117" s="110" t="str">
        <f t="shared" si="174"/>
        <v/>
      </c>
      <c r="JH117" s="51"/>
      <c r="JI117" s="108" t="str">
        <f t="shared" si="89"/>
        <v/>
      </c>
      <c r="JJ117" s="109" t="str">
        <f t="shared" si="175"/>
        <v/>
      </c>
      <c r="JK117" s="109" t="str">
        <f t="shared" si="90"/>
        <v/>
      </c>
      <c r="JL117" s="110" t="str">
        <f t="shared" si="199"/>
        <v/>
      </c>
      <c r="JM117" s="51"/>
      <c r="JN117" s="108" t="str">
        <f t="shared" si="176"/>
        <v/>
      </c>
      <c r="JO117" s="109" t="str">
        <f t="shared" si="177"/>
        <v/>
      </c>
      <c r="JP117" s="109" t="str">
        <f t="shared" si="91"/>
        <v/>
      </c>
      <c r="JQ117" s="110" t="str">
        <f t="shared" si="178"/>
        <v/>
      </c>
      <c r="JR117" s="51"/>
      <c r="JS117" s="108" t="str">
        <f t="shared" si="92"/>
        <v/>
      </c>
      <c r="JT117" s="109" t="str">
        <f t="shared" si="179"/>
        <v/>
      </c>
      <c r="JU117" s="109" t="str">
        <f t="shared" si="93"/>
        <v/>
      </c>
      <c r="JV117" s="110" t="str">
        <f t="shared" si="200"/>
        <v/>
      </c>
      <c r="JW117" s="51"/>
      <c r="JX117" s="108" t="str">
        <f t="shared" si="180"/>
        <v/>
      </c>
      <c r="JY117" s="109" t="str">
        <f t="shared" si="181"/>
        <v/>
      </c>
      <c r="JZ117" s="109" t="str">
        <f t="shared" si="94"/>
        <v/>
      </c>
      <c r="KA117" s="110" t="str">
        <f t="shared" si="95"/>
        <v/>
      </c>
    </row>
    <row r="118" spans="1:287" ht="12" customHeight="1">
      <c r="A118" s="105">
        <f t="array" ref="A118">MAX(IF($J$80:J117&gt;0,$C$80:C117,0))</f>
        <v>43536</v>
      </c>
      <c r="B118" s="81" t="str">
        <f t="shared" si="4"/>
        <v/>
      </c>
      <c r="C118" s="82">
        <f t="shared" si="182"/>
        <v>0</v>
      </c>
      <c r="D118" s="83" t="str">
        <f t="shared" si="5"/>
        <v/>
      </c>
      <c r="E118" s="83" t="str">
        <f t="shared" si="96"/>
        <v/>
      </c>
      <c r="F118" s="83" t="str">
        <f t="shared" si="6"/>
        <v/>
      </c>
      <c r="G118" s="83" t="str">
        <f t="shared" si="7"/>
        <v/>
      </c>
      <c r="H118" s="83" t="str">
        <f t="shared" si="8"/>
        <v/>
      </c>
      <c r="I118" s="105">
        <f t="array" ref="I118">MAX(IF($R$80:R117&gt;0,$L$80:L117,0))</f>
        <v>0</v>
      </c>
      <c r="J118" s="106"/>
      <c r="K118" s="2" t="str">
        <f t="shared" si="9"/>
        <v/>
      </c>
      <c r="L118" s="82">
        <f t="shared" si="183"/>
        <v>0</v>
      </c>
      <c r="M118" s="83" t="str">
        <f t="shared" si="97"/>
        <v/>
      </c>
      <c r="N118" s="83" t="str">
        <f t="shared" si="10"/>
        <v/>
      </c>
      <c r="O118" s="83" t="str">
        <f t="shared" si="11"/>
        <v/>
      </c>
      <c r="P118" s="83" t="str">
        <f t="shared" si="12"/>
        <v/>
      </c>
      <c r="Q118" s="83" t="str">
        <f t="shared" si="13"/>
        <v/>
      </c>
      <c r="R118" s="106"/>
      <c r="S118" s="1"/>
      <c r="U118" s="85" t="e">
        <f t="shared" si="0"/>
        <v>#NUM!</v>
      </c>
      <c r="V118" s="86" t="e">
        <f t="shared" si="98"/>
        <v>#NUM!</v>
      </c>
      <c r="W118" s="87" t="e">
        <f t="shared" si="14"/>
        <v>#NUM!</v>
      </c>
      <c r="X118" s="87" t="e">
        <f t="shared" si="15"/>
        <v>#NUM!</v>
      </c>
      <c r="Y118" s="87" t="e">
        <f t="shared" si="16"/>
        <v>#NUM!</v>
      </c>
      <c r="Z118" s="88" t="e">
        <f t="shared" si="1"/>
        <v>#NUM!</v>
      </c>
      <c r="AA118" t="s">
        <v>282</v>
      </c>
      <c r="AB118" s="89">
        <f t="shared" si="99"/>
        <v>0</v>
      </c>
      <c r="AC118" s="87">
        <f t="shared" si="100"/>
        <v>0</v>
      </c>
      <c r="AD118" s="87" t="str">
        <f t="shared" si="17"/>
        <v/>
      </c>
      <c r="AE118" s="87" t="str">
        <f t="shared" si="18"/>
        <v/>
      </c>
      <c r="AF118" s="86">
        <f t="shared" si="101"/>
        <v>0</v>
      </c>
      <c r="AG118" s="87">
        <f t="shared" si="2"/>
        <v>0</v>
      </c>
      <c r="AH118" s="87">
        <f t="shared" si="102"/>
        <v>0</v>
      </c>
      <c r="AI118" s="90"/>
      <c r="AJ118" s="87" t="e">
        <f t="shared" si="19"/>
        <v>#NUM!</v>
      </c>
      <c r="AK118" s="87" t="e">
        <f t="shared" si="103"/>
        <v>#NUM!</v>
      </c>
      <c r="AL118" s="87" t="e">
        <f t="shared" si="104"/>
        <v>#NUM!</v>
      </c>
      <c r="AM118" s="87" t="e">
        <f t="shared" si="105"/>
        <v>#NUM!</v>
      </c>
      <c r="AN118" s="86">
        <f t="shared" si="20"/>
        <v>0</v>
      </c>
      <c r="AO118" s="87">
        <f t="shared" si="21"/>
        <v>0</v>
      </c>
      <c r="AP118" s="88">
        <f t="shared" si="22"/>
        <v>0</v>
      </c>
      <c r="AR118" s="89">
        <f t="shared" si="23"/>
        <v>0</v>
      </c>
      <c r="AS118" s="87">
        <f t="shared" si="24"/>
        <v>0</v>
      </c>
      <c r="AT118" s="87" t="str">
        <f t="shared" si="25"/>
        <v/>
      </c>
      <c r="AU118" s="87" t="str">
        <f t="shared" si="26"/>
        <v/>
      </c>
      <c r="AV118" s="86">
        <f t="shared" si="106"/>
        <v>0</v>
      </c>
      <c r="AW118" s="87">
        <f t="shared" si="107"/>
        <v>0</v>
      </c>
      <c r="AX118" s="87">
        <f t="shared" si="108"/>
        <v>0</v>
      </c>
      <c r="AY118" s="93"/>
      <c r="AZ118" s="87">
        <f t="shared" si="201"/>
        <v>0</v>
      </c>
      <c r="BA118" s="87">
        <f t="shared" si="109"/>
        <v>0</v>
      </c>
      <c r="BB118" s="87">
        <f t="shared" si="110"/>
        <v>0</v>
      </c>
      <c r="BC118" s="87">
        <f t="shared" si="184"/>
        <v>0</v>
      </c>
      <c r="BD118" s="86" t="e">
        <f t="shared" si="27"/>
        <v>#NUM!</v>
      </c>
      <c r="BE118" s="87" t="e">
        <f t="shared" si="3"/>
        <v>#NUM!</v>
      </c>
      <c r="BF118" s="88">
        <f t="shared" si="111"/>
        <v>0</v>
      </c>
      <c r="BH118" s="87" t="e">
        <f t="shared" si="28"/>
        <v>#NUM!</v>
      </c>
      <c r="BK118" s="95">
        <v>40307</v>
      </c>
      <c r="BL118" s="96">
        <v>39</v>
      </c>
      <c r="BT118">
        <v>0</v>
      </c>
      <c r="BU118">
        <v>999.99</v>
      </c>
      <c r="BV118" s="51" t="str">
        <f>CONCATENATE(BT118,"-",BU118)</f>
        <v>0-999.99</v>
      </c>
      <c r="BW118" s="30" t="s">
        <v>497</v>
      </c>
      <c r="BX118" s="30" t="s">
        <v>497</v>
      </c>
      <c r="BY118" s="30" t="s">
        <v>497</v>
      </c>
      <c r="BZ118" s="30" t="s">
        <v>497</v>
      </c>
      <c r="CA118" s="30" t="s">
        <v>497</v>
      </c>
      <c r="CB118" s="30" t="s">
        <v>497</v>
      </c>
      <c r="CC118" s="30" t="s">
        <v>497</v>
      </c>
      <c r="CD118" s="30" t="s">
        <v>497</v>
      </c>
      <c r="CE118" s="30" t="s">
        <v>497</v>
      </c>
      <c r="CF118" s="30" t="s">
        <v>497</v>
      </c>
      <c r="CG118" s="30" t="s">
        <v>497</v>
      </c>
      <c r="CS118" s="108" t="str">
        <f t="shared" si="29"/>
        <v/>
      </c>
      <c r="CT118" s="109" t="str">
        <f t="shared" si="30"/>
        <v/>
      </c>
      <c r="CU118" s="109" t="str">
        <f t="shared" si="31"/>
        <v/>
      </c>
      <c r="CV118" s="110" t="str">
        <f t="shared" si="205"/>
        <v/>
      </c>
      <c r="CX118" s="108" t="str">
        <f t="shared" si="33"/>
        <v/>
      </c>
      <c r="CY118" s="109" t="str">
        <f t="shared" si="113"/>
        <v/>
      </c>
      <c r="CZ118" s="109" t="str">
        <f t="shared" si="34"/>
        <v/>
      </c>
      <c r="DA118" s="110" t="str">
        <f t="shared" si="206"/>
        <v/>
      </c>
      <c r="DC118" s="108" t="str">
        <f t="shared" si="114"/>
        <v/>
      </c>
      <c r="DD118" s="109" t="str">
        <f t="shared" si="115"/>
        <v/>
      </c>
      <c r="DE118" s="109" t="str">
        <f t="shared" si="36"/>
        <v/>
      </c>
      <c r="DF118" s="110" t="str">
        <f t="shared" si="207"/>
        <v/>
      </c>
      <c r="DH118" s="108" t="str">
        <f t="shared" si="38"/>
        <v/>
      </c>
      <c r="DI118" s="109" t="str">
        <f t="shared" si="39"/>
        <v/>
      </c>
      <c r="DJ118" s="109" t="str">
        <f t="shared" si="40"/>
        <v/>
      </c>
      <c r="DK118" s="110" t="str">
        <f t="shared" si="208"/>
        <v/>
      </c>
      <c r="DM118" s="108" t="str">
        <f t="shared" si="116"/>
        <v/>
      </c>
      <c r="DN118" s="109" t="str">
        <f t="shared" si="117"/>
        <v/>
      </c>
      <c r="DO118" s="109" t="str">
        <f t="shared" si="42"/>
        <v/>
      </c>
      <c r="DP118" s="110" t="str">
        <f t="shared" si="209"/>
        <v/>
      </c>
      <c r="DR118" s="108" t="str">
        <f t="shared" si="43"/>
        <v/>
      </c>
      <c r="DS118" s="109" t="str">
        <f t="shared" si="118"/>
        <v/>
      </c>
      <c r="DT118" s="109" t="str">
        <f t="shared" si="44"/>
        <v/>
      </c>
      <c r="DU118" s="110" t="str">
        <f t="shared" si="210"/>
        <v/>
      </c>
      <c r="DW118" s="108" t="str">
        <f t="shared" si="120"/>
        <v/>
      </c>
      <c r="DX118" s="109" t="str">
        <f t="shared" si="121"/>
        <v/>
      </c>
      <c r="DY118" s="109" t="str">
        <f t="shared" si="45"/>
        <v/>
      </c>
      <c r="DZ118" s="110" t="str">
        <f t="shared" si="211"/>
        <v/>
      </c>
      <c r="EB118" s="108" t="str">
        <f t="shared" si="46"/>
        <v/>
      </c>
      <c r="EC118" s="109" t="str">
        <f t="shared" si="122"/>
        <v/>
      </c>
      <c r="ED118" s="109" t="str">
        <f t="shared" si="47"/>
        <v/>
      </c>
      <c r="EE118" s="110" t="str">
        <f t="shared" si="212"/>
        <v/>
      </c>
      <c r="EG118" s="108" t="str">
        <f t="shared" si="124"/>
        <v/>
      </c>
      <c r="EH118" s="109" t="str">
        <f t="shared" si="125"/>
        <v/>
      </c>
      <c r="EI118" s="109" t="str">
        <f t="shared" si="48"/>
        <v/>
      </c>
      <c r="EJ118" s="110" t="str">
        <f t="shared" si="213"/>
        <v/>
      </c>
      <c r="EL118" s="108" t="str">
        <f t="shared" si="49"/>
        <v/>
      </c>
      <c r="EM118" s="109" t="str">
        <f t="shared" si="126"/>
        <v/>
      </c>
      <c r="EN118" s="109" t="str">
        <f t="shared" si="50"/>
        <v/>
      </c>
      <c r="EO118" s="110" t="str">
        <f t="shared" si="214"/>
        <v/>
      </c>
      <c r="EQ118" s="108" t="str">
        <f t="shared" si="128"/>
        <v/>
      </c>
      <c r="ER118" s="109" t="str">
        <f t="shared" si="129"/>
        <v/>
      </c>
      <c r="ES118" s="109" t="str">
        <f t="shared" si="51"/>
        <v/>
      </c>
      <c r="ET118" s="110" t="str">
        <f t="shared" si="215"/>
        <v/>
      </c>
      <c r="EV118" s="108" t="str">
        <f t="shared" si="52"/>
        <v/>
      </c>
      <c r="EW118" s="109" t="str">
        <f t="shared" si="130"/>
        <v/>
      </c>
      <c r="EX118" s="109" t="str">
        <f t="shared" si="53"/>
        <v/>
      </c>
      <c r="EY118" s="110" t="str">
        <f t="shared" si="216"/>
        <v/>
      </c>
      <c r="FA118" s="108" t="str">
        <f t="shared" si="132"/>
        <v/>
      </c>
      <c r="FB118" s="109" t="str">
        <f t="shared" si="133"/>
        <v/>
      </c>
      <c r="FC118" s="109" t="str">
        <f t="shared" si="54"/>
        <v/>
      </c>
      <c r="FD118" s="110" t="str">
        <f t="shared" si="217"/>
        <v/>
      </c>
      <c r="FF118" s="108" t="str">
        <f t="shared" si="55"/>
        <v/>
      </c>
      <c r="FG118" s="109" t="str">
        <f t="shared" si="134"/>
        <v/>
      </c>
      <c r="FH118" s="109" t="str">
        <f t="shared" si="56"/>
        <v/>
      </c>
      <c r="FI118" s="110" t="str">
        <f t="shared" si="218"/>
        <v/>
      </c>
      <c r="FK118" s="108" t="str">
        <f t="shared" si="136"/>
        <v/>
      </c>
      <c r="FL118" s="109" t="str">
        <f t="shared" si="137"/>
        <v/>
      </c>
      <c r="FM118" s="109" t="str">
        <f t="shared" si="57"/>
        <v/>
      </c>
      <c r="FN118" s="110" t="str">
        <f t="shared" si="219"/>
        <v/>
      </c>
      <c r="FP118" s="108" t="str">
        <f t="shared" si="58"/>
        <v/>
      </c>
      <c r="FQ118" s="109" t="str">
        <f t="shared" si="138"/>
        <v/>
      </c>
      <c r="FR118" s="109" t="str">
        <f t="shared" si="59"/>
        <v/>
      </c>
      <c r="FS118" s="110" t="str">
        <f t="shared" si="220"/>
        <v/>
      </c>
      <c r="FU118" s="108" t="str">
        <f t="shared" si="140"/>
        <v/>
      </c>
      <c r="FV118" s="109" t="str">
        <f t="shared" si="141"/>
        <v/>
      </c>
      <c r="FW118" s="109" t="str">
        <f t="shared" si="60"/>
        <v/>
      </c>
      <c r="FX118" s="110" t="str">
        <f t="shared" si="221"/>
        <v/>
      </c>
      <c r="FZ118" s="108" t="str">
        <f t="shared" si="61"/>
        <v/>
      </c>
      <c r="GA118" s="109" t="str">
        <f t="shared" si="142"/>
        <v/>
      </c>
      <c r="GB118" s="109" t="str">
        <f t="shared" si="62"/>
        <v/>
      </c>
      <c r="GC118" s="110" t="str">
        <f t="shared" si="222"/>
        <v/>
      </c>
      <c r="GE118" s="108" t="str">
        <f t="shared" si="144"/>
        <v/>
      </c>
      <c r="GF118" s="109" t="str">
        <f t="shared" si="145"/>
        <v/>
      </c>
      <c r="GG118" s="109" t="str">
        <f t="shared" si="146"/>
        <v/>
      </c>
      <c r="GH118" s="110" t="str">
        <f t="shared" si="223"/>
        <v/>
      </c>
      <c r="GL118" s="108" t="str">
        <f t="shared" si="63"/>
        <v/>
      </c>
      <c r="GM118" s="109" t="str">
        <f t="shared" si="64"/>
        <v/>
      </c>
      <c r="GN118" s="109" t="str">
        <f t="shared" si="65"/>
        <v/>
      </c>
      <c r="GO118" s="110" t="str">
        <f t="shared" si="66"/>
        <v/>
      </c>
      <c r="GP118" s="51"/>
      <c r="GQ118" s="108" t="str">
        <f t="shared" si="67"/>
        <v/>
      </c>
      <c r="GR118" s="109" t="str">
        <f t="shared" si="147"/>
        <v/>
      </c>
      <c r="GS118" s="109" t="str">
        <f t="shared" si="68"/>
        <v/>
      </c>
      <c r="GT118" s="110" t="str">
        <f t="shared" si="69"/>
        <v/>
      </c>
      <c r="GU118" s="51"/>
      <c r="GV118" s="108" t="str">
        <f t="shared" si="148"/>
        <v/>
      </c>
      <c r="GW118" s="109" t="str">
        <f t="shared" si="149"/>
        <v/>
      </c>
      <c r="GX118" s="109" t="str">
        <f t="shared" si="70"/>
        <v/>
      </c>
      <c r="GY118" s="110" t="str">
        <f t="shared" si="150"/>
        <v/>
      </c>
      <c r="GZ118" s="51"/>
      <c r="HA118" s="108" t="str">
        <f t="shared" si="71"/>
        <v/>
      </c>
      <c r="HB118" s="109" t="str">
        <f t="shared" si="151"/>
        <v/>
      </c>
      <c r="HC118" s="109" t="str">
        <f t="shared" si="72"/>
        <v/>
      </c>
      <c r="HD118" s="110" t="str">
        <f t="shared" si="193"/>
        <v/>
      </c>
      <c r="HE118" s="51"/>
      <c r="HF118" s="108" t="str">
        <f t="shared" si="152"/>
        <v/>
      </c>
      <c r="HG118" s="109" t="str">
        <f t="shared" si="153"/>
        <v/>
      </c>
      <c r="HH118" s="109" t="str">
        <f t="shared" si="73"/>
        <v/>
      </c>
      <c r="HI118" s="110" t="str">
        <f t="shared" si="154"/>
        <v/>
      </c>
      <c r="HJ118" s="51"/>
      <c r="HK118" s="108" t="str">
        <f t="shared" si="74"/>
        <v/>
      </c>
      <c r="HL118" s="109" t="str">
        <f t="shared" si="155"/>
        <v/>
      </c>
      <c r="HM118" s="109" t="str">
        <f t="shared" si="75"/>
        <v/>
      </c>
      <c r="HN118" s="110" t="str">
        <f t="shared" si="194"/>
        <v/>
      </c>
      <c r="HO118" s="51"/>
      <c r="HP118" s="108" t="str">
        <f t="shared" si="156"/>
        <v/>
      </c>
      <c r="HQ118" s="109" t="str">
        <f t="shared" si="157"/>
        <v/>
      </c>
      <c r="HR118" s="109" t="str">
        <f t="shared" si="76"/>
        <v/>
      </c>
      <c r="HS118" s="110" t="str">
        <f t="shared" si="158"/>
        <v/>
      </c>
      <c r="HT118" s="51"/>
      <c r="HU118" s="108" t="str">
        <f t="shared" si="77"/>
        <v/>
      </c>
      <c r="HV118" s="109" t="str">
        <f t="shared" si="159"/>
        <v/>
      </c>
      <c r="HW118" s="109" t="str">
        <f t="shared" si="78"/>
        <v/>
      </c>
      <c r="HX118" s="110" t="str">
        <f t="shared" si="195"/>
        <v/>
      </c>
      <c r="HY118" s="51"/>
      <c r="HZ118" s="108" t="str">
        <f t="shared" si="160"/>
        <v/>
      </c>
      <c r="IA118" s="109" t="str">
        <f t="shared" si="161"/>
        <v/>
      </c>
      <c r="IB118" s="109" t="str">
        <f t="shared" si="79"/>
        <v/>
      </c>
      <c r="IC118" s="110" t="str">
        <f t="shared" si="162"/>
        <v/>
      </c>
      <c r="ID118" s="51"/>
      <c r="IE118" s="108" t="str">
        <f t="shared" si="80"/>
        <v/>
      </c>
      <c r="IF118" s="109" t="str">
        <f t="shared" si="163"/>
        <v/>
      </c>
      <c r="IG118" s="109" t="str">
        <f t="shared" si="81"/>
        <v/>
      </c>
      <c r="IH118" s="110" t="str">
        <f t="shared" si="196"/>
        <v/>
      </c>
      <c r="II118" s="51"/>
      <c r="IJ118" s="108" t="str">
        <f t="shared" si="164"/>
        <v/>
      </c>
      <c r="IK118" s="109" t="str">
        <f t="shared" si="165"/>
        <v/>
      </c>
      <c r="IL118" s="109" t="str">
        <f t="shared" si="82"/>
        <v/>
      </c>
      <c r="IM118" s="110" t="str">
        <f t="shared" si="166"/>
        <v/>
      </c>
      <c r="IN118" s="51"/>
      <c r="IO118" s="108" t="str">
        <f t="shared" si="83"/>
        <v/>
      </c>
      <c r="IP118" s="109" t="str">
        <f t="shared" si="167"/>
        <v/>
      </c>
      <c r="IQ118" s="109" t="str">
        <f t="shared" si="84"/>
        <v/>
      </c>
      <c r="IR118" s="110" t="str">
        <f t="shared" si="197"/>
        <v/>
      </c>
      <c r="IS118" s="51"/>
      <c r="IT118" s="108" t="str">
        <f t="shared" si="168"/>
        <v/>
      </c>
      <c r="IU118" s="109" t="str">
        <f t="shared" si="169"/>
        <v/>
      </c>
      <c r="IV118" s="109" t="str">
        <f t="shared" si="85"/>
        <v/>
      </c>
      <c r="IW118" s="110" t="str">
        <f t="shared" si="170"/>
        <v/>
      </c>
      <c r="IX118" s="51"/>
      <c r="IY118" s="108" t="str">
        <f t="shared" si="86"/>
        <v/>
      </c>
      <c r="IZ118" s="109" t="str">
        <f t="shared" si="171"/>
        <v/>
      </c>
      <c r="JA118" s="109" t="str">
        <f t="shared" si="87"/>
        <v/>
      </c>
      <c r="JB118" s="110" t="str">
        <f t="shared" si="198"/>
        <v/>
      </c>
      <c r="JC118" s="51"/>
      <c r="JD118" s="108" t="str">
        <f t="shared" si="172"/>
        <v/>
      </c>
      <c r="JE118" s="109" t="str">
        <f t="shared" si="173"/>
        <v/>
      </c>
      <c r="JF118" s="109" t="str">
        <f t="shared" si="88"/>
        <v/>
      </c>
      <c r="JG118" s="110" t="str">
        <f t="shared" si="174"/>
        <v/>
      </c>
      <c r="JH118" s="51"/>
      <c r="JI118" s="108" t="str">
        <f t="shared" si="89"/>
        <v/>
      </c>
      <c r="JJ118" s="109" t="str">
        <f t="shared" si="175"/>
        <v/>
      </c>
      <c r="JK118" s="109" t="str">
        <f t="shared" si="90"/>
        <v/>
      </c>
      <c r="JL118" s="110" t="str">
        <f t="shared" si="199"/>
        <v/>
      </c>
      <c r="JM118" s="51"/>
      <c r="JN118" s="108" t="str">
        <f t="shared" si="176"/>
        <v/>
      </c>
      <c r="JO118" s="109" t="str">
        <f t="shared" si="177"/>
        <v/>
      </c>
      <c r="JP118" s="109" t="str">
        <f t="shared" si="91"/>
        <v/>
      </c>
      <c r="JQ118" s="110" t="str">
        <f t="shared" si="178"/>
        <v/>
      </c>
      <c r="JR118" s="51"/>
      <c r="JS118" s="108" t="str">
        <f t="shared" si="92"/>
        <v/>
      </c>
      <c r="JT118" s="109" t="str">
        <f t="shared" si="179"/>
        <v/>
      </c>
      <c r="JU118" s="109" t="str">
        <f t="shared" si="93"/>
        <v/>
      </c>
      <c r="JV118" s="110" t="str">
        <f t="shared" si="200"/>
        <v/>
      </c>
      <c r="JW118" s="51"/>
      <c r="JX118" s="108" t="str">
        <f t="shared" si="180"/>
        <v/>
      </c>
      <c r="JY118" s="109" t="str">
        <f t="shared" si="181"/>
        <v/>
      </c>
      <c r="JZ118" s="109" t="str">
        <f t="shared" si="94"/>
        <v/>
      </c>
      <c r="KA118" s="110" t="str">
        <f t="shared" si="95"/>
        <v/>
      </c>
    </row>
    <row r="119" spans="1:287" ht="12" customHeight="1">
      <c r="A119" s="105">
        <f t="array" ref="A119">MAX(IF($J$80:J118&gt;0,$C$80:C118,0))</f>
        <v>43536</v>
      </c>
      <c r="B119" s="81" t="str">
        <f t="shared" si="4"/>
        <v/>
      </c>
      <c r="C119" s="82">
        <f t="shared" si="182"/>
        <v>0</v>
      </c>
      <c r="D119" s="83" t="str">
        <f t="shared" si="5"/>
        <v/>
      </c>
      <c r="E119" s="83" t="str">
        <f t="shared" si="96"/>
        <v/>
      </c>
      <c r="F119" s="83" t="str">
        <f t="shared" si="6"/>
        <v/>
      </c>
      <c r="G119" s="83" t="str">
        <f t="shared" si="7"/>
        <v/>
      </c>
      <c r="H119" s="83" t="str">
        <f t="shared" si="8"/>
        <v/>
      </c>
      <c r="I119" s="105">
        <f t="array" ref="I119">MAX(IF($R$80:R118&gt;0,$L$80:L118,0))</f>
        <v>0</v>
      </c>
      <c r="J119" s="106"/>
      <c r="K119" s="2" t="str">
        <f t="shared" si="9"/>
        <v/>
      </c>
      <c r="L119" s="82">
        <f t="shared" si="183"/>
        <v>0</v>
      </c>
      <c r="M119" s="83" t="str">
        <f t="shared" si="97"/>
        <v/>
      </c>
      <c r="N119" s="83" t="str">
        <f t="shared" si="10"/>
        <v/>
      </c>
      <c r="O119" s="83" t="str">
        <f t="shared" si="11"/>
        <v/>
      </c>
      <c r="P119" s="83" t="str">
        <f t="shared" si="12"/>
        <v/>
      </c>
      <c r="Q119" s="83" t="str">
        <f t="shared" si="13"/>
        <v/>
      </c>
      <c r="R119" s="106"/>
      <c r="S119" s="1"/>
      <c r="U119" s="85" t="e">
        <f t="shared" si="0"/>
        <v>#NUM!</v>
      </c>
      <c r="V119" s="86" t="e">
        <f t="shared" si="98"/>
        <v>#NUM!</v>
      </c>
      <c r="W119" s="87" t="e">
        <f t="shared" si="14"/>
        <v>#NUM!</v>
      </c>
      <c r="X119" s="87" t="e">
        <f t="shared" si="15"/>
        <v>#NUM!</v>
      </c>
      <c r="Y119" s="87" t="e">
        <f t="shared" si="16"/>
        <v>#NUM!</v>
      </c>
      <c r="Z119" s="88" t="e">
        <f t="shared" si="1"/>
        <v>#NUM!</v>
      </c>
      <c r="AA119" t="s">
        <v>282</v>
      </c>
      <c r="AB119" s="89">
        <f t="shared" si="99"/>
        <v>0</v>
      </c>
      <c r="AC119" s="87">
        <f t="shared" si="100"/>
        <v>0</v>
      </c>
      <c r="AD119" s="87" t="str">
        <f t="shared" si="17"/>
        <v/>
      </c>
      <c r="AE119" s="87" t="str">
        <f t="shared" si="18"/>
        <v/>
      </c>
      <c r="AF119" s="86">
        <f t="shared" si="101"/>
        <v>0</v>
      </c>
      <c r="AG119" s="87">
        <f t="shared" si="2"/>
        <v>0</v>
      </c>
      <c r="AH119" s="87">
        <f t="shared" si="102"/>
        <v>0</v>
      </c>
      <c r="AI119" s="90"/>
      <c r="AJ119" s="87" t="e">
        <f t="shared" si="19"/>
        <v>#NUM!</v>
      </c>
      <c r="AK119" s="87" t="e">
        <f t="shared" si="103"/>
        <v>#NUM!</v>
      </c>
      <c r="AL119" s="87" t="e">
        <f t="shared" si="104"/>
        <v>#NUM!</v>
      </c>
      <c r="AM119" s="87" t="e">
        <f t="shared" si="105"/>
        <v>#NUM!</v>
      </c>
      <c r="AN119" s="86">
        <f t="shared" si="20"/>
        <v>0</v>
      </c>
      <c r="AO119" s="87">
        <f t="shared" si="21"/>
        <v>0</v>
      </c>
      <c r="AP119" s="88">
        <f t="shared" si="22"/>
        <v>0</v>
      </c>
      <c r="AR119" s="89">
        <f t="shared" si="23"/>
        <v>0</v>
      </c>
      <c r="AS119" s="87">
        <f t="shared" si="24"/>
        <v>0</v>
      </c>
      <c r="AT119" s="87" t="str">
        <f t="shared" si="25"/>
        <v/>
      </c>
      <c r="AU119" s="87" t="str">
        <f t="shared" si="26"/>
        <v/>
      </c>
      <c r="AV119" s="86">
        <f t="shared" si="106"/>
        <v>0</v>
      </c>
      <c r="AW119" s="87">
        <f t="shared" si="107"/>
        <v>0</v>
      </c>
      <c r="AX119" s="87">
        <f t="shared" si="108"/>
        <v>0</v>
      </c>
      <c r="AY119" s="93"/>
      <c r="AZ119" s="87">
        <f t="shared" si="201"/>
        <v>0</v>
      </c>
      <c r="BA119" s="87">
        <f t="shared" si="109"/>
        <v>0</v>
      </c>
      <c r="BB119" s="87">
        <f t="shared" si="110"/>
        <v>0</v>
      </c>
      <c r="BC119" s="87">
        <f t="shared" si="184"/>
        <v>0</v>
      </c>
      <c r="BD119" s="86" t="e">
        <f t="shared" si="27"/>
        <v>#NUM!</v>
      </c>
      <c r="BE119" s="87" t="e">
        <f t="shared" si="3"/>
        <v>#NUM!</v>
      </c>
      <c r="BF119" s="88">
        <f t="shared" si="111"/>
        <v>0</v>
      </c>
      <c r="BH119" s="87" t="e">
        <f t="shared" si="28"/>
        <v>#NUM!</v>
      </c>
      <c r="BK119" s="95">
        <v>40310</v>
      </c>
      <c r="BL119" s="96">
        <v>40</v>
      </c>
      <c r="BT119" s="51">
        <v>1000</v>
      </c>
      <c r="BU119" s="51">
        <v>10000</v>
      </c>
      <c r="BV119" s="51" t="str">
        <f>CONCATENATE(BT119,"-",BU119)</f>
        <v>1000-10000</v>
      </c>
      <c r="BW119" s="30" t="s">
        <v>497</v>
      </c>
      <c r="BX119" s="30" t="s">
        <v>497</v>
      </c>
      <c r="BY119" s="107">
        <v>0.27</v>
      </c>
      <c r="BZ119" s="107">
        <v>0.29499999999999998</v>
      </c>
      <c r="CA119" s="107">
        <v>0.32</v>
      </c>
      <c r="CB119" s="107">
        <v>0.33</v>
      </c>
      <c r="CC119" s="107">
        <v>0.33500000000000002</v>
      </c>
      <c r="CD119" s="107">
        <v>0.33999999999999997</v>
      </c>
      <c r="CE119" s="30" t="s">
        <v>497</v>
      </c>
      <c r="CF119" s="107">
        <v>0.04</v>
      </c>
      <c r="CG119" s="107">
        <v>6.0000000000000001E-3</v>
      </c>
      <c r="CS119" s="108" t="str">
        <f t="shared" si="29"/>
        <v/>
      </c>
      <c r="CT119" s="109" t="str">
        <f t="shared" si="30"/>
        <v/>
      </c>
      <c r="CU119" s="109" t="str">
        <f t="shared" si="31"/>
        <v/>
      </c>
      <c r="CV119" s="110" t="str">
        <f>IF($B119="","",IF(OR($F$10="ანუიტეტური",$F$10="სამომხმარებლო"),CV118-CT119,IF($F$10="საშეღავათო",CV118-CT119,IF($F$10="ნულოვანი საშეღავათო",CV118-CT119))))</f>
        <v/>
      </c>
      <c r="CX119" s="108" t="str">
        <f t="shared" si="33"/>
        <v/>
      </c>
      <c r="CY119" s="109" t="str">
        <f t="shared" si="113"/>
        <v/>
      </c>
      <c r="CZ119" s="109" t="str">
        <f t="shared" si="34"/>
        <v/>
      </c>
      <c r="DA119" s="110" t="str">
        <f>IF($B119="","",DA118-CY119)</f>
        <v/>
      </c>
      <c r="DC119" s="108" t="str">
        <f t="shared" si="114"/>
        <v/>
      </c>
      <c r="DD119" s="109" t="str">
        <f t="shared" si="115"/>
        <v/>
      </c>
      <c r="DE119" s="109" t="str">
        <f t="shared" si="36"/>
        <v/>
      </c>
      <c r="DF119" s="110" t="str">
        <f>IF($B119="","",DF118-DD119)</f>
        <v/>
      </c>
      <c r="DH119" s="108" t="str">
        <f t="shared" si="38"/>
        <v/>
      </c>
      <c r="DI119" s="109" t="str">
        <f t="shared" si="39"/>
        <v/>
      </c>
      <c r="DJ119" s="109" t="str">
        <f t="shared" si="40"/>
        <v/>
      </c>
      <c r="DK119" s="110" t="str">
        <f>IF($B119="","",DK118-DI119)</f>
        <v/>
      </c>
      <c r="DM119" s="108" t="str">
        <f t="shared" si="116"/>
        <v/>
      </c>
      <c r="DN119" s="109" t="str">
        <f t="shared" si="117"/>
        <v/>
      </c>
      <c r="DO119" s="109" t="str">
        <f t="shared" si="42"/>
        <v/>
      </c>
      <c r="DP119" s="110" t="str">
        <f>IF($B119="","",DP118-DN119)</f>
        <v/>
      </c>
      <c r="DR119" s="108" t="str">
        <f t="shared" si="43"/>
        <v/>
      </c>
      <c r="DS119" s="109" t="str">
        <f t="shared" si="118"/>
        <v/>
      </c>
      <c r="DT119" s="109" t="str">
        <f t="shared" si="44"/>
        <v/>
      </c>
      <c r="DU119" s="110" t="str">
        <f>IF($B119="","",DU118-DS119)</f>
        <v/>
      </c>
      <c r="DW119" s="108" t="str">
        <f t="shared" si="120"/>
        <v/>
      </c>
      <c r="DX119" s="109" t="str">
        <f t="shared" si="121"/>
        <v/>
      </c>
      <c r="DY119" s="109" t="str">
        <f t="shared" si="45"/>
        <v/>
      </c>
      <c r="DZ119" s="110" t="str">
        <f>IF($B119="","",DZ118-DX119)</f>
        <v/>
      </c>
      <c r="EB119" s="108" t="str">
        <f t="shared" si="46"/>
        <v/>
      </c>
      <c r="EC119" s="109" t="str">
        <f t="shared" si="122"/>
        <v/>
      </c>
      <c r="ED119" s="109" t="str">
        <f t="shared" si="47"/>
        <v/>
      </c>
      <c r="EE119" s="110" t="str">
        <f>IF($B119="","",EE118-EC119)</f>
        <v/>
      </c>
      <c r="EG119" s="108" t="str">
        <f t="shared" si="124"/>
        <v/>
      </c>
      <c r="EH119" s="109" t="str">
        <f t="shared" si="125"/>
        <v/>
      </c>
      <c r="EI119" s="109" t="str">
        <f t="shared" si="48"/>
        <v/>
      </c>
      <c r="EJ119" s="110" t="str">
        <f>IF($B119="","",EJ118-EH119)</f>
        <v/>
      </c>
      <c r="EL119" s="108" t="str">
        <f t="shared" si="49"/>
        <v/>
      </c>
      <c r="EM119" s="109" t="str">
        <f t="shared" si="126"/>
        <v/>
      </c>
      <c r="EN119" s="109" t="str">
        <f t="shared" si="50"/>
        <v/>
      </c>
      <c r="EO119" s="110" t="str">
        <f>IF($B119="","",EO118-EM119)</f>
        <v/>
      </c>
      <c r="EQ119" s="108" t="str">
        <f t="shared" si="128"/>
        <v/>
      </c>
      <c r="ER119" s="109" t="str">
        <f t="shared" si="129"/>
        <v/>
      </c>
      <c r="ES119" s="109" t="str">
        <f t="shared" si="51"/>
        <v/>
      </c>
      <c r="ET119" s="110" t="str">
        <f>IF($B119="","",ET118-ER119)</f>
        <v/>
      </c>
      <c r="EV119" s="108" t="str">
        <f t="shared" si="52"/>
        <v/>
      </c>
      <c r="EW119" s="109" t="str">
        <f t="shared" si="130"/>
        <v/>
      </c>
      <c r="EX119" s="109" t="str">
        <f t="shared" si="53"/>
        <v/>
      </c>
      <c r="EY119" s="110" t="str">
        <f>IF($B119="","",EY118-EW119)</f>
        <v/>
      </c>
      <c r="FA119" s="108" t="str">
        <f t="shared" si="132"/>
        <v/>
      </c>
      <c r="FB119" s="109" t="str">
        <f t="shared" si="133"/>
        <v/>
      </c>
      <c r="FC119" s="109" t="str">
        <f t="shared" si="54"/>
        <v/>
      </c>
      <c r="FD119" s="110" t="str">
        <f>IF($B119="","",FD118-FB119)</f>
        <v/>
      </c>
      <c r="FF119" s="108" t="str">
        <f t="shared" si="55"/>
        <v/>
      </c>
      <c r="FG119" s="109" t="str">
        <f t="shared" si="134"/>
        <v/>
      </c>
      <c r="FH119" s="109" t="str">
        <f t="shared" si="56"/>
        <v/>
      </c>
      <c r="FI119" s="110" t="str">
        <f>IF($B119="","",FI118-FG119)</f>
        <v/>
      </c>
      <c r="FK119" s="108" t="str">
        <f t="shared" si="136"/>
        <v/>
      </c>
      <c r="FL119" s="109" t="str">
        <f t="shared" si="137"/>
        <v/>
      </c>
      <c r="FM119" s="109" t="str">
        <f t="shared" si="57"/>
        <v/>
      </c>
      <c r="FN119" s="110" t="str">
        <f>IF($B119="","",FN118-FL119)</f>
        <v/>
      </c>
      <c r="FP119" s="108" t="str">
        <f t="shared" si="58"/>
        <v/>
      </c>
      <c r="FQ119" s="109" t="str">
        <f t="shared" si="138"/>
        <v/>
      </c>
      <c r="FR119" s="109" t="str">
        <f t="shared" si="59"/>
        <v/>
      </c>
      <c r="FS119" s="110" t="str">
        <f>IF($B119="","",FS118-FQ119)</f>
        <v/>
      </c>
      <c r="FU119" s="108" t="str">
        <f t="shared" si="140"/>
        <v/>
      </c>
      <c r="FV119" s="109" t="str">
        <f t="shared" si="141"/>
        <v/>
      </c>
      <c r="FW119" s="109" t="str">
        <f t="shared" si="60"/>
        <v/>
      </c>
      <c r="FX119" s="110" t="str">
        <f>IF($B119="","",FX118-FV119)</f>
        <v/>
      </c>
      <c r="FZ119" s="108" t="str">
        <f t="shared" si="61"/>
        <v/>
      </c>
      <c r="GA119" s="109" t="str">
        <f t="shared" si="142"/>
        <v/>
      </c>
      <c r="GB119" s="109" t="str">
        <f t="shared" si="62"/>
        <v/>
      </c>
      <c r="GC119" s="110" t="str">
        <f>IF($B119="","",GC118-GA119)</f>
        <v/>
      </c>
      <c r="GE119" s="108" t="str">
        <f t="shared" si="144"/>
        <v/>
      </c>
      <c r="GF119" s="109" t="str">
        <f t="shared" si="145"/>
        <v/>
      </c>
      <c r="GG119" s="109" t="str">
        <f t="shared" si="146"/>
        <v/>
      </c>
      <c r="GH119" s="110" t="str">
        <f>IF($B119="","",GH118-GF119)</f>
        <v/>
      </c>
      <c r="GL119" s="108" t="str">
        <f t="shared" si="63"/>
        <v/>
      </c>
      <c r="GM119" s="109" t="str">
        <f t="shared" si="64"/>
        <v/>
      </c>
      <c r="GN119" s="109" t="str">
        <f t="shared" si="65"/>
        <v/>
      </c>
      <c r="GO119" s="110" t="str">
        <f t="shared" si="66"/>
        <v/>
      </c>
      <c r="GP119" s="51"/>
      <c r="GQ119" s="108" t="str">
        <f t="shared" si="67"/>
        <v/>
      </c>
      <c r="GR119" s="109" t="str">
        <f t="shared" si="147"/>
        <v/>
      </c>
      <c r="GS119" s="109" t="str">
        <f t="shared" si="68"/>
        <v/>
      </c>
      <c r="GT119" s="110" t="str">
        <f t="shared" si="69"/>
        <v/>
      </c>
      <c r="GU119" s="51"/>
      <c r="GV119" s="108" t="str">
        <f t="shared" si="148"/>
        <v/>
      </c>
      <c r="GW119" s="109" t="str">
        <f t="shared" si="149"/>
        <v/>
      </c>
      <c r="GX119" s="109" t="str">
        <f t="shared" si="70"/>
        <v/>
      </c>
      <c r="GY119" s="110" t="str">
        <f t="shared" si="150"/>
        <v/>
      </c>
      <c r="GZ119" s="51"/>
      <c r="HA119" s="108" t="str">
        <f t="shared" si="71"/>
        <v/>
      </c>
      <c r="HB119" s="109" t="str">
        <f t="shared" si="151"/>
        <v/>
      </c>
      <c r="HC119" s="109" t="str">
        <f t="shared" si="72"/>
        <v/>
      </c>
      <c r="HD119" s="110" t="str">
        <f t="shared" si="193"/>
        <v/>
      </c>
      <c r="HE119" s="51"/>
      <c r="HF119" s="108" t="str">
        <f t="shared" si="152"/>
        <v/>
      </c>
      <c r="HG119" s="109" t="str">
        <f t="shared" si="153"/>
        <v/>
      </c>
      <c r="HH119" s="109" t="str">
        <f t="shared" si="73"/>
        <v/>
      </c>
      <c r="HI119" s="110" t="str">
        <f t="shared" si="154"/>
        <v/>
      </c>
      <c r="HJ119" s="51"/>
      <c r="HK119" s="108" t="str">
        <f t="shared" si="74"/>
        <v/>
      </c>
      <c r="HL119" s="109" t="str">
        <f t="shared" si="155"/>
        <v/>
      </c>
      <c r="HM119" s="109" t="str">
        <f t="shared" si="75"/>
        <v/>
      </c>
      <c r="HN119" s="110" t="str">
        <f t="shared" si="194"/>
        <v/>
      </c>
      <c r="HO119" s="51"/>
      <c r="HP119" s="108" t="str">
        <f t="shared" si="156"/>
        <v/>
      </c>
      <c r="HQ119" s="109" t="str">
        <f t="shared" si="157"/>
        <v/>
      </c>
      <c r="HR119" s="109" t="str">
        <f t="shared" si="76"/>
        <v/>
      </c>
      <c r="HS119" s="110" t="str">
        <f t="shared" si="158"/>
        <v/>
      </c>
      <c r="HT119" s="51"/>
      <c r="HU119" s="108" t="str">
        <f t="shared" si="77"/>
        <v/>
      </c>
      <c r="HV119" s="109" t="str">
        <f t="shared" si="159"/>
        <v/>
      </c>
      <c r="HW119" s="109" t="str">
        <f t="shared" si="78"/>
        <v/>
      </c>
      <c r="HX119" s="110" t="str">
        <f t="shared" si="195"/>
        <v/>
      </c>
      <c r="HY119" s="51"/>
      <c r="HZ119" s="108" t="str">
        <f t="shared" si="160"/>
        <v/>
      </c>
      <c r="IA119" s="109" t="str">
        <f t="shared" si="161"/>
        <v/>
      </c>
      <c r="IB119" s="109" t="str">
        <f t="shared" si="79"/>
        <v/>
      </c>
      <c r="IC119" s="110" t="str">
        <f t="shared" si="162"/>
        <v/>
      </c>
      <c r="ID119" s="51"/>
      <c r="IE119" s="108" t="str">
        <f t="shared" si="80"/>
        <v/>
      </c>
      <c r="IF119" s="109" t="str">
        <f t="shared" si="163"/>
        <v/>
      </c>
      <c r="IG119" s="109" t="str">
        <f t="shared" si="81"/>
        <v/>
      </c>
      <c r="IH119" s="110" t="str">
        <f t="shared" si="196"/>
        <v/>
      </c>
      <c r="II119" s="51"/>
      <c r="IJ119" s="108" t="str">
        <f t="shared" si="164"/>
        <v/>
      </c>
      <c r="IK119" s="109" t="str">
        <f t="shared" si="165"/>
        <v/>
      </c>
      <c r="IL119" s="109" t="str">
        <f t="shared" si="82"/>
        <v/>
      </c>
      <c r="IM119" s="110" t="str">
        <f t="shared" si="166"/>
        <v/>
      </c>
      <c r="IN119" s="51"/>
      <c r="IO119" s="108" t="str">
        <f t="shared" si="83"/>
        <v/>
      </c>
      <c r="IP119" s="109" t="str">
        <f t="shared" si="167"/>
        <v/>
      </c>
      <c r="IQ119" s="109" t="str">
        <f t="shared" si="84"/>
        <v/>
      </c>
      <c r="IR119" s="110" t="str">
        <f t="shared" si="197"/>
        <v/>
      </c>
      <c r="IS119" s="51"/>
      <c r="IT119" s="108" t="str">
        <f t="shared" si="168"/>
        <v/>
      </c>
      <c r="IU119" s="109" t="str">
        <f t="shared" si="169"/>
        <v/>
      </c>
      <c r="IV119" s="109" t="str">
        <f t="shared" si="85"/>
        <v/>
      </c>
      <c r="IW119" s="110" t="str">
        <f t="shared" si="170"/>
        <v/>
      </c>
      <c r="IX119" s="51"/>
      <c r="IY119" s="108" t="str">
        <f t="shared" si="86"/>
        <v/>
      </c>
      <c r="IZ119" s="109" t="str">
        <f t="shared" si="171"/>
        <v/>
      </c>
      <c r="JA119" s="109" t="str">
        <f t="shared" si="87"/>
        <v/>
      </c>
      <c r="JB119" s="110" t="str">
        <f t="shared" si="198"/>
        <v/>
      </c>
      <c r="JC119" s="51"/>
      <c r="JD119" s="108" t="str">
        <f t="shared" si="172"/>
        <v/>
      </c>
      <c r="JE119" s="109" t="str">
        <f t="shared" si="173"/>
        <v/>
      </c>
      <c r="JF119" s="109" t="str">
        <f t="shared" si="88"/>
        <v/>
      </c>
      <c r="JG119" s="110" t="str">
        <f t="shared" si="174"/>
        <v/>
      </c>
      <c r="JH119" s="51"/>
      <c r="JI119" s="108" t="str">
        <f t="shared" si="89"/>
        <v/>
      </c>
      <c r="JJ119" s="109" t="str">
        <f t="shared" si="175"/>
        <v/>
      </c>
      <c r="JK119" s="109" t="str">
        <f t="shared" si="90"/>
        <v/>
      </c>
      <c r="JL119" s="110" t="str">
        <f t="shared" si="199"/>
        <v/>
      </c>
      <c r="JM119" s="51"/>
      <c r="JN119" s="108" t="str">
        <f t="shared" si="176"/>
        <v/>
      </c>
      <c r="JO119" s="109" t="str">
        <f t="shared" si="177"/>
        <v/>
      </c>
      <c r="JP119" s="109" t="str">
        <f t="shared" si="91"/>
        <v/>
      </c>
      <c r="JQ119" s="110" t="str">
        <f t="shared" si="178"/>
        <v/>
      </c>
      <c r="JR119" s="51"/>
      <c r="JS119" s="108" t="str">
        <f t="shared" si="92"/>
        <v/>
      </c>
      <c r="JT119" s="109" t="str">
        <f t="shared" si="179"/>
        <v/>
      </c>
      <c r="JU119" s="109" t="str">
        <f t="shared" si="93"/>
        <v/>
      </c>
      <c r="JV119" s="110" t="str">
        <f t="shared" si="200"/>
        <v/>
      </c>
      <c r="JW119" s="51"/>
      <c r="JX119" s="108" t="str">
        <f t="shared" si="180"/>
        <v/>
      </c>
      <c r="JY119" s="109" t="str">
        <f t="shared" si="181"/>
        <v/>
      </c>
      <c r="JZ119" s="109" t="str">
        <f t="shared" si="94"/>
        <v/>
      </c>
      <c r="KA119" s="110" t="str">
        <f t="shared" si="95"/>
        <v/>
      </c>
    </row>
    <row r="120" spans="1:287" ht="12" customHeight="1">
      <c r="A120" s="105">
        <f t="array" ref="A120">MAX(IF($J$80:J119&gt;0,$C$80:C119,0))</f>
        <v>43536</v>
      </c>
      <c r="B120" s="81" t="str">
        <f t="shared" si="4"/>
        <v/>
      </c>
      <c r="C120" s="82">
        <f t="shared" si="182"/>
        <v>0</v>
      </c>
      <c r="D120" s="83" t="str">
        <f t="shared" si="5"/>
        <v/>
      </c>
      <c r="E120" s="83" t="str">
        <f t="shared" si="96"/>
        <v/>
      </c>
      <c r="F120" s="83" t="str">
        <f t="shared" si="6"/>
        <v/>
      </c>
      <c r="G120" s="83" t="str">
        <f t="shared" si="7"/>
        <v/>
      </c>
      <c r="H120" s="83" t="str">
        <f t="shared" si="8"/>
        <v/>
      </c>
      <c r="I120" s="105">
        <f t="array" ref="I120">MAX(IF($R$80:R119&gt;0,$L$80:L119,0))</f>
        <v>0</v>
      </c>
      <c r="J120" s="106"/>
      <c r="K120" s="2" t="str">
        <f t="shared" si="9"/>
        <v/>
      </c>
      <c r="L120" s="82">
        <f t="shared" si="183"/>
        <v>0</v>
      </c>
      <c r="M120" s="83" t="str">
        <f t="shared" si="97"/>
        <v/>
      </c>
      <c r="N120" s="83" t="str">
        <f t="shared" si="10"/>
        <v/>
      </c>
      <c r="O120" s="83" t="str">
        <f t="shared" si="11"/>
        <v/>
      </c>
      <c r="P120" s="83" t="str">
        <f t="shared" si="12"/>
        <v/>
      </c>
      <c r="Q120" s="83" t="str">
        <f t="shared" si="13"/>
        <v/>
      </c>
      <c r="R120" s="106"/>
      <c r="S120" s="1"/>
      <c r="U120" s="85" t="e">
        <f t="shared" si="0"/>
        <v>#NUM!</v>
      </c>
      <c r="V120" s="86" t="e">
        <f t="shared" si="98"/>
        <v>#NUM!</v>
      </c>
      <c r="W120" s="87" t="e">
        <f t="shared" si="14"/>
        <v>#NUM!</v>
      </c>
      <c r="X120" s="87" t="e">
        <f t="shared" si="15"/>
        <v>#NUM!</v>
      </c>
      <c r="Y120" s="87" t="e">
        <f t="shared" si="16"/>
        <v>#NUM!</v>
      </c>
      <c r="Z120" s="88" t="e">
        <f t="shared" si="1"/>
        <v>#NUM!</v>
      </c>
      <c r="AA120" t="s">
        <v>282</v>
      </c>
      <c r="AB120" s="89">
        <f t="shared" si="99"/>
        <v>0</v>
      </c>
      <c r="AC120" s="87">
        <f t="shared" si="100"/>
        <v>0</v>
      </c>
      <c r="AD120" s="87" t="str">
        <f t="shared" si="17"/>
        <v/>
      </c>
      <c r="AE120" s="87" t="str">
        <f t="shared" si="18"/>
        <v/>
      </c>
      <c r="AF120" s="86">
        <f t="shared" si="101"/>
        <v>0</v>
      </c>
      <c r="AG120" s="87">
        <f t="shared" si="2"/>
        <v>0</v>
      </c>
      <c r="AH120" s="87">
        <f t="shared" si="102"/>
        <v>0</v>
      </c>
      <c r="AI120" s="90"/>
      <c r="AJ120" s="87" t="e">
        <f t="shared" si="19"/>
        <v>#NUM!</v>
      </c>
      <c r="AK120" s="87" t="e">
        <f t="shared" si="103"/>
        <v>#NUM!</v>
      </c>
      <c r="AL120" s="87" t="e">
        <f t="shared" si="104"/>
        <v>#NUM!</v>
      </c>
      <c r="AM120" s="87" t="e">
        <f t="shared" si="105"/>
        <v>#NUM!</v>
      </c>
      <c r="AN120" s="86">
        <f t="shared" si="20"/>
        <v>0</v>
      </c>
      <c r="AO120" s="87">
        <f t="shared" si="21"/>
        <v>0</v>
      </c>
      <c r="AP120" s="88">
        <f t="shared" si="22"/>
        <v>0</v>
      </c>
      <c r="AR120" s="89">
        <f t="shared" si="23"/>
        <v>0</v>
      </c>
      <c r="AS120" s="87">
        <f t="shared" si="24"/>
        <v>0</v>
      </c>
      <c r="AT120" s="87" t="str">
        <f t="shared" si="25"/>
        <v/>
      </c>
      <c r="AU120" s="87" t="str">
        <f t="shared" si="26"/>
        <v/>
      </c>
      <c r="AV120" s="86">
        <f t="shared" si="106"/>
        <v>0</v>
      </c>
      <c r="AW120" s="87">
        <f t="shared" si="107"/>
        <v>0</v>
      </c>
      <c r="AX120" s="87">
        <f t="shared" si="108"/>
        <v>0</v>
      </c>
      <c r="AY120" s="93"/>
      <c r="AZ120" s="87">
        <f t="shared" si="201"/>
        <v>0</v>
      </c>
      <c r="BA120" s="87">
        <f t="shared" si="109"/>
        <v>0</v>
      </c>
      <c r="BB120" s="87">
        <f t="shared" si="110"/>
        <v>0</v>
      </c>
      <c r="BC120" s="87">
        <f t="shared" si="184"/>
        <v>0</v>
      </c>
      <c r="BD120" s="86" t="e">
        <f t="shared" si="27"/>
        <v>#NUM!</v>
      </c>
      <c r="BE120" s="87" t="e">
        <f t="shared" si="3"/>
        <v>#NUM!</v>
      </c>
      <c r="BF120" s="88">
        <f t="shared" si="111"/>
        <v>0</v>
      </c>
      <c r="BH120" s="87" t="e">
        <f t="shared" si="28"/>
        <v>#NUM!</v>
      </c>
      <c r="BK120" s="95">
        <v>40324</v>
      </c>
      <c r="BL120" s="96">
        <v>41</v>
      </c>
      <c r="BT120" s="51">
        <v>10000.01</v>
      </c>
      <c r="BU120" s="51">
        <v>20000</v>
      </c>
      <c r="BV120" s="51" t="str">
        <f>CONCATENATE(BT120,"-",BU120)</f>
        <v>10000.01-20000</v>
      </c>
      <c r="BW120" s="30" t="s">
        <v>497</v>
      </c>
      <c r="BX120" s="107">
        <v>0.20499999999999999</v>
      </c>
      <c r="BY120" s="107">
        <v>0.20500000000000002</v>
      </c>
      <c r="BZ120" s="107">
        <v>0.20500000000000002</v>
      </c>
      <c r="CA120" s="107">
        <v>0.24500000000000002</v>
      </c>
      <c r="CB120" s="107">
        <v>0.253</v>
      </c>
      <c r="CC120" s="107">
        <v>0.26</v>
      </c>
      <c r="CD120" s="107">
        <v>0.26500000000000001</v>
      </c>
      <c r="CE120" s="30" t="s">
        <v>497</v>
      </c>
      <c r="CF120" s="107">
        <v>0.03</v>
      </c>
      <c r="CG120" s="107">
        <v>2.1000000000000001E-2</v>
      </c>
      <c r="CS120" s="108" t="str">
        <f t="shared" si="29"/>
        <v/>
      </c>
      <c r="CT120" s="109" t="str">
        <f t="shared" si="30"/>
        <v/>
      </c>
      <c r="CU120" s="109" t="str">
        <f t="shared" si="31"/>
        <v/>
      </c>
      <c r="CV120" s="110" t="str">
        <f t="shared" ref="CV120:CV183" si="225">IF($B120="","",IF(OR($F$10="ანუიტეტური",$F$10="სამომხმარებლო"),CV119-CT120,IF($F$10="საშეღავათო",CV119-CT120,IF($F$10="ნულოვანი საშეღავათო",CV119-CT120))))</f>
        <v/>
      </c>
      <c r="CX120" s="108" t="str">
        <f t="shared" si="33"/>
        <v/>
      </c>
      <c r="CY120" s="109" t="str">
        <f t="shared" si="113"/>
        <v/>
      </c>
      <c r="CZ120" s="109" t="str">
        <f t="shared" si="34"/>
        <v/>
      </c>
      <c r="DA120" s="110" t="str">
        <f t="shared" ref="DA120:DA183" si="226">IF($B120="","",DA119-CY120)</f>
        <v/>
      </c>
      <c r="DC120" s="108" t="str">
        <f t="shared" si="114"/>
        <v/>
      </c>
      <c r="DD120" s="109" t="str">
        <f t="shared" si="115"/>
        <v/>
      </c>
      <c r="DE120" s="109" t="str">
        <f t="shared" si="36"/>
        <v/>
      </c>
      <c r="DF120" s="110" t="str">
        <f t="shared" ref="DF120:DF183" si="227">IF($B120="","",DF119-DD120)</f>
        <v/>
      </c>
      <c r="DH120" s="108" t="str">
        <f t="shared" si="38"/>
        <v/>
      </c>
      <c r="DI120" s="109" t="str">
        <f t="shared" si="39"/>
        <v/>
      </c>
      <c r="DJ120" s="109" t="str">
        <f t="shared" si="40"/>
        <v/>
      </c>
      <c r="DK120" s="110" t="str">
        <f t="shared" ref="DK120:DK183" si="228">IF($B120="","",DK119-DI120)</f>
        <v/>
      </c>
      <c r="DM120" s="108" t="str">
        <f t="shared" si="116"/>
        <v/>
      </c>
      <c r="DN120" s="109" t="str">
        <f t="shared" si="117"/>
        <v/>
      </c>
      <c r="DO120" s="109" t="str">
        <f t="shared" si="42"/>
        <v/>
      </c>
      <c r="DP120" s="110" t="str">
        <f t="shared" ref="DP120:DP183" si="229">IF($B120="","",DP119-DN120)</f>
        <v/>
      </c>
      <c r="DR120" s="108" t="str">
        <f t="shared" si="43"/>
        <v/>
      </c>
      <c r="DS120" s="109" t="str">
        <f t="shared" si="118"/>
        <v/>
      </c>
      <c r="DT120" s="109" t="str">
        <f t="shared" si="44"/>
        <v/>
      </c>
      <c r="DU120" s="110" t="str">
        <f t="shared" ref="DU120:DU183" si="230">IF($B120="","",DU119-DS120)</f>
        <v/>
      </c>
      <c r="DW120" s="108" t="str">
        <f t="shared" si="120"/>
        <v/>
      </c>
      <c r="DX120" s="109" t="str">
        <f t="shared" si="121"/>
        <v/>
      </c>
      <c r="DY120" s="109" t="str">
        <f t="shared" si="45"/>
        <v/>
      </c>
      <c r="DZ120" s="110" t="str">
        <f t="shared" ref="DZ120:DZ183" si="231">IF($B120="","",DZ119-DX120)</f>
        <v/>
      </c>
      <c r="EB120" s="108" t="str">
        <f t="shared" si="46"/>
        <v/>
      </c>
      <c r="EC120" s="109" t="str">
        <f t="shared" si="122"/>
        <v/>
      </c>
      <c r="ED120" s="109" t="str">
        <f t="shared" si="47"/>
        <v/>
      </c>
      <c r="EE120" s="110" t="str">
        <f t="shared" ref="EE120:EE183" si="232">IF($B120="","",EE119-EC120)</f>
        <v/>
      </c>
      <c r="EG120" s="108" t="str">
        <f t="shared" si="124"/>
        <v/>
      </c>
      <c r="EH120" s="109" t="str">
        <f t="shared" si="125"/>
        <v/>
      </c>
      <c r="EI120" s="109" t="str">
        <f t="shared" si="48"/>
        <v/>
      </c>
      <c r="EJ120" s="110" t="str">
        <f t="shared" ref="EJ120:EJ183" si="233">IF($B120="","",EJ119-EH120)</f>
        <v/>
      </c>
      <c r="EL120" s="108" t="str">
        <f t="shared" si="49"/>
        <v/>
      </c>
      <c r="EM120" s="109" t="str">
        <f t="shared" si="126"/>
        <v/>
      </c>
      <c r="EN120" s="109" t="str">
        <f t="shared" si="50"/>
        <v/>
      </c>
      <c r="EO120" s="110" t="str">
        <f t="shared" ref="EO120:EO183" si="234">IF($B120="","",EO119-EM120)</f>
        <v/>
      </c>
      <c r="EQ120" s="108" t="str">
        <f t="shared" si="128"/>
        <v/>
      </c>
      <c r="ER120" s="109" t="str">
        <f t="shared" si="129"/>
        <v/>
      </c>
      <c r="ES120" s="109" t="str">
        <f t="shared" si="51"/>
        <v/>
      </c>
      <c r="ET120" s="110" t="str">
        <f t="shared" ref="ET120:ET183" si="235">IF($B120="","",ET119-ER120)</f>
        <v/>
      </c>
      <c r="EV120" s="108" t="str">
        <f t="shared" si="52"/>
        <v/>
      </c>
      <c r="EW120" s="109" t="str">
        <f t="shared" si="130"/>
        <v/>
      </c>
      <c r="EX120" s="109" t="str">
        <f t="shared" si="53"/>
        <v/>
      </c>
      <c r="EY120" s="110" t="str">
        <f t="shared" ref="EY120:EY183" si="236">IF($B120="","",EY119-EW120)</f>
        <v/>
      </c>
      <c r="FA120" s="108" t="str">
        <f t="shared" si="132"/>
        <v/>
      </c>
      <c r="FB120" s="109" t="str">
        <f t="shared" si="133"/>
        <v/>
      </c>
      <c r="FC120" s="109" t="str">
        <f t="shared" si="54"/>
        <v/>
      </c>
      <c r="FD120" s="110" t="str">
        <f t="shared" ref="FD120:FD183" si="237">IF($B120="","",FD119-FB120)</f>
        <v/>
      </c>
      <c r="FF120" s="108" t="str">
        <f t="shared" si="55"/>
        <v/>
      </c>
      <c r="FG120" s="109" t="str">
        <f t="shared" si="134"/>
        <v/>
      </c>
      <c r="FH120" s="109" t="str">
        <f t="shared" si="56"/>
        <v/>
      </c>
      <c r="FI120" s="110" t="str">
        <f t="shared" ref="FI120:FI183" si="238">IF($B120="","",FI119-FG120)</f>
        <v/>
      </c>
      <c r="FK120" s="108" t="str">
        <f t="shared" si="136"/>
        <v/>
      </c>
      <c r="FL120" s="109" t="str">
        <f t="shared" si="137"/>
        <v/>
      </c>
      <c r="FM120" s="109" t="str">
        <f t="shared" si="57"/>
        <v/>
      </c>
      <c r="FN120" s="110" t="str">
        <f t="shared" ref="FN120:FN183" si="239">IF($B120="","",FN119-FL120)</f>
        <v/>
      </c>
      <c r="FP120" s="108" t="str">
        <f t="shared" si="58"/>
        <v/>
      </c>
      <c r="FQ120" s="109" t="str">
        <f t="shared" si="138"/>
        <v/>
      </c>
      <c r="FR120" s="109" t="str">
        <f t="shared" si="59"/>
        <v/>
      </c>
      <c r="FS120" s="110" t="str">
        <f t="shared" ref="FS120:FS183" si="240">IF($B120="","",FS119-FQ120)</f>
        <v/>
      </c>
      <c r="FU120" s="108" t="str">
        <f t="shared" si="140"/>
        <v/>
      </c>
      <c r="FV120" s="109" t="str">
        <f t="shared" si="141"/>
        <v/>
      </c>
      <c r="FW120" s="109" t="str">
        <f t="shared" si="60"/>
        <v/>
      </c>
      <c r="FX120" s="110" t="str">
        <f t="shared" ref="FX120:FX183" si="241">IF($B120="","",FX119-FV120)</f>
        <v/>
      </c>
      <c r="FZ120" s="108" t="str">
        <f t="shared" si="61"/>
        <v/>
      </c>
      <c r="GA120" s="109" t="str">
        <f t="shared" si="142"/>
        <v/>
      </c>
      <c r="GB120" s="109" t="str">
        <f t="shared" si="62"/>
        <v/>
      </c>
      <c r="GC120" s="110" t="str">
        <f t="shared" ref="GC120:GC183" si="242">IF($B120="","",GC119-GA120)</f>
        <v/>
      </c>
      <c r="GE120" s="108" t="str">
        <f t="shared" si="144"/>
        <v/>
      </c>
      <c r="GF120" s="109" t="str">
        <f t="shared" si="145"/>
        <v/>
      </c>
      <c r="GG120" s="109" t="str">
        <f t="shared" si="146"/>
        <v/>
      </c>
      <c r="GH120" s="110" t="str">
        <f t="shared" ref="GH120:GH183" si="243">IF($B120="","",GH119-GF120)</f>
        <v/>
      </c>
      <c r="GL120" s="108" t="str">
        <f t="shared" si="63"/>
        <v/>
      </c>
      <c r="GM120" s="109" t="str">
        <f t="shared" si="64"/>
        <v/>
      </c>
      <c r="GN120" s="109" t="str">
        <f t="shared" si="65"/>
        <v/>
      </c>
      <c r="GO120" s="110" t="str">
        <f t="shared" si="66"/>
        <v/>
      </c>
      <c r="GP120" s="51"/>
      <c r="GQ120" s="108" t="str">
        <f t="shared" si="67"/>
        <v/>
      </c>
      <c r="GR120" s="109" t="str">
        <f t="shared" si="147"/>
        <v/>
      </c>
      <c r="GS120" s="109" t="str">
        <f t="shared" si="68"/>
        <v/>
      </c>
      <c r="GT120" s="110" t="str">
        <f t="shared" si="69"/>
        <v/>
      </c>
      <c r="GU120" s="51"/>
      <c r="GV120" s="108" t="str">
        <f t="shared" si="148"/>
        <v/>
      </c>
      <c r="GW120" s="109" t="str">
        <f t="shared" si="149"/>
        <v/>
      </c>
      <c r="GX120" s="109" t="str">
        <f t="shared" si="70"/>
        <v/>
      </c>
      <c r="GY120" s="110" t="str">
        <f t="shared" si="150"/>
        <v/>
      </c>
      <c r="GZ120" s="51"/>
      <c r="HA120" s="108" t="str">
        <f t="shared" si="71"/>
        <v/>
      </c>
      <c r="HB120" s="109" t="str">
        <f t="shared" si="151"/>
        <v/>
      </c>
      <c r="HC120" s="109" t="str">
        <f t="shared" si="72"/>
        <v/>
      </c>
      <c r="HD120" s="110" t="str">
        <f t="shared" si="193"/>
        <v/>
      </c>
      <c r="HE120" s="51"/>
      <c r="HF120" s="108" t="str">
        <f t="shared" si="152"/>
        <v/>
      </c>
      <c r="HG120" s="109" t="str">
        <f t="shared" si="153"/>
        <v/>
      </c>
      <c r="HH120" s="109" t="str">
        <f t="shared" si="73"/>
        <v/>
      </c>
      <c r="HI120" s="110" t="str">
        <f t="shared" si="154"/>
        <v/>
      </c>
      <c r="HJ120" s="51"/>
      <c r="HK120" s="108" t="str">
        <f t="shared" si="74"/>
        <v/>
      </c>
      <c r="HL120" s="109" t="str">
        <f t="shared" si="155"/>
        <v/>
      </c>
      <c r="HM120" s="109" t="str">
        <f t="shared" si="75"/>
        <v/>
      </c>
      <c r="HN120" s="110" t="str">
        <f t="shared" si="194"/>
        <v/>
      </c>
      <c r="HO120" s="51"/>
      <c r="HP120" s="108" t="str">
        <f t="shared" si="156"/>
        <v/>
      </c>
      <c r="HQ120" s="109" t="str">
        <f t="shared" si="157"/>
        <v/>
      </c>
      <c r="HR120" s="109" t="str">
        <f t="shared" si="76"/>
        <v/>
      </c>
      <c r="HS120" s="110" t="str">
        <f t="shared" si="158"/>
        <v/>
      </c>
      <c r="HT120" s="51"/>
      <c r="HU120" s="108" t="str">
        <f t="shared" si="77"/>
        <v/>
      </c>
      <c r="HV120" s="109" t="str">
        <f t="shared" si="159"/>
        <v/>
      </c>
      <c r="HW120" s="109" t="str">
        <f t="shared" si="78"/>
        <v/>
      </c>
      <c r="HX120" s="110" t="str">
        <f t="shared" si="195"/>
        <v/>
      </c>
      <c r="HY120" s="51"/>
      <c r="HZ120" s="108" t="str">
        <f t="shared" si="160"/>
        <v/>
      </c>
      <c r="IA120" s="109" t="str">
        <f t="shared" si="161"/>
        <v/>
      </c>
      <c r="IB120" s="109" t="str">
        <f t="shared" si="79"/>
        <v/>
      </c>
      <c r="IC120" s="110" t="str">
        <f t="shared" si="162"/>
        <v/>
      </c>
      <c r="ID120" s="51"/>
      <c r="IE120" s="108" t="str">
        <f t="shared" si="80"/>
        <v/>
      </c>
      <c r="IF120" s="109" t="str">
        <f t="shared" si="163"/>
        <v/>
      </c>
      <c r="IG120" s="109" t="str">
        <f t="shared" si="81"/>
        <v/>
      </c>
      <c r="IH120" s="110" t="str">
        <f t="shared" si="196"/>
        <v/>
      </c>
      <c r="II120" s="51"/>
      <c r="IJ120" s="108" t="str">
        <f t="shared" si="164"/>
        <v/>
      </c>
      <c r="IK120" s="109" t="str">
        <f t="shared" si="165"/>
        <v/>
      </c>
      <c r="IL120" s="109" t="str">
        <f t="shared" si="82"/>
        <v/>
      </c>
      <c r="IM120" s="110" t="str">
        <f t="shared" si="166"/>
        <v/>
      </c>
      <c r="IN120" s="51"/>
      <c r="IO120" s="108" t="str">
        <f t="shared" si="83"/>
        <v/>
      </c>
      <c r="IP120" s="109" t="str">
        <f t="shared" si="167"/>
        <v/>
      </c>
      <c r="IQ120" s="109" t="str">
        <f t="shared" si="84"/>
        <v/>
      </c>
      <c r="IR120" s="110" t="str">
        <f t="shared" si="197"/>
        <v/>
      </c>
      <c r="IS120" s="51"/>
      <c r="IT120" s="108" t="str">
        <f t="shared" si="168"/>
        <v/>
      </c>
      <c r="IU120" s="109" t="str">
        <f t="shared" si="169"/>
        <v/>
      </c>
      <c r="IV120" s="109" t="str">
        <f t="shared" si="85"/>
        <v/>
      </c>
      <c r="IW120" s="110" t="str">
        <f t="shared" si="170"/>
        <v/>
      </c>
      <c r="IX120" s="51"/>
      <c r="IY120" s="108" t="str">
        <f t="shared" si="86"/>
        <v/>
      </c>
      <c r="IZ120" s="109" t="str">
        <f t="shared" si="171"/>
        <v/>
      </c>
      <c r="JA120" s="109" t="str">
        <f t="shared" si="87"/>
        <v/>
      </c>
      <c r="JB120" s="110" t="str">
        <f t="shared" si="198"/>
        <v/>
      </c>
      <c r="JC120" s="51"/>
      <c r="JD120" s="108" t="str">
        <f t="shared" si="172"/>
        <v/>
      </c>
      <c r="JE120" s="109" t="str">
        <f t="shared" si="173"/>
        <v/>
      </c>
      <c r="JF120" s="109" t="str">
        <f t="shared" si="88"/>
        <v/>
      </c>
      <c r="JG120" s="110" t="str">
        <f t="shared" si="174"/>
        <v/>
      </c>
      <c r="JH120" s="51"/>
      <c r="JI120" s="108" t="str">
        <f t="shared" si="89"/>
        <v/>
      </c>
      <c r="JJ120" s="109" t="str">
        <f t="shared" si="175"/>
        <v/>
      </c>
      <c r="JK120" s="109" t="str">
        <f t="shared" si="90"/>
        <v/>
      </c>
      <c r="JL120" s="110" t="str">
        <f t="shared" si="199"/>
        <v/>
      </c>
      <c r="JM120" s="51"/>
      <c r="JN120" s="108" t="str">
        <f t="shared" si="176"/>
        <v/>
      </c>
      <c r="JO120" s="109" t="str">
        <f t="shared" si="177"/>
        <v/>
      </c>
      <c r="JP120" s="109" t="str">
        <f t="shared" si="91"/>
        <v/>
      </c>
      <c r="JQ120" s="110" t="str">
        <f t="shared" si="178"/>
        <v/>
      </c>
      <c r="JR120" s="51"/>
      <c r="JS120" s="108" t="str">
        <f t="shared" si="92"/>
        <v/>
      </c>
      <c r="JT120" s="109" t="str">
        <f t="shared" si="179"/>
        <v/>
      </c>
      <c r="JU120" s="109" t="str">
        <f t="shared" si="93"/>
        <v/>
      </c>
      <c r="JV120" s="110" t="str">
        <f t="shared" si="200"/>
        <v/>
      </c>
      <c r="JW120" s="51"/>
      <c r="JX120" s="108" t="str">
        <f t="shared" si="180"/>
        <v/>
      </c>
      <c r="JY120" s="109" t="str">
        <f t="shared" si="181"/>
        <v/>
      </c>
      <c r="JZ120" s="109" t="str">
        <f t="shared" si="94"/>
        <v/>
      </c>
      <c r="KA120" s="110" t="str">
        <f t="shared" si="95"/>
        <v/>
      </c>
    </row>
    <row r="121" spans="1:287" ht="12" customHeight="1">
      <c r="A121" s="105">
        <f t="array" ref="A121">MAX(IF($J$80:J120&gt;0,$C$80:C120,0))</f>
        <v>43536</v>
      </c>
      <c r="B121" s="81" t="str">
        <f t="shared" si="4"/>
        <v/>
      </c>
      <c r="C121" s="82">
        <f t="shared" si="182"/>
        <v>0</v>
      </c>
      <c r="D121" s="83" t="str">
        <f t="shared" si="5"/>
        <v/>
      </c>
      <c r="E121" s="83" t="str">
        <f t="shared" si="96"/>
        <v/>
      </c>
      <c r="F121" s="83" t="str">
        <f t="shared" si="6"/>
        <v/>
      </c>
      <c r="G121" s="83" t="str">
        <f t="shared" si="7"/>
        <v/>
      </c>
      <c r="H121" s="83" t="str">
        <f t="shared" si="8"/>
        <v/>
      </c>
      <c r="I121" s="105">
        <f t="array" ref="I121">MAX(IF($R$80:R120&gt;0,$L$80:L120,0))</f>
        <v>0</v>
      </c>
      <c r="J121" s="106"/>
      <c r="K121" s="2" t="str">
        <f t="shared" si="9"/>
        <v/>
      </c>
      <c r="L121" s="82">
        <f t="shared" si="183"/>
        <v>0</v>
      </c>
      <c r="M121" s="83" t="str">
        <f t="shared" si="97"/>
        <v/>
      </c>
      <c r="N121" s="83" t="str">
        <f t="shared" si="10"/>
        <v/>
      </c>
      <c r="O121" s="83" t="str">
        <f t="shared" si="11"/>
        <v/>
      </c>
      <c r="P121" s="83" t="str">
        <f t="shared" si="12"/>
        <v/>
      </c>
      <c r="Q121" s="83" t="str">
        <f t="shared" si="13"/>
        <v/>
      </c>
      <c r="R121" s="106"/>
      <c r="S121" s="1"/>
      <c r="U121" s="85" t="e">
        <f t="shared" si="0"/>
        <v>#NUM!</v>
      </c>
      <c r="V121" s="86" t="e">
        <f t="shared" si="98"/>
        <v>#NUM!</v>
      </c>
      <c r="W121" s="87" t="e">
        <f t="shared" si="14"/>
        <v>#NUM!</v>
      </c>
      <c r="X121" s="87" t="e">
        <f t="shared" si="15"/>
        <v>#NUM!</v>
      </c>
      <c r="Y121" s="87" t="e">
        <f t="shared" si="16"/>
        <v>#NUM!</v>
      </c>
      <c r="Z121" s="88" t="e">
        <f t="shared" si="1"/>
        <v>#NUM!</v>
      </c>
      <c r="AA121" t="s">
        <v>282</v>
      </c>
      <c r="AB121" s="89">
        <f t="shared" si="99"/>
        <v>0</v>
      </c>
      <c r="AC121" s="87">
        <f t="shared" si="100"/>
        <v>0</v>
      </c>
      <c r="AD121" s="87" t="str">
        <f t="shared" si="17"/>
        <v/>
      </c>
      <c r="AE121" s="87" t="str">
        <f t="shared" si="18"/>
        <v/>
      </c>
      <c r="AF121" s="86">
        <f t="shared" si="101"/>
        <v>0</v>
      </c>
      <c r="AG121" s="87">
        <f t="shared" si="2"/>
        <v>0</v>
      </c>
      <c r="AH121" s="87">
        <f t="shared" si="102"/>
        <v>0</v>
      </c>
      <c r="AI121" s="90"/>
      <c r="AJ121" s="87" t="e">
        <f t="shared" si="19"/>
        <v>#NUM!</v>
      </c>
      <c r="AK121" s="87" t="e">
        <f t="shared" si="103"/>
        <v>#NUM!</v>
      </c>
      <c r="AL121" s="87" t="e">
        <f t="shared" si="104"/>
        <v>#NUM!</v>
      </c>
      <c r="AM121" s="87" t="e">
        <f t="shared" si="105"/>
        <v>#NUM!</v>
      </c>
      <c r="AN121" s="86">
        <f t="shared" si="20"/>
        <v>0</v>
      </c>
      <c r="AO121" s="87">
        <f t="shared" si="21"/>
        <v>0</v>
      </c>
      <c r="AP121" s="88">
        <f t="shared" si="22"/>
        <v>0</v>
      </c>
      <c r="AR121" s="89">
        <f t="shared" si="23"/>
        <v>0</v>
      </c>
      <c r="AS121" s="87">
        <f t="shared" si="24"/>
        <v>0</v>
      </c>
      <c r="AT121" s="87" t="str">
        <f t="shared" si="25"/>
        <v/>
      </c>
      <c r="AU121" s="87" t="str">
        <f t="shared" si="26"/>
        <v/>
      </c>
      <c r="AV121" s="86">
        <f t="shared" si="106"/>
        <v>0</v>
      </c>
      <c r="AW121" s="87">
        <f t="shared" si="107"/>
        <v>0</v>
      </c>
      <c r="AX121" s="87">
        <f t="shared" si="108"/>
        <v>0</v>
      </c>
      <c r="AY121" s="93"/>
      <c r="AZ121" s="87">
        <f t="shared" si="201"/>
        <v>0</v>
      </c>
      <c r="BA121" s="87">
        <f t="shared" si="109"/>
        <v>0</v>
      </c>
      <c r="BB121" s="87">
        <f t="shared" si="110"/>
        <v>0</v>
      </c>
      <c r="BC121" s="87">
        <f t="shared" si="184"/>
        <v>0</v>
      </c>
      <c r="BD121" s="86" t="e">
        <f t="shared" si="27"/>
        <v>#NUM!</v>
      </c>
      <c r="BE121" s="87" t="e">
        <f t="shared" si="3"/>
        <v>#NUM!</v>
      </c>
      <c r="BF121" s="88">
        <f t="shared" si="111"/>
        <v>0</v>
      </c>
      <c r="BH121" s="87" t="e">
        <f t="shared" si="28"/>
        <v>#NUM!</v>
      </c>
      <c r="BK121" s="95">
        <v>40418</v>
      </c>
      <c r="BL121" s="96">
        <v>42</v>
      </c>
      <c r="BT121" s="51">
        <v>20000.009999999998</v>
      </c>
      <c r="BU121" s="51">
        <v>30000</v>
      </c>
      <c r="BV121" s="51" t="str">
        <f>CONCATENATE(BT121,"-",BU121)</f>
        <v>20000.01-30000</v>
      </c>
      <c r="BW121" s="30" t="s">
        <v>497</v>
      </c>
      <c r="BX121" s="30">
        <v>0.2</v>
      </c>
      <c r="BY121" s="107">
        <v>0.2</v>
      </c>
      <c r="BZ121" s="107">
        <v>0.2</v>
      </c>
      <c r="CA121" s="107">
        <v>0.23499999999999999</v>
      </c>
      <c r="CB121" s="107">
        <v>0.24</v>
      </c>
      <c r="CC121" s="107">
        <v>0.245</v>
      </c>
      <c r="CD121" s="107">
        <v>0.25</v>
      </c>
      <c r="CE121" s="30" t="s">
        <v>497</v>
      </c>
      <c r="CF121" s="107">
        <v>2.5000000000000001E-2</v>
      </c>
      <c r="CG121" s="107">
        <v>1.6E-2</v>
      </c>
      <c r="CS121" s="108" t="str">
        <f t="shared" si="29"/>
        <v/>
      </c>
      <c r="CT121" s="109" t="str">
        <f t="shared" si="30"/>
        <v/>
      </c>
      <c r="CU121" s="109" t="str">
        <f t="shared" si="31"/>
        <v/>
      </c>
      <c r="CV121" s="110" t="str">
        <f t="shared" si="225"/>
        <v/>
      </c>
      <c r="CX121" s="108" t="str">
        <f t="shared" si="33"/>
        <v/>
      </c>
      <c r="CY121" s="109" t="str">
        <f t="shared" si="113"/>
        <v/>
      </c>
      <c r="CZ121" s="109" t="str">
        <f t="shared" si="34"/>
        <v/>
      </c>
      <c r="DA121" s="110" t="str">
        <f t="shared" si="226"/>
        <v/>
      </c>
      <c r="DC121" s="108" t="str">
        <f t="shared" si="114"/>
        <v/>
      </c>
      <c r="DD121" s="109" t="str">
        <f t="shared" si="115"/>
        <v/>
      </c>
      <c r="DE121" s="109" t="str">
        <f t="shared" si="36"/>
        <v/>
      </c>
      <c r="DF121" s="110" t="str">
        <f t="shared" si="227"/>
        <v/>
      </c>
      <c r="DH121" s="108" t="str">
        <f t="shared" si="38"/>
        <v/>
      </c>
      <c r="DI121" s="109" t="str">
        <f t="shared" si="39"/>
        <v/>
      </c>
      <c r="DJ121" s="109" t="str">
        <f t="shared" si="40"/>
        <v/>
      </c>
      <c r="DK121" s="110" t="str">
        <f t="shared" si="228"/>
        <v/>
      </c>
      <c r="DM121" s="108" t="str">
        <f t="shared" si="116"/>
        <v/>
      </c>
      <c r="DN121" s="109" t="str">
        <f t="shared" si="117"/>
        <v/>
      </c>
      <c r="DO121" s="109" t="str">
        <f t="shared" si="42"/>
        <v/>
      </c>
      <c r="DP121" s="110" t="str">
        <f t="shared" si="229"/>
        <v/>
      </c>
      <c r="DR121" s="108" t="str">
        <f t="shared" si="43"/>
        <v/>
      </c>
      <c r="DS121" s="109" t="str">
        <f t="shared" si="118"/>
        <v/>
      </c>
      <c r="DT121" s="109" t="str">
        <f t="shared" si="44"/>
        <v/>
      </c>
      <c r="DU121" s="110" t="str">
        <f t="shared" si="230"/>
        <v/>
      </c>
      <c r="DW121" s="108" t="str">
        <f t="shared" si="120"/>
        <v/>
      </c>
      <c r="DX121" s="109" t="str">
        <f t="shared" si="121"/>
        <v/>
      </c>
      <c r="DY121" s="109" t="str">
        <f t="shared" si="45"/>
        <v/>
      </c>
      <c r="DZ121" s="110" t="str">
        <f t="shared" si="231"/>
        <v/>
      </c>
      <c r="EB121" s="108" t="str">
        <f t="shared" si="46"/>
        <v/>
      </c>
      <c r="EC121" s="109" t="str">
        <f t="shared" si="122"/>
        <v/>
      </c>
      <c r="ED121" s="109" t="str">
        <f t="shared" si="47"/>
        <v/>
      </c>
      <c r="EE121" s="110" t="str">
        <f t="shared" si="232"/>
        <v/>
      </c>
      <c r="EG121" s="108" t="str">
        <f t="shared" si="124"/>
        <v/>
      </c>
      <c r="EH121" s="109" t="str">
        <f t="shared" si="125"/>
        <v/>
      </c>
      <c r="EI121" s="109" t="str">
        <f t="shared" si="48"/>
        <v/>
      </c>
      <c r="EJ121" s="110" t="str">
        <f t="shared" si="233"/>
        <v/>
      </c>
      <c r="EL121" s="108" t="str">
        <f t="shared" si="49"/>
        <v/>
      </c>
      <c r="EM121" s="109" t="str">
        <f t="shared" si="126"/>
        <v/>
      </c>
      <c r="EN121" s="109" t="str">
        <f t="shared" si="50"/>
        <v/>
      </c>
      <c r="EO121" s="110" t="str">
        <f t="shared" si="234"/>
        <v/>
      </c>
      <c r="EQ121" s="108" t="str">
        <f t="shared" si="128"/>
        <v/>
      </c>
      <c r="ER121" s="109" t="str">
        <f t="shared" si="129"/>
        <v/>
      </c>
      <c r="ES121" s="109" t="str">
        <f t="shared" si="51"/>
        <v/>
      </c>
      <c r="ET121" s="110" t="str">
        <f t="shared" si="235"/>
        <v/>
      </c>
      <c r="EV121" s="108" t="str">
        <f t="shared" si="52"/>
        <v/>
      </c>
      <c r="EW121" s="109" t="str">
        <f t="shared" si="130"/>
        <v/>
      </c>
      <c r="EX121" s="109" t="str">
        <f t="shared" si="53"/>
        <v/>
      </c>
      <c r="EY121" s="110" t="str">
        <f t="shared" si="236"/>
        <v/>
      </c>
      <c r="FA121" s="108" t="str">
        <f t="shared" si="132"/>
        <v/>
      </c>
      <c r="FB121" s="109" t="str">
        <f t="shared" si="133"/>
        <v/>
      </c>
      <c r="FC121" s="109" t="str">
        <f t="shared" si="54"/>
        <v/>
      </c>
      <c r="FD121" s="110" t="str">
        <f t="shared" si="237"/>
        <v/>
      </c>
      <c r="FF121" s="108" t="str">
        <f t="shared" si="55"/>
        <v/>
      </c>
      <c r="FG121" s="109" t="str">
        <f t="shared" si="134"/>
        <v/>
      </c>
      <c r="FH121" s="109" t="str">
        <f t="shared" si="56"/>
        <v/>
      </c>
      <c r="FI121" s="110" t="str">
        <f t="shared" si="238"/>
        <v/>
      </c>
      <c r="FK121" s="108" t="str">
        <f t="shared" si="136"/>
        <v/>
      </c>
      <c r="FL121" s="109" t="str">
        <f t="shared" si="137"/>
        <v/>
      </c>
      <c r="FM121" s="109" t="str">
        <f t="shared" si="57"/>
        <v/>
      </c>
      <c r="FN121" s="110" t="str">
        <f t="shared" si="239"/>
        <v/>
      </c>
      <c r="FP121" s="108" t="str">
        <f t="shared" si="58"/>
        <v/>
      </c>
      <c r="FQ121" s="109" t="str">
        <f t="shared" si="138"/>
        <v/>
      </c>
      <c r="FR121" s="109" t="str">
        <f t="shared" si="59"/>
        <v/>
      </c>
      <c r="FS121" s="110" t="str">
        <f t="shared" si="240"/>
        <v/>
      </c>
      <c r="FU121" s="108" t="str">
        <f t="shared" si="140"/>
        <v/>
      </c>
      <c r="FV121" s="109" t="str">
        <f t="shared" si="141"/>
        <v/>
      </c>
      <c r="FW121" s="109" t="str">
        <f t="shared" si="60"/>
        <v/>
      </c>
      <c r="FX121" s="110" t="str">
        <f t="shared" si="241"/>
        <v/>
      </c>
      <c r="FZ121" s="108" t="str">
        <f t="shared" si="61"/>
        <v/>
      </c>
      <c r="GA121" s="109" t="str">
        <f t="shared" si="142"/>
        <v/>
      </c>
      <c r="GB121" s="109" t="str">
        <f t="shared" si="62"/>
        <v/>
      </c>
      <c r="GC121" s="110" t="str">
        <f t="shared" si="242"/>
        <v/>
      </c>
      <c r="GE121" s="108" t="str">
        <f t="shared" si="144"/>
        <v/>
      </c>
      <c r="GF121" s="109" t="str">
        <f t="shared" si="145"/>
        <v/>
      </c>
      <c r="GG121" s="109" t="str">
        <f t="shared" si="146"/>
        <v/>
      </c>
      <c r="GH121" s="110" t="str">
        <f t="shared" si="243"/>
        <v/>
      </c>
      <c r="GL121" s="108" t="str">
        <f t="shared" si="63"/>
        <v/>
      </c>
      <c r="GM121" s="109" t="str">
        <f t="shared" si="64"/>
        <v/>
      </c>
      <c r="GN121" s="109" t="str">
        <f t="shared" si="65"/>
        <v/>
      </c>
      <c r="GO121" s="110" t="str">
        <f t="shared" si="66"/>
        <v/>
      </c>
      <c r="GP121" s="51"/>
      <c r="GQ121" s="108" t="str">
        <f t="shared" si="67"/>
        <v/>
      </c>
      <c r="GR121" s="109" t="str">
        <f t="shared" si="147"/>
        <v/>
      </c>
      <c r="GS121" s="109" t="str">
        <f t="shared" si="68"/>
        <v/>
      </c>
      <c r="GT121" s="110" t="str">
        <f t="shared" si="69"/>
        <v/>
      </c>
      <c r="GU121" s="51"/>
      <c r="GV121" s="108" t="str">
        <f t="shared" si="148"/>
        <v/>
      </c>
      <c r="GW121" s="109" t="str">
        <f t="shared" si="149"/>
        <v/>
      </c>
      <c r="GX121" s="109" t="str">
        <f t="shared" si="70"/>
        <v/>
      </c>
      <c r="GY121" s="110" t="str">
        <f t="shared" si="150"/>
        <v/>
      </c>
      <c r="GZ121" s="51"/>
      <c r="HA121" s="108" t="str">
        <f t="shared" si="71"/>
        <v/>
      </c>
      <c r="HB121" s="109" t="str">
        <f t="shared" si="151"/>
        <v/>
      </c>
      <c r="HC121" s="109" t="str">
        <f t="shared" si="72"/>
        <v/>
      </c>
      <c r="HD121" s="110" t="str">
        <f t="shared" si="193"/>
        <v/>
      </c>
      <c r="HE121" s="51"/>
      <c r="HF121" s="108" t="str">
        <f t="shared" si="152"/>
        <v/>
      </c>
      <c r="HG121" s="109" t="str">
        <f t="shared" si="153"/>
        <v/>
      </c>
      <c r="HH121" s="109" t="str">
        <f t="shared" si="73"/>
        <v/>
      </c>
      <c r="HI121" s="110" t="str">
        <f t="shared" si="154"/>
        <v/>
      </c>
      <c r="HJ121" s="51"/>
      <c r="HK121" s="108" t="str">
        <f t="shared" si="74"/>
        <v/>
      </c>
      <c r="HL121" s="109" t="str">
        <f t="shared" si="155"/>
        <v/>
      </c>
      <c r="HM121" s="109" t="str">
        <f t="shared" si="75"/>
        <v/>
      </c>
      <c r="HN121" s="110" t="str">
        <f t="shared" si="194"/>
        <v/>
      </c>
      <c r="HO121" s="51"/>
      <c r="HP121" s="108" t="str">
        <f t="shared" si="156"/>
        <v/>
      </c>
      <c r="HQ121" s="109" t="str">
        <f t="shared" si="157"/>
        <v/>
      </c>
      <c r="HR121" s="109" t="str">
        <f t="shared" si="76"/>
        <v/>
      </c>
      <c r="HS121" s="110" t="str">
        <f t="shared" si="158"/>
        <v/>
      </c>
      <c r="HT121" s="51"/>
      <c r="HU121" s="108" t="str">
        <f t="shared" si="77"/>
        <v/>
      </c>
      <c r="HV121" s="109" t="str">
        <f t="shared" si="159"/>
        <v/>
      </c>
      <c r="HW121" s="109" t="str">
        <f t="shared" si="78"/>
        <v/>
      </c>
      <c r="HX121" s="110" t="str">
        <f t="shared" si="195"/>
        <v/>
      </c>
      <c r="HY121" s="51"/>
      <c r="HZ121" s="108" t="str">
        <f t="shared" si="160"/>
        <v/>
      </c>
      <c r="IA121" s="109" t="str">
        <f t="shared" si="161"/>
        <v/>
      </c>
      <c r="IB121" s="109" t="str">
        <f t="shared" si="79"/>
        <v/>
      </c>
      <c r="IC121" s="110" t="str">
        <f t="shared" si="162"/>
        <v/>
      </c>
      <c r="ID121" s="51"/>
      <c r="IE121" s="108" t="str">
        <f t="shared" si="80"/>
        <v/>
      </c>
      <c r="IF121" s="109" t="str">
        <f t="shared" si="163"/>
        <v/>
      </c>
      <c r="IG121" s="109" t="str">
        <f t="shared" si="81"/>
        <v/>
      </c>
      <c r="IH121" s="110" t="str">
        <f t="shared" si="196"/>
        <v/>
      </c>
      <c r="II121" s="51"/>
      <c r="IJ121" s="108" t="str">
        <f t="shared" si="164"/>
        <v/>
      </c>
      <c r="IK121" s="109" t="str">
        <f t="shared" si="165"/>
        <v/>
      </c>
      <c r="IL121" s="109" t="str">
        <f t="shared" si="82"/>
        <v/>
      </c>
      <c r="IM121" s="110" t="str">
        <f t="shared" si="166"/>
        <v/>
      </c>
      <c r="IN121" s="51"/>
      <c r="IO121" s="108" t="str">
        <f t="shared" si="83"/>
        <v/>
      </c>
      <c r="IP121" s="109" t="str">
        <f t="shared" si="167"/>
        <v/>
      </c>
      <c r="IQ121" s="109" t="str">
        <f t="shared" si="84"/>
        <v/>
      </c>
      <c r="IR121" s="110" t="str">
        <f t="shared" si="197"/>
        <v/>
      </c>
      <c r="IS121" s="51"/>
      <c r="IT121" s="108" t="str">
        <f t="shared" si="168"/>
        <v/>
      </c>
      <c r="IU121" s="109" t="str">
        <f t="shared" si="169"/>
        <v/>
      </c>
      <c r="IV121" s="109" t="str">
        <f t="shared" si="85"/>
        <v/>
      </c>
      <c r="IW121" s="110" t="str">
        <f t="shared" si="170"/>
        <v/>
      </c>
      <c r="IX121" s="51"/>
      <c r="IY121" s="108" t="str">
        <f t="shared" si="86"/>
        <v/>
      </c>
      <c r="IZ121" s="109" t="str">
        <f t="shared" si="171"/>
        <v/>
      </c>
      <c r="JA121" s="109" t="str">
        <f t="shared" si="87"/>
        <v/>
      </c>
      <c r="JB121" s="110" t="str">
        <f t="shared" si="198"/>
        <v/>
      </c>
      <c r="JC121" s="51"/>
      <c r="JD121" s="108" t="str">
        <f t="shared" si="172"/>
        <v/>
      </c>
      <c r="JE121" s="109" t="str">
        <f t="shared" si="173"/>
        <v/>
      </c>
      <c r="JF121" s="109" t="str">
        <f t="shared" si="88"/>
        <v/>
      </c>
      <c r="JG121" s="110" t="str">
        <f t="shared" si="174"/>
        <v/>
      </c>
      <c r="JH121" s="51"/>
      <c r="JI121" s="108" t="str">
        <f t="shared" si="89"/>
        <v/>
      </c>
      <c r="JJ121" s="109" t="str">
        <f t="shared" si="175"/>
        <v/>
      </c>
      <c r="JK121" s="109" t="str">
        <f t="shared" si="90"/>
        <v/>
      </c>
      <c r="JL121" s="110" t="str">
        <f t="shared" si="199"/>
        <v/>
      </c>
      <c r="JM121" s="51"/>
      <c r="JN121" s="108" t="str">
        <f t="shared" si="176"/>
        <v/>
      </c>
      <c r="JO121" s="109" t="str">
        <f t="shared" si="177"/>
        <v/>
      </c>
      <c r="JP121" s="109" t="str">
        <f t="shared" si="91"/>
        <v/>
      </c>
      <c r="JQ121" s="110" t="str">
        <f t="shared" si="178"/>
        <v/>
      </c>
      <c r="JR121" s="51"/>
      <c r="JS121" s="108" t="str">
        <f t="shared" si="92"/>
        <v/>
      </c>
      <c r="JT121" s="109" t="str">
        <f t="shared" si="179"/>
        <v/>
      </c>
      <c r="JU121" s="109" t="str">
        <f t="shared" si="93"/>
        <v/>
      </c>
      <c r="JV121" s="110" t="str">
        <f t="shared" si="200"/>
        <v/>
      </c>
      <c r="JW121" s="51"/>
      <c r="JX121" s="108" t="str">
        <f t="shared" si="180"/>
        <v/>
      </c>
      <c r="JY121" s="109" t="str">
        <f t="shared" si="181"/>
        <v/>
      </c>
      <c r="JZ121" s="109" t="str">
        <f t="shared" si="94"/>
        <v/>
      </c>
      <c r="KA121" s="110" t="str">
        <f t="shared" si="95"/>
        <v/>
      </c>
    </row>
    <row r="122" spans="1:287" ht="12" customHeight="1">
      <c r="A122" s="105">
        <f t="array" ref="A122">MAX(IF($J$80:J121&gt;0,$C$80:C121,0))</f>
        <v>43536</v>
      </c>
      <c r="B122" s="81" t="str">
        <f t="shared" si="4"/>
        <v/>
      </c>
      <c r="C122" s="82">
        <f t="shared" si="182"/>
        <v>0</v>
      </c>
      <c r="D122" s="83" t="str">
        <f t="shared" si="5"/>
        <v/>
      </c>
      <c r="E122" s="83" t="str">
        <f t="shared" si="96"/>
        <v/>
      </c>
      <c r="F122" s="83" t="str">
        <f t="shared" si="6"/>
        <v/>
      </c>
      <c r="G122" s="83" t="str">
        <f t="shared" si="7"/>
        <v/>
      </c>
      <c r="H122" s="83" t="str">
        <f t="shared" si="8"/>
        <v/>
      </c>
      <c r="I122" s="105">
        <f t="array" ref="I122">MAX(IF($R$80:R121&gt;0,$L$80:L121,0))</f>
        <v>0</v>
      </c>
      <c r="J122" s="106"/>
      <c r="K122" s="2" t="str">
        <f t="shared" si="9"/>
        <v/>
      </c>
      <c r="L122" s="82">
        <f t="shared" si="183"/>
        <v>0</v>
      </c>
      <c r="M122" s="83" t="str">
        <f t="shared" si="97"/>
        <v/>
      </c>
      <c r="N122" s="83" t="str">
        <f t="shared" si="10"/>
        <v/>
      </c>
      <c r="O122" s="83" t="str">
        <f t="shared" si="11"/>
        <v/>
      </c>
      <c r="P122" s="83" t="str">
        <f t="shared" si="12"/>
        <v/>
      </c>
      <c r="Q122" s="83" t="str">
        <f t="shared" si="13"/>
        <v/>
      </c>
      <c r="R122" s="106"/>
      <c r="S122" s="1"/>
      <c r="U122" s="85" t="e">
        <f t="shared" si="0"/>
        <v>#NUM!</v>
      </c>
      <c r="V122" s="86" t="e">
        <f t="shared" si="98"/>
        <v>#NUM!</v>
      </c>
      <c r="W122" s="87" t="e">
        <f t="shared" si="14"/>
        <v>#NUM!</v>
      </c>
      <c r="X122" s="87" t="e">
        <f t="shared" si="15"/>
        <v>#NUM!</v>
      </c>
      <c r="Y122" s="87" t="e">
        <f t="shared" si="16"/>
        <v>#NUM!</v>
      </c>
      <c r="Z122" s="88" t="e">
        <f t="shared" si="1"/>
        <v>#NUM!</v>
      </c>
      <c r="AA122" t="s">
        <v>282</v>
      </c>
      <c r="AB122" s="89">
        <f t="shared" si="99"/>
        <v>0</v>
      </c>
      <c r="AC122" s="87">
        <f t="shared" si="100"/>
        <v>0</v>
      </c>
      <c r="AD122" s="87" t="str">
        <f t="shared" si="17"/>
        <v/>
      </c>
      <c r="AE122" s="87" t="str">
        <f t="shared" si="18"/>
        <v/>
      </c>
      <c r="AF122" s="86">
        <f t="shared" si="101"/>
        <v>0</v>
      </c>
      <c r="AG122" s="87">
        <f t="shared" si="2"/>
        <v>0</v>
      </c>
      <c r="AH122" s="87">
        <f t="shared" si="102"/>
        <v>0</v>
      </c>
      <c r="AI122" s="90"/>
      <c r="AJ122" s="87" t="e">
        <f t="shared" si="19"/>
        <v>#NUM!</v>
      </c>
      <c r="AK122" s="87" t="e">
        <f t="shared" si="103"/>
        <v>#NUM!</v>
      </c>
      <c r="AL122" s="87" t="e">
        <f t="shared" si="104"/>
        <v>#NUM!</v>
      </c>
      <c r="AM122" s="87" t="e">
        <f t="shared" si="105"/>
        <v>#NUM!</v>
      </c>
      <c r="AN122" s="86">
        <f t="shared" si="20"/>
        <v>0</v>
      </c>
      <c r="AO122" s="87">
        <f t="shared" si="21"/>
        <v>0</v>
      </c>
      <c r="AP122" s="88">
        <f t="shared" si="22"/>
        <v>0</v>
      </c>
      <c r="AR122" s="89">
        <f t="shared" si="23"/>
        <v>0</v>
      </c>
      <c r="AS122" s="87">
        <f t="shared" si="24"/>
        <v>0</v>
      </c>
      <c r="AT122" s="87" t="str">
        <f t="shared" si="25"/>
        <v/>
      </c>
      <c r="AU122" s="87" t="str">
        <f t="shared" si="26"/>
        <v/>
      </c>
      <c r="AV122" s="86">
        <f t="shared" si="106"/>
        <v>0</v>
      </c>
      <c r="AW122" s="87">
        <f t="shared" si="107"/>
        <v>0</v>
      </c>
      <c r="AX122" s="87">
        <f t="shared" si="108"/>
        <v>0</v>
      </c>
      <c r="AY122" s="93"/>
      <c r="AZ122" s="87">
        <f t="shared" si="201"/>
        <v>0</v>
      </c>
      <c r="BA122" s="87">
        <f t="shared" si="109"/>
        <v>0</v>
      </c>
      <c r="BB122" s="87">
        <f t="shared" si="110"/>
        <v>0</v>
      </c>
      <c r="BC122" s="87">
        <f t="shared" si="184"/>
        <v>0</v>
      </c>
      <c r="BD122" s="86" t="e">
        <f t="shared" si="27"/>
        <v>#NUM!</v>
      </c>
      <c r="BE122" s="87" t="e">
        <f t="shared" si="3"/>
        <v>#NUM!</v>
      </c>
      <c r="BF122" s="88">
        <f t="shared" si="111"/>
        <v>0</v>
      </c>
      <c r="BH122" s="87" t="e">
        <f t="shared" si="28"/>
        <v>#NUM!</v>
      </c>
      <c r="BK122" s="95">
        <v>40465</v>
      </c>
      <c r="BL122" s="96">
        <v>43</v>
      </c>
      <c r="BT122" s="51">
        <v>30000.01</v>
      </c>
      <c r="BU122" s="51">
        <v>1000000</v>
      </c>
      <c r="BV122" s="51" t="str">
        <f>CONCATENATE(BT122,"-",BU122)</f>
        <v>30000.01-1000000</v>
      </c>
      <c r="BW122" s="30" t="s">
        <v>497</v>
      </c>
      <c r="BX122" s="30" t="s">
        <v>497</v>
      </c>
      <c r="BY122" s="30" t="s">
        <v>497</v>
      </c>
      <c r="BZ122" s="30" t="s">
        <v>497</v>
      </c>
      <c r="CA122" s="30" t="s">
        <v>497</v>
      </c>
      <c r="CB122" s="30" t="s">
        <v>497</v>
      </c>
      <c r="CC122" s="30" t="s">
        <v>497</v>
      </c>
      <c r="CD122" s="30" t="s">
        <v>497</v>
      </c>
      <c r="CE122" s="30" t="s">
        <v>497</v>
      </c>
      <c r="CF122" s="30" t="s">
        <v>497</v>
      </c>
      <c r="CG122" s="30" t="s">
        <v>497</v>
      </c>
      <c r="CS122" s="108" t="str">
        <f t="shared" si="29"/>
        <v/>
      </c>
      <c r="CT122" s="109" t="str">
        <f t="shared" si="30"/>
        <v/>
      </c>
      <c r="CU122" s="109" t="str">
        <f t="shared" si="31"/>
        <v/>
      </c>
      <c r="CV122" s="110" t="str">
        <f t="shared" si="225"/>
        <v/>
      </c>
      <c r="CX122" s="108" t="str">
        <f t="shared" si="33"/>
        <v/>
      </c>
      <c r="CY122" s="109" t="str">
        <f t="shared" si="113"/>
        <v/>
      </c>
      <c r="CZ122" s="109" t="str">
        <f t="shared" si="34"/>
        <v/>
      </c>
      <c r="DA122" s="110" t="str">
        <f t="shared" si="226"/>
        <v/>
      </c>
      <c r="DC122" s="108" t="str">
        <f t="shared" si="114"/>
        <v/>
      </c>
      <c r="DD122" s="109" t="str">
        <f t="shared" si="115"/>
        <v/>
      </c>
      <c r="DE122" s="109" t="str">
        <f t="shared" si="36"/>
        <v/>
      </c>
      <c r="DF122" s="110" t="str">
        <f t="shared" si="227"/>
        <v/>
      </c>
      <c r="DH122" s="108" t="str">
        <f t="shared" si="38"/>
        <v/>
      </c>
      <c r="DI122" s="109" t="str">
        <f t="shared" si="39"/>
        <v/>
      </c>
      <c r="DJ122" s="109" t="str">
        <f t="shared" si="40"/>
        <v/>
      </c>
      <c r="DK122" s="110" t="str">
        <f t="shared" si="228"/>
        <v/>
      </c>
      <c r="DM122" s="108" t="str">
        <f t="shared" si="116"/>
        <v/>
      </c>
      <c r="DN122" s="109" t="str">
        <f t="shared" si="117"/>
        <v/>
      </c>
      <c r="DO122" s="109" t="str">
        <f t="shared" si="42"/>
        <v/>
      </c>
      <c r="DP122" s="110" t="str">
        <f t="shared" si="229"/>
        <v/>
      </c>
      <c r="DR122" s="108" t="str">
        <f t="shared" si="43"/>
        <v/>
      </c>
      <c r="DS122" s="109" t="str">
        <f t="shared" si="118"/>
        <v/>
      </c>
      <c r="DT122" s="109" t="str">
        <f t="shared" si="44"/>
        <v/>
      </c>
      <c r="DU122" s="110" t="str">
        <f t="shared" si="230"/>
        <v/>
      </c>
      <c r="DW122" s="108" t="str">
        <f t="shared" si="120"/>
        <v/>
      </c>
      <c r="DX122" s="109" t="str">
        <f t="shared" si="121"/>
        <v/>
      </c>
      <c r="DY122" s="109" t="str">
        <f t="shared" si="45"/>
        <v/>
      </c>
      <c r="DZ122" s="110" t="str">
        <f t="shared" si="231"/>
        <v/>
      </c>
      <c r="EB122" s="108" t="str">
        <f t="shared" si="46"/>
        <v/>
      </c>
      <c r="EC122" s="109" t="str">
        <f t="shared" si="122"/>
        <v/>
      </c>
      <c r="ED122" s="109" t="str">
        <f t="shared" si="47"/>
        <v/>
      </c>
      <c r="EE122" s="110" t="str">
        <f t="shared" si="232"/>
        <v/>
      </c>
      <c r="EG122" s="108" t="str">
        <f t="shared" si="124"/>
        <v/>
      </c>
      <c r="EH122" s="109" t="str">
        <f t="shared" si="125"/>
        <v/>
      </c>
      <c r="EI122" s="109" t="str">
        <f t="shared" si="48"/>
        <v/>
      </c>
      <c r="EJ122" s="110" t="str">
        <f t="shared" si="233"/>
        <v/>
      </c>
      <c r="EL122" s="108" t="str">
        <f t="shared" si="49"/>
        <v/>
      </c>
      <c r="EM122" s="109" t="str">
        <f t="shared" si="126"/>
        <v/>
      </c>
      <c r="EN122" s="109" t="str">
        <f t="shared" si="50"/>
        <v/>
      </c>
      <c r="EO122" s="110" t="str">
        <f t="shared" si="234"/>
        <v/>
      </c>
      <c r="EQ122" s="108" t="str">
        <f t="shared" si="128"/>
        <v/>
      </c>
      <c r="ER122" s="109" t="str">
        <f t="shared" si="129"/>
        <v/>
      </c>
      <c r="ES122" s="109" t="str">
        <f t="shared" si="51"/>
        <v/>
      </c>
      <c r="ET122" s="110" t="str">
        <f t="shared" si="235"/>
        <v/>
      </c>
      <c r="EV122" s="108" t="str">
        <f t="shared" si="52"/>
        <v/>
      </c>
      <c r="EW122" s="109" t="str">
        <f t="shared" si="130"/>
        <v/>
      </c>
      <c r="EX122" s="109" t="str">
        <f t="shared" si="53"/>
        <v/>
      </c>
      <c r="EY122" s="110" t="str">
        <f t="shared" si="236"/>
        <v/>
      </c>
      <c r="FA122" s="108" t="str">
        <f t="shared" si="132"/>
        <v/>
      </c>
      <c r="FB122" s="109" t="str">
        <f t="shared" si="133"/>
        <v/>
      </c>
      <c r="FC122" s="109" t="str">
        <f t="shared" si="54"/>
        <v/>
      </c>
      <c r="FD122" s="110" t="str">
        <f t="shared" si="237"/>
        <v/>
      </c>
      <c r="FF122" s="108" t="str">
        <f t="shared" si="55"/>
        <v/>
      </c>
      <c r="FG122" s="109" t="str">
        <f t="shared" si="134"/>
        <v/>
      </c>
      <c r="FH122" s="109" t="str">
        <f t="shared" si="56"/>
        <v/>
      </c>
      <c r="FI122" s="110" t="str">
        <f t="shared" si="238"/>
        <v/>
      </c>
      <c r="FK122" s="108" t="str">
        <f t="shared" si="136"/>
        <v/>
      </c>
      <c r="FL122" s="109" t="str">
        <f t="shared" si="137"/>
        <v/>
      </c>
      <c r="FM122" s="109" t="str">
        <f t="shared" si="57"/>
        <v/>
      </c>
      <c r="FN122" s="110" t="str">
        <f t="shared" si="239"/>
        <v/>
      </c>
      <c r="FP122" s="108" t="str">
        <f t="shared" si="58"/>
        <v/>
      </c>
      <c r="FQ122" s="109" t="str">
        <f t="shared" si="138"/>
        <v/>
      </c>
      <c r="FR122" s="109" t="str">
        <f t="shared" si="59"/>
        <v/>
      </c>
      <c r="FS122" s="110" t="str">
        <f t="shared" si="240"/>
        <v/>
      </c>
      <c r="FU122" s="108" t="str">
        <f t="shared" si="140"/>
        <v/>
      </c>
      <c r="FV122" s="109" t="str">
        <f t="shared" si="141"/>
        <v/>
      </c>
      <c r="FW122" s="109" t="str">
        <f t="shared" si="60"/>
        <v/>
      </c>
      <c r="FX122" s="110" t="str">
        <f t="shared" si="241"/>
        <v/>
      </c>
      <c r="FZ122" s="108" t="str">
        <f t="shared" si="61"/>
        <v/>
      </c>
      <c r="GA122" s="109" t="str">
        <f t="shared" si="142"/>
        <v/>
      </c>
      <c r="GB122" s="109" t="str">
        <f t="shared" si="62"/>
        <v/>
      </c>
      <c r="GC122" s="110" t="str">
        <f t="shared" si="242"/>
        <v/>
      </c>
      <c r="GE122" s="108" t="str">
        <f t="shared" si="144"/>
        <v/>
      </c>
      <c r="GF122" s="109" t="str">
        <f t="shared" si="145"/>
        <v/>
      </c>
      <c r="GG122" s="109" t="str">
        <f t="shared" si="146"/>
        <v/>
      </c>
      <c r="GH122" s="110" t="str">
        <f t="shared" si="243"/>
        <v/>
      </c>
      <c r="GL122" s="108" t="str">
        <f t="shared" si="63"/>
        <v/>
      </c>
      <c r="GM122" s="109" t="str">
        <f t="shared" si="64"/>
        <v/>
      </c>
      <c r="GN122" s="109" t="str">
        <f t="shared" si="65"/>
        <v/>
      </c>
      <c r="GO122" s="110" t="str">
        <f t="shared" si="66"/>
        <v/>
      </c>
      <c r="GP122" s="51"/>
      <c r="GQ122" s="108" t="str">
        <f t="shared" si="67"/>
        <v/>
      </c>
      <c r="GR122" s="109" t="str">
        <f t="shared" si="147"/>
        <v/>
      </c>
      <c r="GS122" s="109" t="str">
        <f t="shared" si="68"/>
        <v/>
      </c>
      <c r="GT122" s="110" t="str">
        <f t="shared" si="69"/>
        <v/>
      </c>
      <c r="GU122" s="51"/>
      <c r="GV122" s="108" t="str">
        <f t="shared" si="148"/>
        <v/>
      </c>
      <c r="GW122" s="109" t="str">
        <f t="shared" si="149"/>
        <v/>
      </c>
      <c r="GX122" s="109" t="str">
        <f t="shared" si="70"/>
        <v/>
      </c>
      <c r="GY122" s="110" t="str">
        <f t="shared" si="150"/>
        <v/>
      </c>
      <c r="GZ122" s="51"/>
      <c r="HA122" s="108" t="str">
        <f t="shared" si="71"/>
        <v/>
      </c>
      <c r="HB122" s="109" t="str">
        <f t="shared" si="151"/>
        <v/>
      </c>
      <c r="HC122" s="109" t="str">
        <f t="shared" si="72"/>
        <v/>
      </c>
      <c r="HD122" s="110" t="str">
        <f t="shared" si="193"/>
        <v/>
      </c>
      <c r="HE122" s="51"/>
      <c r="HF122" s="108" t="str">
        <f t="shared" si="152"/>
        <v/>
      </c>
      <c r="HG122" s="109" t="str">
        <f t="shared" si="153"/>
        <v/>
      </c>
      <c r="HH122" s="109" t="str">
        <f t="shared" si="73"/>
        <v/>
      </c>
      <c r="HI122" s="110" t="str">
        <f t="shared" si="154"/>
        <v/>
      </c>
      <c r="HJ122" s="51"/>
      <c r="HK122" s="108" t="str">
        <f t="shared" si="74"/>
        <v/>
      </c>
      <c r="HL122" s="109" t="str">
        <f t="shared" si="155"/>
        <v/>
      </c>
      <c r="HM122" s="109" t="str">
        <f t="shared" si="75"/>
        <v/>
      </c>
      <c r="HN122" s="110" t="str">
        <f t="shared" si="194"/>
        <v/>
      </c>
      <c r="HO122" s="51"/>
      <c r="HP122" s="108" t="str">
        <f t="shared" si="156"/>
        <v/>
      </c>
      <c r="HQ122" s="109" t="str">
        <f t="shared" si="157"/>
        <v/>
      </c>
      <c r="HR122" s="109" t="str">
        <f t="shared" si="76"/>
        <v/>
      </c>
      <c r="HS122" s="110" t="str">
        <f t="shared" si="158"/>
        <v/>
      </c>
      <c r="HT122" s="51"/>
      <c r="HU122" s="108" t="str">
        <f t="shared" si="77"/>
        <v/>
      </c>
      <c r="HV122" s="109" t="str">
        <f t="shared" si="159"/>
        <v/>
      </c>
      <c r="HW122" s="109" t="str">
        <f t="shared" si="78"/>
        <v/>
      </c>
      <c r="HX122" s="110" t="str">
        <f t="shared" si="195"/>
        <v/>
      </c>
      <c r="HY122" s="51"/>
      <c r="HZ122" s="108" t="str">
        <f t="shared" si="160"/>
        <v/>
      </c>
      <c r="IA122" s="109" t="str">
        <f t="shared" si="161"/>
        <v/>
      </c>
      <c r="IB122" s="109" t="str">
        <f t="shared" si="79"/>
        <v/>
      </c>
      <c r="IC122" s="110" t="str">
        <f t="shared" si="162"/>
        <v/>
      </c>
      <c r="ID122" s="51"/>
      <c r="IE122" s="108" t="str">
        <f t="shared" si="80"/>
        <v/>
      </c>
      <c r="IF122" s="109" t="str">
        <f t="shared" si="163"/>
        <v/>
      </c>
      <c r="IG122" s="109" t="str">
        <f t="shared" si="81"/>
        <v/>
      </c>
      <c r="IH122" s="110" t="str">
        <f t="shared" si="196"/>
        <v/>
      </c>
      <c r="II122" s="51"/>
      <c r="IJ122" s="108" t="str">
        <f t="shared" si="164"/>
        <v/>
      </c>
      <c r="IK122" s="109" t="str">
        <f t="shared" si="165"/>
        <v/>
      </c>
      <c r="IL122" s="109" t="str">
        <f t="shared" si="82"/>
        <v/>
      </c>
      <c r="IM122" s="110" t="str">
        <f t="shared" si="166"/>
        <v/>
      </c>
      <c r="IN122" s="51"/>
      <c r="IO122" s="108" t="str">
        <f t="shared" si="83"/>
        <v/>
      </c>
      <c r="IP122" s="109" t="str">
        <f t="shared" si="167"/>
        <v/>
      </c>
      <c r="IQ122" s="109" t="str">
        <f t="shared" si="84"/>
        <v/>
      </c>
      <c r="IR122" s="110" t="str">
        <f t="shared" si="197"/>
        <v/>
      </c>
      <c r="IS122" s="51"/>
      <c r="IT122" s="108" t="str">
        <f t="shared" si="168"/>
        <v/>
      </c>
      <c r="IU122" s="109" t="str">
        <f t="shared" si="169"/>
        <v/>
      </c>
      <c r="IV122" s="109" t="str">
        <f t="shared" si="85"/>
        <v/>
      </c>
      <c r="IW122" s="110" t="str">
        <f t="shared" si="170"/>
        <v/>
      </c>
      <c r="IX122" s="51"/>
      <c r="IY122" s="108" t="str">
        <f t="shared" si="86"/>
        <v/>
      </c>
      <c r="IZ122" s="109" t="str">
        <f t="shared" si="171"/>
        <v/>
      </c>
      <c r="JA122" s="109" t="str">
        <f t="shared" si="87"/>
        <v/>
      </c>
      <c r="JB122" s="110" t="str">
        <f t="shared" si="198"/>
        <v/>
      </c>
      <c r="JC122" s="51"/>
      <c r="JD122" s="108" t="str">
        <f t="shared" si="172"/>
        <v/>
      </c>
      <c r="JE122" s="109" t="str">
        <f t="shared" si="173"/>
        <v/>
      </c>
      <c r="JF122" s="109" t="str">
        <f t="shared" si="88"/>
        <v/>
      </c>
      <c r="JG122" s="110" t="str">
        <f t="shared" si="174"/>
        <v/>
      </c>
      <c r="JH122" s="51"/>
      <c r="JI122" s="108" t="str">
        <f t="shared" si="89"/>
        <v/>
      </c>
      <c r="JJ122" s="109" t="str">
        <f t="shared" si="175"/>
        <v/>
      </c>
      <c r="JK122" s="109" t="str">
        <f t="shared" si="90"/>
        <v/>
      </c>
      <c r="JL122" s="110" t="str">
        <f t="shared" si="199"/>
        <v/>
      </c>
      <c r="JM122" s="51"/>
      <c r="JN122" s="108" t="str">
        <f t="shared" si="176"/>
        <v/>
      </c>
      <c r="JO122" s="109" t="str">
        <f t="shared" si="177"/>
        <v/>
      </c>
      <c r="JP122" s="109" t="str">
        <f t="shared" si="91"/>
        <v/>
      </c>
      <c r="JQ122" s="110" t="str">
        <f t="shared" si="178"/>
        <v/>
      </c>
      <c r="JR122" s="51"/>
      <c r="JS122" s="108" t="str">
        <f t="shared" si="92"/>
        <v/>
      </c>
      <c r="JT122" s="109" t="str">
        <f t="shared" si="179"/>
        <v/>
      </c>
      <c r="JU122" s="109" t="str">
        <f t="shared" si="93"/>
        <v/>
      </c>
      <c r="JV122" s="110" t="str">
        <f t="shared" si="200"/>
        <v/>
      </c>
      <c r="JW122" s="51"/>
      <c r="JX122" s="108" t="str">
        <f t="shared" si="180"/>
        <v/>
      </c>
      <c r="JY122" s="109" t="str">
        <f t="shared" si="181"/>
        <v/>
      </c>
      <c r="JZ122" s="109" t="str">
        <f t="shared" si="94"/>
        <v/>
      </c>
      <c r="KA122" s="110" t="str">
        <f t="shared" si="95"/>
        <v/>
      </c>
    </row>
    <row r="123" spans="1:287" ht="12" customHeight="1">
      <c r="A123" s="105">
        <f t="array" ref="A123">MAX(IF($J$80:J122&gt;0,$C$80:C122,0))</f>
        <v>43536</v>
      </c>
      <c r="B123" s="81" t="str">
        <f t="shared" si="4"/>
        <v/>
      </c>
      <c r="C123" s="82">
        <f t="shared" si="182"/>
        <v>0</v>
      </c>
      <c r="D123" s="83" t="str">
        <f t="shared" si="5"/>
        <v/>
      </c>
      <c r="E123" s="83" t="str">
        <f t="shared" si="96"/>
        <v/>
      </c>
      <c r="F123" s="83" t="str">
        <f t="shared" si="6"/>
        <v/>
      </c>
      <c r="G123" s="83" t="str">
        <f t="shared" si="7"/>
        <v/>
      </c>
      <c r="H123" s="83" t="str">
        <f t="shared" si="8"/>
        <v/>
      </c>
      <c r="I123" s="105">
        <f t="array" ref="I123">MAX(IF($R$80:R122&gt;0,$L$80:L122,0))</f>
        <v>0</v>
      </c>
      <c r="J123" s="106"/>
      <c r="K123" s="2" t="str">
        <f t="shared" si="9"/>
        <v/>
      </c>
      <c r="L123" s="82">
        <f t="shared" si="183"/>
        <v>0</v>
      </c>
      <c r="M123" s="83" t="str">
        <f t="shared" si="97"/>
        <v/>
      </c>
      <c r="N123" s="83" t="str">
        <f t="shared" si="10"/>
        <v/>
      </c>
      <c r="O123" s="83" t="str">
        <f t="shared" si="11"/>
        <v/>
      </c>
      <c r="P123" s="83" t="str">
        <f t="shared" si="12"/>
        <v/>
      </c>
      <c r="Q123" s="83" t="str">
        <f t="shared" si="13"/>
        <v/>
      </c>
      <c r="R123" s="106"/>
      <c r="S123" s="1"/>
      <c r="U123" s="85" t="e">
        <f t="shared" si="0"/>
        <v>#NUM!</v>
      </c>
      <c r="V123" s="86" t="e">
        <f t="shared" si="98"/>
        <v>#NUM!</v>
      </c>
      <c r="W123" s="87" t="e">
        <f t="shared" si="14"/>
        <v>#NUM!</v>
      </c>
      <c r="X123" s="87" t="e">
        <f t="shared" si="15"/>
        <v>#NUM!</v>
      </c>
      <c r="Y123" s="87" t="e">
        <f t="shared" si="16"/>
        <v>#NUM!</v>
      </c>
      <c r="Z123" s="88" t="e">
        <f t="shared" si="1"/>
        <v>#NUM!</v>
      </c>
      <c r="AA123" t="s">
        <v>282</v>
      </c>
      <c r="AB123" s="89">
        <f t="shared" si="99"/>
        <v>0</v>
      </c>
      <c r="AC123" s="87">
        <f t="shared" si="100"/>
        <v>0</v>
      </c>
      <c r="AD123" s="87" t="str">
        <f t="shared" si="17"/>
        <v/>
      </c>
      <c r="AE123" s="87" t="str">
        <f t="shared" si="18"/>
        <v/>
      </c>
      <c r="AF123" s="86">
        <f t="shared" si="101"/>
        <v>0</v>
      </c>
      <c r="AG123" s="87">
        <f t="shared" si="2"/>
        <v>0</v>
      </c>
      <c r="AH123" s="87">
        <f t="shared" si="102"/>
        <v>0</v>
      </c>
      <c r="AI123" s="90"/>
      <c r="AJ123" s="87" t="e">
        <f t="shared" si="19"/>
        <v>#NUM!</v>
      </c>
      <c r="AK123" s="87" t="e">
        <f t="shared" si="103"/>
        <v>#NUM!</v>
      </c>
      <c r="AL123" s="87" t="e">
        <f t="shared" si="104"/>
        <v>#NUM!</v>
      </c>
      <c r="AM123" s="87" t="e">
        <f t="shared" si="105"/>
        <v>#NUM!</v>
      </c>
      <c r="AN123" s="86">
        <f t="shared" si="20"/>
        <v>0</v>
      </c>
      <c r="AO123" s="87">
        <f t="shared" si="21"/>
        <v>0</v>
      </c>
      <c r="AP123" s="88">
        <f t="shared" si="22"/>
        <v>0</v>
      </c>
      <c r="AR123" s="89">
        <f t="shared" si="23"/>
        <v>0</v>
      </c>
      <c r="AS123" s="87">
        <f t="shared" si="24"/>
        <v>0</v>
      </c>
      <c r="AT123" s="87" t="str">
        <f t="shared" si="25"/>
        <v/>
      </c>
      <c r="AU123" s="87" t="str">
        <f t="shared" si="26"/>
        <v/>
      </c>
      <c r="AV123" s="86">
        <f t="shared" si="106"/>
        <v>0</v>
      </c>
      <c r="AW123" s="87">
        <f t="shared" si="107"/>
        <v>0</v>
      </c>
      <c r="AX123" s="87">
        <f t="shared" si="108"/>
        <v>0</v>
      </c>
      <c r="AY123" s="93"/>
      <c r="AZ123" s="87">
        <f t="shared" si="201"/>
        <v>0</v>
      </c>
      <c r="BA123" s="87">
        <f t="shared" si="109"/>
        <v>0</v>
      </c>
      <c r="BB123" s="87">
        <f t="shared" si="110"/>
        <v>0</v>
      </c>
      <c r="BC123" s="87">
        <f t="shared" si="184"/>
        <v>0</v>
      </c>
      <c r="BD123" s="86" t="e">
        <f t="shared" si="27"/>
        <v>#NUM!</v>
      </c>
      <c r="BE123" s="87" t="e">
        <f t="shared" si="3"/>
        <v>#NUM!</v>
      </c>
      <c r="BF123" s="88">
        <f t="shared" si="111"/>
        <v>0</v>
      </c>
      <c r="BH123" s="87" t="e">
        <f t="shared" si="28"/>
        <v>#NUM!</v>
      </c>
      <c r="BK123" s="95">
        <v>40505</v>
      </c>
      <c r="BL123" s="96">
        <v>44</v>
      </c>
      <c r="BT123" s="51"/>
      <c r="BU123" s="51"/>
      <c r="BV123" s="30"/>
      <c r="BW123" s="30"/>
      <c r="BX123" s="30"/>
      <c r="BY123" s="107"/>
      <c r="BZ123" s="107"/>
      <c r="CA123" s="107"/>
      <c r="CB123" s="107"/>
      <c r="CC123" s="107"/>
      <c r="CD123" s="107"/>
      <c r="CE123" s="30"/>
      <c r="CF123" s="107"/>
      <c r="CG123" s="107"/>
      <c r="CS123" s="108" t="str">
        <f t="shared" si="29"/>
        <v/>
      </c>
      <c r="CT123" s="109" t="str">
        <f t="shared" si="30"/>
        <v/>
      </c>
      <c r="CU123" s="109" t="str">
        <f t="shared" si="31"/>
        <v/>
      </c>
      <c r="CV123" s="110" t="str">
        <f t="shared" si="225"/>
        <v/>
      </c>
      <c r="CX123" s="108" t="str">
        <f t="shared" si="33"/>
        <v/>
      </c>
      <c r="CY123" s="109" t="str">
        <f t="shared" si="113"/>
        <v/>
      </c>
      <c r="CZ123" s="109" t="str">
        <f t="shared" si="34"/>
        <v/>
      </c>
      <c r="DA123" s="110" t="str">
        <f t="shared" si="226"/>
        <v/>
      </c>
      <c r="DC123" s="108" t="str">
        <f t="shared" si="114"/>
        <v/>
      </c>
      <c r="DD123" s="109" t="str">
        <f t="shared" si="115"/>
        <v/>
      </c>
      <c r="DE123" s="109" t="str">
        <f t="shared" si="36"/>
        <v/>
      </c>
      <c r="DF123" s="110" t="str">
        <f t="shared" si="227"/>
        <v/>
      </c>
      <c r="DH123" s="108" t="str">
        <f t="shared" si="38"/>
        <v/>
      </c>
      <c r="DI123" s="109" t="str">
        <f t="shared" si="39"/>
        <v/>
      </c>
      <c r="DJ123" s="109" t="str">
        <f t="shared" si="40"/>
        <v/>
      </c>
      <c r="DK123" s="110" t="str">
        <f t="shared" si="228"/>
        <v/>
      </c>
      <c r="DM123" s="108" t="str">
        <f t="shared" si="116"/>
        <v/>
      </c>
      <c r="DN123" s="109" t="str">
        <f t="shared" si="117"/>
        <v/>
      </c>
      <c r="DO123" s="109" t="str">
        <f t="shared" si="42"/>
        <v/>
      </c>
      <c r="DP123" s="110" t="str">
        <f t="shared" si="229"/>
        <v/>
      </c>
      <c r="DR123" s="108" t="str">
        <f t="shared" si="43"/>
        <v/>
      </c>
      <c r="DS123" s="109" t="str">
        <f t="shared" si="118"/>
        <v/>
      </c>
      <c r="DT123" s="109" t="str">
        <f t="shared" si="44"/>
        <v/>
      </c>
      <c r="DU123" s="110" t="str">
        <f t="shared" si="230"/>
        <v/>
      </c>
      <c r="DW123" s="108" t="str">
        <f t="shared" si="120"/>
        <v/>
      </c>
      <c r="DX123" s="109" t="str">
        <f t="shared" si="121"/>
        <v/>
      </c>
      <c r="DY123" s="109" t="str">
        <f t="shared" si="45"/>
        <v/>
      </c>
      <c r="DZ123" s="110" t="str">
        <f t="shared" si="231"/>
        <v/>
      </c>
      <c r="EB123" s="108" t="str">
        <f t="shared" si="46"/>
        <v/>
      </c>
      <c r="EC123" s="109" t="str">
        <f t="shared" si="122"/>
        <v/>
      </c>
      <c r="ED123" s="109" t="str">
        <f t="shared" si="47"/>
        <v/>
      </c>
      <c r="EE123" s="110" t="str">
        <f t="shared" si="232"/>
        <v/>
      </c>
      <c r="EG123" s="108" t="str">
        <f t="shared" si="124"/>
        <v/>
      </c>
      <c r="EH123" s="109" t="str">
        <f t="shared" si="125"/>
        <v/>
      </c>
      <c r="EI123" s="109" t="str">
        <f t="shared" si="48"/>
        <v/>
      </c>
      <c r="EJ123" s="110" t="str">
        <f t="shared" si="233"/>
        <v/>
      </c>
      <c r="EL123" s="108" t="str">
        <f t="shared" si="49"/>
        <v/>
      </c>
      <c r="EM123" s="109" t="str">
        <f t="shared" si="126"/>
        <v/>
      </c>
      <c r="EN123" s="109" t="str">
        <f t="shared" si="50"/>
        <v/>
      </c>
      <c r="EO123" s="110" t="str">
        <f t="shared" si="234"/>
        <v/>
      </c>
      <c r="EQ123" s="108" t="str">
        <f t="shared" si="128"/>
        <v/>
      </c>
      <c r="ER123" s="109" t="str">
        <f t="shared" si="129"/>
        <v/>
      </c>
      <c r="ES123" s="109" t="str">
        <f t="shared" si="51"/>
        <v/>
      </c>
      <c r="ET123" s="110" t="str">
        <f t="shared" si="235"/>
        <v/>
      </c>
      <c r="EV123" s="108" t="str">
        <f t="shared" si="52"/>
        <v/>
      </c>
      <c r="EW123" s="109" t="str">
        <f t="shared" si="130"/>
        <v/>
      </c>
      <c r="EX123" s="109" t="str">
        <f t="shared" si="53"/>
        <v/>
      </c>
      <c r="EY123" s="110" t="str">
        <f t="shared" si="236"/>
        <v/>
      </c>
      <c r="FA123" s="108" t="str">
        <f t="shared" si="132"/>
        <v/>
      </c>
      <c r="FB123" s="109" t="str">
        <f t="shared" si="133"/>
        <v/>
      </c>
      <c r="FC123" s="109" t="str">
        <f t="shared" si="54"/>
        <v/>
      </c>
      <c r="FD123" s="110" t="str">
        <f t="shared" si="237"/>
        <v/>
      </c>
      <c r="FF123" s="108" t="str">
        <f t="shared" si="55"/>
        <v/>
      </c>
      <c r="FG123" s="109" t="str">
        <f t="shared" si="134"/>
        <v/>
      </c>
      <c r="FH123" s="109" t="str">
        <f t="shared" si="56"/>
        <v/>
      </c>
      <c r="FI123" s="110" t="str">
        <f t="shared" si="238"/>
        <v/>
      </c>
      <c r="FK123" s="108" t="str">
        <f t="shared" si="136"/>
        <v/>
      </c>
      <c r="FL123" s="109" t="str">
        <f t="shared" si="137"/>
        <v/>
      </c>
      <c r="FM123" s="109" t="str">
        <f t="shared" si="57"/>
        <v/>
      </c>
      <c r="FN123" s="110" t="str">
        <f t="shared" si="239"/>
        <v/>
      </c>
      <c r="FP123" s="108" t="str">
        <f t="shared" si="58"/>
        <v/>
      </c>
      <c r="FQ123" s="109" t="str">
        <f t="shared" si="138"/>
        <v/>
      </c>
      <c r="FR123" s="109" t="str">
        <f t="shared" si="59"/>
        <v/>
      </c>
      <c r="FS123" s="110" t="str">
        <f t="shared" si="240"/>
        <v/>
      </c>
      <c r="FU123" s="108" t="str">
        <f t="shared" si="140"/>
        <v/>
      </c>
      <c r="FV123" s="109" t="str">
        <f t="shared" si="141"/>
        <v/>
      </c>
      <c r="FW123" s="109" t="str">
        <f t="shared" si="60"/>
        <v/>
      </c>
      <c r="FX123" s="110" t="str">
        <f t="shared" si="241"/>
        <v/>
      </c>
      <c r="FZ123" s="108" t="str">
        <f t="shared" si="61"/>
        <v/>
      </c>
      <c r="GA123" s="109" t="str">
        <f t="shared" si="142"/>
        <v/>
      </c>
      <c r="GB123" s="109" t="str">
        <f t="shared" si="62"/>
        <v/>
      </c>
      <c r="GC123" s="110" t="str">
        <f t="shared" si="242"/>
        <v/>
      </c>
      <c r="GE123" s="108" t="str">
        <f t="shared" si="144"/>
        <v/>
      </c>
      <c r="GF123" s="109" t="str">
        <f t="shared" si="145"/>
        <v/>
      </c>
      <c r="GG123" s="109" t="str">
        <f t="shared" si="146"/>
        <v/>
      </c>
      <c r="GH123" s="110" t="str">
        <f t="shared" si="243"/>
        <v/>
      </c>
      <c r="GL123" s="108" t="str">
        <f t="shared" si="63"/>
        <v/>
      </c>
      <c r="GM123" s="109" t="str">
        <f t="shared" si="64"/>
        <v/>
      </c>
      <c r="GN123" s="109" t="str">
        <f t="shared" si="65"/>
        <v/>
      </c>
      <c r="GO123" s="110" t="str">
        <f t="shared" si="66"/>
        <v/>
      </c>
      <c r="GP123" s="51"/>
      <c r="GQ123" s="108" t="str">
        <f t="shared" si="67"/>
        <v/>
      </c>
      <c r="GR123" s="109" t="str">
        <f t="shared" si="147"/>
        <v/>
      </c>
      <c r="GS123" s="109" t="str">
        <f t="shared" si="68"/>
        <v/>
      </c>
      <c r="GT123" s="110" t="str">
        <f t="shared" si="69"/>
        <v/>
      </c>
      <c r="GU123" s="51"/>
      <c r="GV123" s="108" t="str">
        <f t="shared" si="148"/>
        <v/>
      </c>
      <c r="GW123" s="109" t="str">
        <f t="shared" si="149"/>
        <v/>
      </c>
      <c r="GX123" s="109" t="str">
        <f t="shared" si="70"/>
        <v/>
      </c>
      <c r="GY123" s="110" t="str">
        <f t="shared" si="150"/>
        <v/>
      </c>
      <c r="GZ123" s="51"/>
      <c r="HA123" s="108" t="str">
        <f t="shared" si="71"/>
        <v/>
      </c>
      <c r="HB123" s="109" t="str">
        <f t="shared" si="151"/>
        <v/>
      </c>
      <c r="HC123" s="109" t="str">
        <f t="shared" si="72"/>
        <v/>
      </c>
      <c r="HD123" s="110" t="str">
        <f t="shared" si="193"/>
        <v/>
      </c>
      <c r="HE123" s="51"/>
      <c r="HF123" s="108" t="str">
        <f t="shared" si="152"/>
        <v/>
      </c>
      <c r="HG123" s="109" t="str">
        <f t="shared" si="153"/>
        <v/>
      </c>
      <c r="HH123" s="109" t="str">
        <f t="shared" si="73"/>
        <v/>
      </c>
      <c r="HI123" s="110" t="str">
        <f t="shared" si="154"/>
        <v/>
      </c>
      <c r="HJ123" s="51"/>
      <c r="HK123" s="108" t="str">
        <f t="shared" si="74"/>
        <v/>
      </c>
      <c r="HL123" s="109" t="str">
        <f t="shared" si="155"/>
        <v/>
      </c>
      <c r="HM123" s="109" t="str">
        <f t="shared" si="75"/>
        <v/>
      </c>
      <c r="HN123" s="110" t="str">
        <f t="shared" si="194"/>
        <v/>
      </c>
      <c r="HO123" s="51"/>
      <c r="HP123" s="108" t="str">
        <f t="shared" si="156"/>
        <v/>
      </c>
      <c r="HQ123" s="109" t="str">
        <f t="shared" si="157"/>
        <v/>
      </c>
      <c r="HR123" s="109" t="str">
        <f t="shared" si="76"/>
        <v/>
      </c>
      <c r="HS123" s="110" t="str">
        <f t="shared" si="158"/>
        <v/>
      </c>
      <c r="HT123" s="51"/>
      <c r="HU123" s="108" t="str">
        <f t="shared" si="77"/>
        <v/>
      </c>
      <c r="HV123" s="109" t="str">
        <f t="shared" si="159"/>
        <v/>
      </c>
      <c r="HW123" s="109" t="str">
        <f t="shared" si="78"/>
        <v/>
      </c>
      <c r="HX123" s="110" t="str">
        <f t="shared" si="195"/>
        <v/>
      </c>
      <c r="HY123" s="51"/>
      <c r="HZ123" s="108" t="str">
        <f t="shared" si="160"/>
        <v/>
      </c>
      <c r="IA123" s="109" t="str">
        <f t="shared" si="161"/>
        <v/>
      </c>
      <c r="IB123" s="109" t="str">
        <f t="shared" si="79"/>
        <v/>
      </c>
      <c r="IC123" s="110" t="str">
        <f t="shared" si="162"/>
        <v/>
      </c>
      <c r="ID123" s="51"/>
      <c r="IE123" s="108" t="str">
        <f t="shared" si="80"/>
        <v/>
      </c>
      <c r="IF123" s="109" t="str">
        <f t="shared" si="163"/>
        <v/>
      </c>
      <c r="IG123" s="109" t="str">
        <f t="shared" si="81"/>
        <v/>
      </c>
      <c r="IH123" s="110" t="str">
        <f t="shared" si="196"/>
        <v/>
      </c>
      <c r="II123" s="51"/>
      <c r="IJ123" s="108" t="str">
        <f t="shared" si="164"/>
        <v/>
      </c>
      <c r="IK123" s="109" t="str">
        <f t="shared" si="165"/>
        <v/>
      </c>
      <c r="IL123" s="109" t="str">
        <f t="shared" si="82"/>
        <v/>
      </c>
      <c r="IM123" s="110" t="str">
        <f t="shared" si="166"/>
        <v/>
      </c>
      <c r="IN123" s="51"/>
      <c r="IO123" s="108" t="str">
        <f t="shared" si="83"/>
        <v/>
      </c>
      <c r="IP123" s="109" t="str">
        <f t="shared" si="167"/>
        <v/>
      </c>
      <c r="IQ123" s="109" t="str">
        <f t="shared" si="84"/>
        <v/>
      </c>
      <c r="IR123" s="110" t="str">
        <f t="shared" si="197"/>
        <v/>
      </c>
      <c r="IS123" s="51"/>
      <c r="IT123" s="108" t="str">
        <f t="shared" si="168"/>
        <v/>
      </c>
      <c r="IU123" s="109" t="str">
        <f t="shared" si="169"/>
        <v/>
      </c>
      <c r="IV123" s="109" t="str">
        <f t="shared" si="85"/>
        <v/>
      </c>
      <c r="IW123" s="110" t="str">
        <f t="shared" si="170"/>
        <v/>
      </c>
      <c r="IX123" s="51"/>
      <c r="IY123" s="108" t="str">
        <f t="shared" si="86"/>
        <v/>
      </c>
      <c r="IZ123" s="109" t="str">
        <f t="shared" si="171"/>
        <v/>
      </c>
      <c r="JA123" s="109" t="str">
        <f t="shared" si="87"/>
        <v/>
      </c>
      <c r="JB123" s="110" t="str">
        <f t="shared" si="198"/>
        <v/>
      </c>
      <c r="JC123" s="51"/>
      <c r="JD123" s="108" t="str">
        <f t="shared" si="172"/>
        <v/>
      </c>
      <c r="JE123" s="109" t="str">
        <f t="shared" si="173"/>
        <v/>
      </c>
      <c r="JF123" s="109" t="str">
        <f t="shared" si="88"/>
        <v/>
      </c>
      <c r="JG123" s="110" t="str">
        <f t="shared" si="174"/>
        <v/>
      </c>
      <c r="JH123" s="51"/>
      <c r="JI123" s="108" t="str">
        <f t="shared" si="89"/>
        <v/>
      </c>
      <c r="JJ123" s="109" t="str">
        <f t="shared" si="175"/>
        <v/>
      </c>
      <c r="JK123" s="109" t="str">
        <f t="shared" si="90"/>
        <v/>
      </c>
      <c r="JL123" s="110" t="str">
        <f t="shared" si="199"/>
        <v/>
      </c>
      <c r="JM123" s="51"/>
      <c r="JN123" s="108" t="str">
        <f t="shared" si="176"/>
        <v/>
      </c>
      <c r="JO123" s="109" t="str">
        <f t="shared" si="177"/>
        <v/>
      </c>
      <c r="JP123" s="109" t="str">
        <f t="shared" si="91"/>
        <v/>
      </c>
      <c r="JQ123" s="110" t="str">
        <f t="shared" si="178"/>
        <v/>
      </c>
      <c r="JR123" s="51"/>
      <c r="JS123" s="108" t="str">
        <f t="shared" si="92"/>
        <v/>
      </c>
      <c r="JT123" s="109" t="str">
        <f t="shared" si="179"/>
        <v/>
      </c>
      <c r="JU123" s="109" t="str">
        <f t="shared" si="93"/>
        <v/>
      </c>
      <c r="JV123" s="110" t="str">
        <f t="shared" si="200"/>
        <v/>
      </c>
      <c r="JW123" s="51"/>
      <c r="JX123" s="108" t="str">
        <f t="shared" si="180"/>
        <v/>
      </c>
      <c r="JY123" s="109" t="str">
        <f t="shared" si="181"/>
        <v/>
      </c>
      <c r="JZ123" s="109" t="str">
        <f t="shared" si="94"/>
        <v/>
      </c>
      <c r="KA123" s="110" t="str">
        <f t="shared" si="95"/>
        <v/>
      </c>
    </row>
    <row r="124" spans="1:287" ht="12" customHeight="1">
      <c r="A124" s="105">
        <f t="array" ref="A124">MAX(IF($J$80:J123&gt;0,$C$80:C123,0))</f>
        <v>43536</v>
      </c>
      <c r="B124" s="81" t="str">
        <f t="shared" si="4"/>
        <v/>
      </c>
      <c r="C124" s="82">
        <f t="shared" si="182"/>
        <v>0</v>
      </c>
      <c r="D124" s="83" t="str">
        <f t="shared" si="5"/>
        <v/>
      </c>
      <c r="E124" s="83" t="str">
        <f t="shared" si="96"/>
        <v/>
      </c>
      <c r="F124" s="83" t="str">
        <f t="shared" si="6"/>
        <v/>
      </c>
      <c r="G124" s="83" t="str">
        <f t="shared" si="7"/>
        <v/>
      </c>
      <c r="H124" s="83" t="str">
        <f t="shared" si="8"/>
        <v/>
      </c>
      <c r="I124" s="105">
        <f t="array" ref="I124">MAX(IF($R$80:R123&gt;0,$L$80:L123,0))</f>
        <v>0</v>
      </c>
      <c r="J124" s="106"/>
      <c r="K124" s="2" t="str">
        <f t="shared" si="9"/>
        <v/>
      </c>
      <c r="L124" s="82">
        <f t="shared" si="183"/>
        <v>0</v>
      </c>
      <c r="M124" s="83" t="str">
        <f t="shared" si="97"/>
        <v/>
      </c>
      <c r="N124" s="83" t="str">
        <f t="shared" si="10"/>
        <v/>
      </c>
      <c r="O124" s="83" t="str">
        <f t="shared" si="11"/>
        <v/>
      </c>
      <c r="P124" s="83" t="str">
        <f t="shared" si="12"/>
        <v/>
      </c>
      <c r="Q124" s="83" t="str">
        <f t="shared" si="13"/>
        <v/>
      </c>
      <c r="R124" s="106"/>
      <c r="S124" s="1"/>
      <c r="U124" s="85" t="e">
        <f t="shared" si="0"/>
        <v>#NUM!</v>
      </c>
      <c r="V124" s="86" t="e">
        <f t="shared" si="98"/>
        <v>#NUM!</v>
      </c>
      <c r="W124" s="87" t="e">
        <f t="shared" si="14"/>
        <v>#NUM!</v>
      </c>
      <c r="X124" s="87" t="e">
        <f t="shared" si="15"/>
        <v>#NUM!</v>
      </c>
      <c r="Y124" s="87" t="e">
        <f t="shared" si="16"/>
        <v>#NUM!</v>
      </c>
      <c r="Z124" s="88" t="e">
        <f t="shared" si="1"/>
        <v>#NUM!</v>
      </c>
      <c r="AA124" t="s">
        <v>282</v>
      </c>
      <c r="AB124" s="89">
        <f t="shared" si="99"/>
        <v>0</v>
      </c>
      <c r="AC124" s="87">
        <f t="shared" si="100"/>
        <v>0</v>
      </c>
      <c r="AD124" s="87" t="str">
        <f t="shared" si="17"/>
        <v/>
      </c>
      <c r="AE124" s="87" t="str">
        <f t="shared" si="18"/>
        <v/>
      </c>
      <c r="AF124" s="86">
        <f t="shared" si="101"/>
        <v>0</v>
      </c>
      <c r="AG124" s="87">
        <f t="shared" si="2"/>
        <v>0</v>
      </c>
      <c r="AH124" s="87">
        <f t="shared" si="102"/>
        <v>0</v>
      </c>
      <c r="AI124" s="90"/>
      <c r="AJ124" s="87" t="e">
        <f t="shared" si="19"/>
        <v>#NUM!</v>
      </c>
      <c r="AK124" s="87" t="e">
        <f t="shared" si="103"/>
        <v>#NUM!</v>
      </c>
      <c r="AL124" s="87" t="e">
        <f t="shared" si="104"/>
        <v>#NUM!</v>
      </c>
      <c r="AM124" s="87" t="e">
        <f t="shared" si="105"/>
        <v>#NUM!</v>
      </c>
      <c r="AN124" s="86">
        <f t="shared" si="20"/>
        <v>0</v>
      </c>
      <c r="AO124" s="87">
        <f t="shared" si="21"/>
        <v>0</v>
      </c>
      <c r="AP124" s="88">
        <f t="shared" si="22"/>
        <v>0</v>
      </c>
      <c r="AR124" s="89">
        <f t="shared" si="23"/>
        <v>0</v>
      </c>
      <c r="AS124" s="87">
        <f t="shared" si="24"/>
        <v>0</v>
      </c>
      <c r="AT124" s="87" t="str">
        <f t="shared" si="25"/>
        <v/>
      </c>
      <c r="AU124" s="87" t="str">
        <f t="shared" si="26"/>
        <v/>
      </c>
      <c r="AV124" s="86">
        <f t="shared" si="106"/>
        <v>0</v>
      </c>
      <c r="AW124" s="87">
        <f t="shared" si="107"/>
        <v>0</v>
      </c>
      <c r="AX124" s="87">
        <f t="shared" si="108"/>
        <v>0</v>
      </c>
      <c r="AY124" s="93"/>
      <c r="AZ124" s="87">
        <f t="shared" si="201"/>
        <v>0</v>
      </c>
      <c r="BA124" s="87">
        <f t="shared" si="109"/>
        <v>0</v>
      </c>
      <c r="BB124" s="87">
        <f t="shared" si="110"/>
        <v>0</v>
      </c>
      <c r="BC124" s="87">
        <f t="shared" si="184"/>
        <v>0</v>
      </c>
      <c r="BD124" s="86" t="e">
        <f t="shared" si="27"/>
        <v>#NUM!</v>
      </c>
      <c r="BE124" s="87" t="e">
        <f t="shared" si="3"/>
        <v>#NUM!</v>
      </c>
      <c r="BF124" s="88">
        <f t="shared" si="111"/>
        <v>0</v>
      </c>
      <c r="BH124" s="87" t="e">
        <f t="shared" si="28"/>
        <v>#NUM!</v>
      </c>
      <c r="BK124" s="95">
        <v>40544</v>
      </c>
      <c r="BL124" s="96">
        <v>45</v>
      </c>
      <c r="BT124" t="s">
        <v>183</v>
      </c>
      <c r="BX124" s="107"/>
      <c r="BY124" s="30"/>
      <c r="BZ124" s="30"/>
      <c r="CA124" s="30"/>
      <c r="CB124" s="30"/>
      <c r="CC124" s="30"/>
      <c r="CD124" s="30"/>
      <c r="CE124" s="30"/>
      <c r="CF124" s="30"/>
      <c r="CG124" s="30"/>
      <c r="CS124" s="108" t="str">
        <f t="shared" si="29"/>
        <v/>
      </c>
      <c r="CT124" s="109" t="str">
        <f t="shared" si="30"/>
        <v/>
      </c>
      <c r="CU124" s="109" t="str">
        <f t="shared" si="31"/>
        <v/>
      </c>
      <c r="CV124" s="110" t="str">
        <f t="shared" si="225"/>
        <v/>
      </c>
      <c r="CX124" s="108" t="str">
        <f t="shared" si="33"/>
        <v/>
      </c>
      <c r="CY124" s="109" t="str">
        <f t="shared" si="113"/>
        <v/>
      </c>
      <c r="CZ124" s="109" t="str">
        <f t="shared" si="34"/>
        <v/>
      </c>
      <c r="DA124" s="110" t="str">
        <f t="shared" si="226"/>
        <v/>
      </c>
      <c r="DC124" s="108" t="str">
        <f t="shared" si="114"/>
        <v/>
      </c>
      <c r="DD124" s="109" t="str">
        <f t="shared" si="115"/>
        <v/>
      </c>
      <c r="DE124" s="109" t="str">
        <f t="shared" si="36"/>
        <v/>
      </c>
      <c r="DF124" s="110" t="str">
        <f t="shared" si="227"/>
        <v/>
      </c>
      <c r="DH124" s="108" t="str">
        <f t="shared" si="38"/>
        <v/>
      </c>
      <c r="DI124" s="109" t="str">
        <f t="shared" si="39"/>
        <v/>
      </c>
      <c r="DJ124" s="109" t="str">
        <f t="shared" si="40"/>
        <v/>
      </c>
      <c r="DK124" s="110" t="str">
        <f t="shared" si="228"/>
        <v/>
      </c>
      <c r="DM124" s="108" t="str">
        <f t="shared" si="116"/>
        <v/>
      </c>
      <c r="DN124" s="109" t="str">
        <f t="shared" si="117"/>
        <v/>
      </c>
      <c r="DO124" s="109" t="str">
        <f t="shared" si="42"/>
        <v/>
      </c>
      <c r="DP124" s="110" t="str">
        <f t="shared" si="229"/>
        <v/>
      </c>
      <c r="DR124" s="108" t="str">
        <f t="shared" si="43"/>
        <v/>
      </c>
      <c r="DS124" s="109" t="str">
        <f t="shared" si="118"/>
        <v/>
      </c>
      <c r="DT124" s="109" t="str">
        <f t="shared" si="44"/>
        <v/>
      </c>
      <c r="DU124" s="110" t="str">
        <f t="shared" si="230"/>
        <v/>
      </c>
      <c r="DW124" s="108" t="str">
        <f t="shared" si="120"/>
        <v/>
      </c>
      <c r="DX124" s="109" t="str">
        <f t="shared" si="121"/>
        <v/>
      </c>
      <c r="DY124" s="109" t="str">
        <f t="shared" si="45"/>
        <v/>
      </c>
      <c r="DZ124" s="110" t="str">
        <f t="shared" si="231"/>
        <v/>
      </c>
      <c r="EB124" s="108" t="str">
        <f t="shared" si="46"/>
        <v/>
      </c>
      <c r="EC124" s="109" t="str">
        <f t="shared" si="122"/>
        <v/>
      </c>
      <c r="ED124" s="109" t="str">
        <f t="shared" si="47"/>
        <v/>
      </c>
      <c r="EE124" s="110" t="str">
        <f t="shared" si="232"/>
        <v/>
      </c>
      <c r="EG124" s="108" t="str">
        <f t="shared" si="124"/>
        <v/>
      </c>
      <c r="EH124" s="109" t="str">
        <f t="shared" si="125"/>
        <v/>
      </c>
      <c r="EI124" s="109" t="str">
        <f t="shared" si="48"/>
        <v/>
      </c>
      <c r="EJ124" s="110" t="str">
        <f t="shared" si="233"/>
        <v/>
      </c>
      <c r="EL124" s="108" t="str">
        <f t="shared" si="49"/>
        <v/>
      </c>
      <c r="EM124" s="109" t="str">
        <f t="shared" si="126"/>
        <v/>
      </c>
      <c r="EN124" s="109" t="str">
        <f t="shared" si="50"/>
        <v/>
      </c>
      <c r="EO124" s="110" t="str">
        <f t="shared" si="234"/>
        <v/>
      </c>
      <c r="EQ124" s="108" t="str">
        <f t="shared" si="128"/>
        <v/>
      </c>
      <c r="ER124" s="109" t="str">
        <f t="shared" si="129"/>
        <v/>
      </c>
      <c r="ES124" s="109" t="str">
        <f t="shared" si="51"/>
        <v/>
      </c>
      <c r="ET124" s="110" t="str">
        <f t="shared" si="235"/>
        <v/>
      </c>
      <c r="EV124" s="108" t="str">
        <f t="shared" si="52"/>
        <v/>
      </c>
      <c r="EW124" s="109" t="str">
        <f t="shared" si="130"/>
        <v/>
      </c>
      <c r="EX124" s="109" t="str">
        <f t="shared" si="53"/>
        <v/>
      </c>
      <c r="EY124" s="110" t="str">
        <f t="shared" si="236"/>
        <v/>
      </c>
      <c r="FA124" s="108" t="str">
        <f t="shared" si="132"/>
        <v/>
      </c>
      <c r="FB124" s="109" t="str">
        <f t="shared" si="133"/>
        <v/>
      </c>
      <c r="FC124" s="109" t="str">
        <f t="shared" si="54"/>
        <v/>
      </c>
      <c r="FD124" s="110" t="str">
        <f t="shared" si="237"/>
        <v/>
      </c>
      <c r="FF124" s="108" t="str">
        <f t="shared" si="55"/>
        <v/>
      </c>
      <c r="FG124" s="109" t="str">
        <f t="shared" si="134"/>
        <v/>
      </c>
      <c r="FH124" s="109" t="str">
        <f t="shared" si="56"/>
        <v/>
      </c>
      <c r="FI124" s="110" t="str">
        <f t="shared" si="238"/>
        <v/>
      </c>
      <c r="FK124" s="108" t="str">
        <f t="shared" si="136"/>
        <v/>
      </c>
      <c r="FL124" s="109" t="str">
        <f t="shared" si="137"/>
        <v/>
      </c>
      <c r="FM124" s="109" t="str">
        <f t="shared" si="57"/>
        <v/>
      </c>
      <c r="FN124" s="110" t="str">
        <f t="shared" si="239"/>
        <v/>
      </c>
      <c r="FP124" s="108" t="str">
        <f t="shared" si="58"/>
        <v/>
      </c>
      <c r="FQ124" s="109" t="str">
        <f t="shared" si="138"/>
        <v/>
      </c>
      <c r="FR124" s="109" t="str">
        <f t="shared" si="59"/>
        <v/>
      </c>
      <c r="FS124" s="110" t="str">
        <f t="shared" si="240"/>
        <v/>
      </c>
      <c r="FU124" s="108" t="str">
        <f t="shared" si="140"/>
        <v/>
      </c>
      <c r="FV124" s="109" t="str">
        <f t="shared" si="141"/>
        <v/>
      </c>
      <c r="FW124" s="109" t="str">
        <f t="shared" si="60"/>
        <v/>
      </c>
      <c r="FX124" s="110" t="str">
        <f t="shared" si="241"/>
        <v/>
      </c>
      <c r="FZ124" s="108" t="str">
        <f t="shared" si="61"/>
        <v/>
      </c>
      <c r="GA124" s="109" t="str">
        <f t="shared" si="142"/>
        <v/>
      </c>
      <c r="GB124" s="109" t="str">
        <f t="shared" si="62"/>
        <v/>
      </c>
      <c r="GC124" s="110" t="str">
        <f t="shared" si="242"/>
        <v/>
      </c>
      <c r="GE124" s="108" t="str">
        <f t="shared" si="144"/>
        <v/>
      </c>
      <c r="GF124" s="109" t="str">
        <f t="shared" si="145"/>
        <v/>
      </c>
      <c r="GG124" s="109" t="str">
        <f t="shared" si="146"/>
        <v/>
      </c>
      <c r="GH124" s="110" t="str">
        <f t="shared" si="243"/>
        <v/>
      </c>
      <c r="GL124" s="108" t="str">
        <f t="shared" si="63"/>
        <v/>
      </c>
      <c r="GM124" s="109" t="str">
        <f t="shared" si="64"/>
        <v/>
      </c>
      <c r="GN124" s="109" t="str">
        <f t="shared" si="65"/>
        <v/>
      </c>
      <c r="GO124" s="110" t="str">
        <f t="shared" si="66"/>
        <v/>
      </c>
      <c r="GP124" s="51"/>
      <c r="GQ124" s="108" t="str">
        <f t="shared" si="67"/>
        <v/>
      </c>
      <c r="GR124" s="109" t="str">
        <f t="shared" si="147"/>
        <v/>
      </c>
      <c r="GS124" s="109" t="str">
        <f t="shared" si="68"/>
        <v/>
      </c>
      <c r="GT124" s="110" t="str">
        <f t="shared" si="69"/>
        <v/>
      </c>
      <c r="GU124" s="51"/>
      <c r="GV124" s="108" t="str">
        <f t="shared" si="148"/>
        <v/>
      </c>
      <c r="GW124" s="109" t="str">
        <f t="shared" si="149"/>
        <v/>
      </c>
      <c r="GX124" s="109" t="str">
        <f t="shared" si="70"/>
        <v/>
      </c>
      <c r="GY124" s="110" t="str">
        <f t="shared" si="150"/>
        <v/>
      </c>
      <c r="GZ124" s="51"/>
      <c r="HA124" s="108" t="str">
        <f t="shared" si="71"/>
        <v/>
      </c>
      <c r="HB124" s="109" t="str">
        <f t="shared" si="151"/>
        <v/>
      </c>
      <c r="HC124" s="109" t="str">
        <f t="shared" si="72"/>
        <v/>
      </c>
      <c r="HD124" s="110" t="str">
        <f t="shared" si="193"/>
        <v/>
      </c>
      <c r="HE124" s="51"/>
      <c r="HF124" s="108" t="str">
        <f t="shared" si="152"/>
        <v/>
      </c>
      <c r="HG124" s="109" t="str">
        <f t="shared" si="153"/>
        <v/>
      </c>
      <c r="HH124" s="109" t="str">
        <f t="shared" si="73"/>
        <v/>
      </c>
      <c r="HI124" s="110" t="str">
        <f t="shared" si="154"/>
        <v/>
      </c>
      <c r="HJ124" s="51"/>
      <c r="HK124" s="108" t="str">
        <f t="shared" si="74"/>
        <v/>
      </c>
      <c r="HL124" s="109" t="str">
        <f t="shared" si="155"/>
        <v/>
      </c>
      <c r="HM124" s="109" t="str">
        <f t="shared" si="75"/>
        <v/>
      </c>
      <c r="HN124" s="110" t="str">
        <f t="shared" si="194"/>
        <v/>
      </c>
      <c r="HO124" s="51"/>
      <c r="HP124" s="108" t="str">
        <f t="shared" si="156"/>
        <v/>
      </c>
      <c r="HQ124" s="109" t="str">
        <f t="shared" si="157"/>
        <v/>
      </c>
      <c r="HR124" s="109" t="str">
        <f t="shared" si="76"/>
        <v/>
      </c>
      <c r="HS124" s="110" t="str">
        <f t="shared" si="158"/>
        <v/>
      </c>
      <c r="HT124" s="51"/>
      <c r="HU124" s="108" t="str">
        <f t="shared" si="77"/>
        <v/>
      </c>
      <c r="HV124" s="109" t="str">
        <f t="shared" si="159"/>
        <v/>
      </c>
      <c r="HW124" s="109" t="str">
        <f t="shared" si="78"/>
        <v/>
      </c>
      <c r="HX124" s="110" t="str">
        <f t="shared" si="195"/>
        <v/>
      </c>
      <c r="HY124" s="51"/>
      <c r="HZ124" s="108" t="str">
        <f t="shared" si="160"/>
        <v/>
      </c>
      <c r="IA124" s="109" t="str">
        <f t="shared" si="161"/>
        <v/>
      </c>
      <c r="IB124" s="109" t="str">
        <f t="shared" si="79"/>
        <v/>
      </c>
      <c r="IC124" s="110" t="str">
        <f t="shared" si="162"/>
        <v/>
      </c>
      <c r="ID124" s="51"/>
      <c r="IE124" s="108" t="str">
        <f t="shared" si="80"/>
        <v/>
      </c>
      <c r="IF124" s="109" t="str">
        <f t="shared" si="163"/>
        <v/>
      </c>
      <c r="IG124" s="109" t="str">
        <f t="shared" si="81"/>
        <v/>
      </c>
      <c r="IH124" s="110" t="str">
        <f t="shared" si="196"/>
        <v/>
      </c>
      <c r="II124" s="51"/>
      <c r="IJ124" s="108" t="str">
        <f t="shared" si="164"/>
        <v/>
      </c>
      <c r="IK124" s="109" t="str">
        <f t="shared" si="165"/>
        <v/>
      </c>
      <c r="IL124" s="109" t="str">
        <f t="shared" si="82"/>
        <v/>
      </c>
      <c r="IM124" s="110" t="str">
        <f t="shared" si="166"/>
        <v/>
      </c>
      <c r="IN124" s="51"/>
      <c r="IO124" s="108" t="str">
        <f t="shared" si="83"/>
        <v/>
      </c>
      <c r="IP124" s="109" t="str">
        <f t="shared" si="167"/>
        <v/>
      </c>
      <c r="IQ124" s="109" t="str">
        <f t="shared" si="84"/>
        <v/>
      </c>
      <c r="IR124" s="110" t="str">
        <f t="shared" si="197"/>
        <v/>
      </c>
      <c r="IS124" s="51"/>
      <c r="IT124" s="108" t="str">
        <f t="shared" si="168"/>
        <v/>
      </c>
      <c r="IU124" s="109" t="str">
        <f t="shared" si="169"/>
        <v/>
      </c>
      <c r="IV124" s="109" t="str">
        <f t="shared" si="85"/>
        <v/>
      </c>
      <c r="IW124" s="110" t="str">
        <f t="shared" si="170"/>
        <v/>
      </c>
      <c r="IX124" s="51"/>
      <c r="IY124" s="108" t="str">
        <f t="shared" si="86"/>
        <v/>
      </c>
      <c r="IZ124" s="109" t="str">
        <f t="shared" si="171"/>
        <v/>
      </c>
      <c r="JA124" s="109" t="str">
        <f t="shared" si="87"/>
        <v/>
      </c>
      <c r="JB124" s="110" t="str">
        <f t="shared" si="198"/>
        <v/>
      </c>
      <c r="JC124" s="51"/>
      <c r="JD124" s="108" t="str">
        <f t="shared" si="172"/>
        <v/>
      </c>
      <c r="JE124" s="109" t="str">
        <f t="shared" si="173"/>
        <v/>
      </c>
      <c r="JF124" s="109" t="str">
        <f t="shared" si="88"/>
        <v/>
      </c>
      <c r="JG124" s="110" t="str">
        <f t="shared" si="174"/>
        <v/>
      </c>
      <c r="JH124" s="51"/>
      <c r="JI124" s="108" t="str">
        <f t="shared" si="89"/>
        <v/>
      </c>
      <c r="JJ124" s="109" t="str">
        <f t="shared" si="175"/>
        <v/>
      </c>
      <c r="JK124" s="109" t="str">
        <f t="shared" si="90"/>
        <v/>
      </c>
      <c r="JL124" s="110" t="str">
        <f t="shared" si="199"/>
        <v/>
      </c>
      <c r="JM124" s="51"/>
      <c r="JN124" s="108" t="str">
        <f t="shared" si="176"/>
        <v/>
      </c>
      <c r="JO124" s="109" t="str">
        <f t="shared" si="177"/>
        <v/>
      </c>
      <c r="JP124" s="109" t="str">
        <f t="shared" si="91"/>
        <v/>
      </c>
      <c r="JQ124" s="110" t="str">
        <f t="shared" si="178"/>
        <v/>
      </c>
      <c r="JR124" s="51"/>
      <c r="JS124" s="108" t="str">
        <f t="shared" si="92"/>
        <v/>
      </c>
      <c r="JT124" s="109" t="str">
        <f t="shared" si="179"/>
        <v/>
      </c>
      <c r="JU124" s="109" t="str">
        <f t="shared" si="93"/>
        <v/>
      </c>
      <c r="JV124" s="110" t="str">
        <f t="shared" si="200"/>
        <v/>
      </c>
      <c r="JW124" s="51"/>
      <c r="JX124" s="108" t="str">
        <f t="shared" si="180"/>
        <v/>
      </c>
      <c r="JY124" s="109" t="str">
        <f t="shared" si="181"/>
        <v/>
      </c>
      <c r="JZ124" s="109" t="str">
        <f t="shared" si="94"/>
        <v/>
      </c>
      <c r="KA124" s="110" t="str">
        <f t="shared" si="95"/>
        <v/>
      </c>
    </row>
    <row r="125" spans="1:287" ht="12" customHeight="1">
      <c r="A125" s="105">
        <f t="array" ref="A125">MAX(IF($J$80:J124&gt;0,$C$80:C124,0))</f>
        <v>43536</v>
      </c>
      <c r="B125" s="81" t="str">
        <f t="shared" si="4"/>
        <v/>
      </c>
      <c r="C125" s="82">
        <f t="shared" si="182"/>
        <v>0</v>
      </c>
      <c r="D125" s="83" t="str">
        <f t="shared" si="5"/>
        <v/>
      </c>
      <c r="E125" s="83" t="str">
        <f t="shared" si="96"/>
        <v/>
      </c>
      <c r="F125" s="83" t="str">
        <f t="shared" si="6"/>
        <v/>
      </c>
      <c r="G125" s="83" t="str">
        <f t="shared" si="7"/>
        <v/>
      </c>
      <c r="H125" s="83" t="str">
        <f t="shared" si="8"/>
        <v/>
      </c>
      <c r="I125" s="105">
        <f t="array" ref="I125">MAX(IF($R$80:R124&gt;0,$L$80:L124,0))</f>
        <v>0</v>
      </c>
      <c r="J125" s="106"/>
      <c r="K125" s="2" t="str">
        <f t="shared" si="9"/>
        <v/>
      </c>
      <c r="L125" s="82">
        <f t="shared" si="183"/>
        <v>0</v>
      </c>
      <c r="M125" s="83" t="str">
        <f t="shared" si="97"/>
        <v/>
      </c>
      <c r="N125" s="83" t="str">
        <f t="shared" si="10"/>
        <v/>
      </c>
      <c r="O125" s="83" t="str">
        <f t="shared" si="11"/>
        <v/>
      </c>
      <c r="P125" s="83" t="str">
        <f t="shared" si="12"/>
        <v/>
      </c>
      <c r="Q125" s="83" t="str">
        <f t="shared" si="13"/>
        <v/>
      </c>
      <c r="R125" s="106"/>
      <c r="S125" s="1"/>
      <c r="U125" s="85" t="e">
        <f t="shared" si="0"/>
        <v>#NUM!</v>
      </c>
      <c r="V125" s="86" t="e">
        <f t="shared" si="98"/>
        <v>#NUM!</v>
      </c>
      <c r="W125" s="87" t="e">
        <f t="shared" si="14"/>
        <v>#NUM!</v>
      </c>
      <c r="X125" s="87" t="e">
        <f t="shared" si="15"/>
        <v>#NUM!</v>
      </c>
      <c r="Y125" s="87" t="e">
        <f t="shared" si="16"/>
        <v>#NUM!</v>
      </c>
      <c r="Z125" s="88" t="e">
        <f t="shared" si="1"/>
        <v>#NUM!</v>
      </c>
      <c r="AA125" t="s">
        <v>282</v>
      </c>
      <c r="AB125" s="89">
        <f t="shared" si="99"/>
        <v>0</v>
      </c>
      <c r="AC125" s="87">
        <f t="shared" si="100"/>
        <v>0</v>
      </c>
      <c r="AD125" s="87" t="str">
        <f t="shared" si="17"/>
        <v/>
      </c>
      <c r="AE125" s="87" t="str">
        <f t="shared" si="18"/>
        <v/>
      </c>
      <c r="AF125" s="86">
        <f t="shared" si="101"/>
        <v>0</v>
      </c>
      <c r="AG125" s="87">
        <f t="shared" si="2"/>
        <v>0</v>
      </c>
      <c r="AH125" s="87">
        <f t="shared" si="102"/>
        <v>0</v>
      </c>
      <c r="AI125" s="90"/>
      <c r="AJ125" s="87" t="e">
        <f t="shared" si="19"/>
        <v>#NUM!</v>
      </c>
      <c r="AK125" s="87" t="e">
        <f t="shared" si="103"/>
        <v>#NUM!</v>
      </c>
      <c r="AL125" s="87" t="e">
        <f t="shared" si="104"/>
        <v>#NUM!</v>
      </c>
      <c r="AM125" s="87" t="e">
        <f t="shared" si="105"/>
        <v>#NUM!</v>
      </c>
      <c r="AN125" s="86">
        <f t="shared" si="20"/>
        <v>0</v>
      </c>
      <c r="AO125" s="87">
        <f t="shared" si="21"/>
        <v>0</v>
      </c>
      <c r="AP125" s="88">
        <f t="shared" si="22"/>
        <v>0</v>
      </c>
      <c r="AR125" s="89">
        <f t="shared" si="23"/>
        <v>0</v>
      </c>
      <c r="AS125" s="87">
        <f t="shared" si="24"/>
        <v>0</v>
      </c>
      <c r="AT125" s="87" t="str">
        <f t="shared" si="25"/>
        <v/>
      </c>
      <c r="AU125" s="87" t="str">
        <f t="shared" si="26"/>
        <v/>
      </c>
      <c r="AV125" s="86">
        <f t="shared" si="106"/>
        <v>0</v>
      </c>
      <c r="AW125" s="87">
        <f t="shared" si="107"/>
        <v>0</v>
      </c>
      <c r="AX125" s="87">
        <f t="shared" si="108"/>
        <v>0</v>
      </c>
      <c r="AY125" s="93"/>
      <c r="AZ125" s="87">
        <f t="shared" si="201"/>
        <v>0</v>
      </c>
      <c r="BA125" s="87">
        <f t="shared" si="109"/>
        <v>0</v>
      </c>
      <c r="BB125" s="87">
        <f t="shared" si="110"/>
        <v>0</v>
      </c>
      <c r="BC125" s="87">
        <f t="shared" si="184"/>
        <v>0</v>
      </c>
      <c r="BD125" s="86" t="e">
        <f t="shared" si="27"/>
        <v>#NUM!</v>
      </c>
      <c r="BE125" s="87" t="e">
        <f t="shared" si="3"/>
        <v>#NUM!</v>
      </c>
      <c r="BF125" s="88">
        <f t="shared" si="111"/>
        <v>0</v>
      </c>
      <c r="BH125" s="87" t="e">
        <f t="shared" si="28"/>
        <v>#NUM!</v>
      </c>
      <c r="BK125" s="95">
        <v>40545</v>
      </c>
      <c r="BL125" s="96">
        <v>46</v>
      </c>
      <c r="BT125">
        <v>0</v>
      </c>
      <c r="BU125" s="51">
        <v>1000000</v>
      </c>
      <c r="BV125" s="30" t="s">
        <v>497</v>
      </c>
      <c r="CF125" s="30" t="s">
        <v>497</v>
      </c>
      <c r="CG125" s="30" t="s">
        <v>497</v>
      </c>
      <c r="CS125" s="108" t="str">
        <f t="shared" si="29"/>
        <v/>
      </c>
      <c r="CT125" s="109" t="str">
        <f t="shared" si="30"/>
        <v/>
      </c>
      <c r="CU125" s="109" t="str">
        <f t="shared" si="31"/>
        <v/>
      </c>
      <c r="CV125" s="110" t="str">
        <f t="shared" si="225"/>
        <v/>
      </c>
      <c r="CX125" s="108" t="str">
        <f t="shared" si="33"/>
        <v/>
      </c>
      <c r="CY125" s="109" t="str">
        <f t="shared" si="113"/>
        <v/>
      </c>
      <c r="CZ125" s="109" t="str">
        <f t="shared" si="34"/>
        <v/>
      </c>
      <c r="DA125" s="110" t="str">
        <f t="shared" si="226"/>
        <v/>
      </c>
      <c r="DC125" s="108" t="str">
        <f t="shared" si="114"/>
        <v/>
      </c>
      <c r="DD125" s="109" t="str">
        <f t="shared" si="115"/>
        <v/>
      </c>
      <c r="DE125" s="109" t="str">
        <f t="shared" si="36"/>
        <v/>
      </c>
      <c r="DF125" s="110" t="str">
        <f t="shared" si="227"/>
        <v/>
      </c>
      <c r="DH125" s="108" t="str">
        <f t="shared" si="38"/>
        <v/>
      </c>
      <c r="DI125" s="109" t="str">
        <f t="shared" si="39"/>
        <v/>
      </c>
      <c r="DJ125" s="109" t="str">
        <f t="shared" si="40"/>
        <v/>
      </c>
      <c r="DK125" s="110" t="str">
        <f t="shared" si="228"/>
        <v/>
      </c>
      <c r="DM125" s="108" t="str">
        <f t="shared" si="116"/>
        <v/>
      </c>
      <c r="DN125" s="109" t="str">
        <f t="shared" si="117"/>
        <v/>
      </c>
      <c r="DO125" s="109" t="str">
        <f t="shared" si="42"/>
        <v/>
      </c>
      <c r="DP125" s="110" t="str">
        <f t="shared" si="229"/>
        <v/>
      </c>
      <c r="DR125" s="108" t="str">
        <f t="shared" si="43"/>
        <v/>
      </c>
      <c r="DS125" s="109" t="str">
        <f t="shared" si="118"/>
        <v/>
      </c>
      <c r="DT125" s="109" t="str">
        <f t="shared" si="44"/>
        <v/>
      </c>
      <c r="DU125" s="110" t="str">
        <f t="shared" si="230"/>
        <v/>
      </c>
      <c r="DW125" s="108" t="str">
        <f t="shared" si="120"/>
        <v/>
      </c>
      <c r="DX125" s="109" t="str">
        <f t="shared" si="121"/>
        <v/>
      </c>
      <c r="DY125" s="109" t="str">
        <f t="shared" si="45"/>
        <v/>
      </c>
      <c r="DZ125" s="110" t="str">
        <f t="shared" si="231"/>
        <v/>
      </c>
      <c r="EB125" s="108" t="str">
        <f t="shared" si="46"/>
        <v/>
      </c>
      <c r="EC125" s="109" t="str">
        <f t="shared" si="122"/>
        <v/>
      </c>
      <c r="ED125" s="109" t="str">
        <f t="shared" si="47"/>
        <v/>
      </c>
      <c r="EE125" s="110" t="str">
        <f t="shared" si="232"/>
        <v/>
      </c>
      <c r="EG125" s="108" t="str">
        <f t="shared" si="124"/>
        <v/>
      </c>
      <c r="EH125" s="109" t="str">
        <f t="shared" si="125"/>
        <v/>
      </c>
      <c r="EI125" s="109" t="str">
        <f t="shared" si="48"/>
        <v/>
      </c>
      <c r="EJ125" s="110" t="str">
        <f t="shared" si="233"/>
        <v/>
      </c>
      <c r="EL125" s="108" t="str">
        <f t="shared" si="49"/>
        <v/>
      </c>
      <c r="EM125" s="109" t="str">
        <f t="shared" si="126"/>
        <v/>
      </c>
      <c r="EN125" s="109" t="str">
        <f t="shared" si="50"/>
        <v/>
      </c>
      <c r="EO125" s="110" t="str">
        <f t="shared" si="234"/>
        <v/>
      </c>
      <c r="EQ125" s="108" t="str">
        <f t="shared" si="128"/>
        <v/>
      </c>
      <c r="ER125" s="109" t="str">
        <f t="shared" si="129"/>
        <v/>
      </c>
      <c r="ES125" s="109" t="str">
        <f t="shared" si="51"/>
        <v/>
      </c>
      <c r="ET125" s="110" t="str">
        <f t="shared" si="235"/>
        <v/>
      </c>
      <c r="EV125" s="108" t="str">
        <f t="shared" si="52"/>
        <v/>
      </c>
      <c r="EW125" s="109" t="str">
        <f t="shared" si="130"/>
        <v/>
      </c>
      <c r="EX125" s="109" t="str">
        <f t="shared" si="53"/>
        <v/>
      </c>
      <c r="EY125" s="110" t="str">
        <f t="shared" si="236"/>
        <v/>
      </c>
      <c r="FA125" s="108" t="str">
        <f t="shared" si="132"/>
        <v/>
      </c>
      <c r="FB125" s="109" t="str">
        <f t="shared" si="133"/>
        <v/>
      </c>
      <c r="FC125" s="109" t="str">
        <f t="shared" si="54"/>
        <v/>
      </c>
      <c r="FD125" s="110" t="str">
        <f t="shared" si="237"/>
        <v/>
      </c>
      <c r="FF125" s="108" t="str">
        <f t="shared" si="55"/>
        <v/>
      </c>
      <c r="FG125" s="109" t="str">
        <f t="shared" si="134"/>
        <v/>
      </c>
      <c r="FH125" s="109" t="str">
        <f t="shared" si="56"/>
        <v/>
      </c>
      <c r="FI125" s="110" t="str">
        <f t="shared" si="238"/>
        <v/>
      </c>
      <c r="FK125" s="108" t="str">
        <f t="shared" si="136"/>
        <v/>
      </c>
      <c r="FL125" s="109" t="str">
        <f t="shared" si="137"/>
        <v/>
      </c>
      <c r="FM125" s="109" t="str">
        <f t="shared" si="57"/>
        <v/>
      </c>
      <c r="FN125" s="110" t="str">
        <f t="shared" si="239"/>
        <v/>
      </c>
      <c r="FP125" s="108" t="str">
        <f t="shared" si="58"/>
        <v/>
      </c>
      <c r="FQ125" s="109" t="str">
        <f t="shared" si="138"/>
        <v/>
      </c>
      <c r="FR125" s="109" t="str">
        <f t="shared" si="59"/>
        <v/>
      </c>
      <c r="FS125" s="110" t="str">
        <f t="shared" si="240"/>
        <v/>
      </c>
      <c r="FU125" s="108" t="str">
        <f t="shared" si="140"/>
        <v/>
      </c>
      <c r="FV125" s="109" t="str">
        <f t="shared" si="141"/>
        <v/>
      </c>
      <c r="FW125" s="109" t="str">
        <f t="shared" si="60"/>
        <v/>
      </c>
      <c r="FX125" s="110" t="str">
        <f t="shared" si="241"/>
        <v/>
      </c>
      <c r="FZ125" s="108" t="str">
        <f t="shared" si="61"/>
        <v/>
      </c>
      <c r="GA125" s="109" t="str">
        <f t="shared" si="142"/>
        <v/>
      </c>
      <c r="GB125" s="109" t="str">
        <f t="shared" si="62"/>
        <v/>
      </c>
      <c r="GC125" s="110" t="str">
        <f t="shared" si="242"/>
        <v/>
      </c>
      <c r="GE125" s="108" t="str">
        <f t="shared" si="144"/>
        <v/>
      </c>
      <c r="GF125" s="109" t="str">
        <f t="shared" si="145"/>
        <v/>
      </c>
      <c r="GG125" s="109" t="str">
        <f t="shared" si="146"/>
        <v/>
      </c>
      <c r="GH125" s="110" t="str">
        <f t="shared" si="243"/>
        <v/>
      </c>
      <c r="GL125" s="108" t="str">
        <f t="shared" si="63"/>
        <v/>
      </c>
      <c r="GM125" s="109" t="str">
        <f t="shared" si="64"/>
        <v/>
      </c>
      <c r="GN125" s="109" t="str">
        <f t="shared" si="65"/>
        <v/>
      </c>
      <c r="GO125" s="110" t="str">
        <f t="shared" si="66"/>
        <v/>
      </c>
      <c r="GP125" s="51"/>
      <c r="GQ125" s="108" t="str">
        <f t="shared" si="67"/>
        <v/>
      </c>
      <c r="GR125" s="109" t="str">
        <f t="shared" si="147"/>
        <v/>
      </c>
      <c r="GS125" s="109" t="str">
        <f t="shared" si="68"/>
        <v/>
      </c>
      <c r="GT125" s="110" t="str">
        <f t="shared" si="69"/>
        <v/>
      </c>
      <c r="GU125" s="51"/>
      <c r="GV125" s="108" t="str">
        <f t="shared" si="148"/>
        <v/>
      </c>
      <c r="GW125" s="109" t="str">
        <f t="shared" si="149"/>
        <v/>
      </c>
      <c r="GX125" s="109" t="str">
        <f t="shared" si="70"/>
        <v/>
      </c>
      <c r="GY125" s="110" t="str">
        <f t="shared" si="150"/>
        <v/>
      </c>
      <c r="GZ125" s="51"/>
      <c r="HA125" s="108" t="str">
        <f t="shared" si="71"/>
        <v/>
      </c>
      <c r="HB125" s="109" t="str">
        <f t="shared" si="151"/>
        <v/>
      </c>
      <c r="HC125" s="109" t="str">
        <f t="shared" si="72"/>
        <v/>
      </c>
      <c r="HD125" s="110" t="str">
        <f t="shared" si="193"/>
        <v/>
      </c>
      <c r="HE125" s="51"/>
      <c r="HF125" s="108" t="str">
        <f t="shared" si="152"/>
        <v/>
      </c>
      <c r="HG125" s="109" t="str">
        <f t="shared" si="153"/>
        <v/>
      </c>
      <c r="HH125" s="109" t="str">
        <f t="shared" si="73"/>
        <v/>
      </c>
      <c r="HI125" s="110" t="str">
        <f t="shared" si="154"/>
        <v/>
      </c>
      <c r="HJ125" s="51"/>
      <c r="HK125" s="108" t="str">
        <f t="shared" si="74"/>
        <v/>
      </c>
      <c r="HL125" s="109" t="str">
        <f t="shared" si="155"/>
        <v/>
      </c>
      <c r="HM125" s="109" t="str">
        <f t="shared" si="75"/>
        <v/>
      </c>
      <c r="HN125" s="110" t="str">
        <f t="shared" si="194"/>
        <v/>
      </c>
      <c r="HO125" s="51"/>
      <c r="HP125" s="108" t="str">
        <f t="shared" si="156"/>
        <v/>
      </c>
      <c r="HQ125" s="109" t="str">
        <f t="shared" si="157"/>
        <v/>
      </c>
      <c r="HR125" s="109" t="str">
        <f t="shared" si="76"/>
        <v/>
      </c>
      <c r="HS125" s="110" t="str">
        <f t="shared" si="158"/>
        <v/>
      </c>
      <c r="HT125" s="51"/>
      <c r="HU125" s="108" t="str">
        <f t="shared" si="77"/>
        <v/>
      </c>
      <c r="HV125" s="109" t="str">
        <f t="shared" si="159"/>
        <v/>
      </c>
      <c r="HW125" s="109" t="str">
        <f t="shared" si="78"/>
        <v/>
      </c>
      <c r="HX125" s="110" t="str">
        <f t="shared" si="195"/>
        <v/>
      </c>
      <c r="HY125" s="51"/>
      <c r="HZ125" s="108" t="str">
        <f t="shared" si="160"/>
        <v/>
      </c>
      <c r="IA125" s="109" t="str">
        <f t="shared" si="161"/>
        <v/>
      </c>
      <c r="IB125" s="109" t="str">
        <f t="shared" si="79"/>
        <v/>
      </c>
      <c r="IC125" s="110" t="str">
        <f t="shared" si="162"/>
        <v/>
      </c>
      <c r="ID125" s="51"/>
      <c r="IE125" s="108" t="str">
        <f t="shared" si="80"/>
        <v/>
      </c>
      <c r="IF125" s="109" t="str">
        <f t="shared" si="163"/>
        <v/>
      </c>
      <c r="IG125" s="109" t="str">
        <f t="shared" si="81"/>
        <v/>
      </c>
      <c r="IH125" s="110" t="str">
        <f t="shared" si="196"/>
        <v/>
      </c>
      <c r="II125" s="51"/>
      <c r="IJ125" s="108" t="str">
        <f t="shared" si="164"/>
        <v/>
      </c>
      <c r="IK125" s="109" t="str">
        <f t="shared" si="165"/>
        <v/>
      </c>
      <c r="IL125" s="109" t="str">
        <f t="shared" si="82"/>
        <v/>
      </c>
      <c r="IM125" s="110" t="str">
        <f t="shared" si="166"/>
        <v/>
      </c>
      <c r="IN125" s="51"/>
      <c r="IO125" s="108" t="str">
        <f t="shared" si="83"/>
        <v/>
      </c>
      <c r="IP125" s="109" t="str">
        <f t="shared" si="167"/>
        <v/>
      </c>
      <c r="IQ125" s="109" t="str">
        <f t="shared" si="84"/>
        <v/>
      </c>
      <c r="IR125" s="110" t="str">
        <f t="shared" si="197"/>
        <v/>
      </c>
      <c r="IS125" s="51"/>
      <c r="IT125" s="108" t="str">
        <f t="shared" si="168"/>
        <v/>
      </c>
      <c r="IU125" s="109" t="str">
        <f t="shared" si="169"/>
        <v/>
      </c>
      <c r="IV125" s="109" t="str">
        <f t="shared" si="85"/>
        <v/>
      </c>
      <c r="IW125" s="110" t="str">
        <f t="shared" si="170"/>
        <v/>
      </c>
      <c r="IX125" s="51"/>
      <c r="IY125" s="108" t="str">
        <f t="shared" si="86"/>
        <v/>
      </c>
      <c r="IZ125" s="109" t="str">
        <f t="shared" si="171"/>
        <v/>
      </c>
      <c r="JA125" s="109" t="str">
        <f t="shared" si="87"/>
        <v/>
      </c>
      <c r="JB125" s="110" t="str">
        <f t="shared" si="198"/>
        <v/>
      </c>
      <c r="JC125" s="51"/>
      <c r="JD125" s="108" t="str">
        <f t="shared" si="172"/>
        <v/>
      </c>
      <c r="JE125" s="109" t="str">
        <f t="shared" si="173"/>
        <v/>
      </c>
      <c r="JF125" s="109" t="str">
        <f t="shared" si="88"/>
        <v/>
      </c>
      <c r="JG125" s="110" t="str">
        <f t="shared" si="174"/>
        <v/>
      </c>
      <c r="JH125" s="51"/>
      <c r="JI125" s="108" t="str">
        <f t="shared" si="89"/>
        <v/>
      </c>
      <c r="JJ125" s="109" t="str">
        <f t="shared" si="175"/>
        <v/>
      </c>
      <c r="JK125" s="109" t="str">
        <f t="shared" si="90"/>
        <v/>
      </c>
      <c r="JL125" s="110" t="str">
        <f t="shared" si="199"/>
        <v/>
      </c>
      <c r="JM125" s="51"/>
      <c r="JN125" s="108" t="str">
        <f t="shared" si="176"/>
        <v/>
      </c>
      <c r="JO125" s="109" t="str">
        <f t="shared" si="177"/>
        <v/>
      </c>
      <c r="JP125" s="109" t="str">
        <f t="shared" si="91"/>
        <v/>
      </c>
      <c r="JQ125" s="110" t="str">
        <f t="shared" si="178"/>
        <v/>
      </c>
      <c r="JR125" s="51"/>
      <c r="JS125" s="108" t="str">
        <f t="shared" si="92"/>
        <v/>
      </c>
      <c r="JT125" s="109" t="str">
        <f t="shared" si="179"/>
        <v/>
      </c>
      <c r="JU125" s="109" t="str">
        <f t="shared" si="93"/>
        <v/>
      </c>
      <c r="JV125" s="110" t="str">
        <f t="shared" si="200"/>
        <v/>
      </c>
      <c r="JW125" s="51"/>
      <c r="JX125" s="108" t="str">
        <f t="shared" si="180"/>
        <v/>
      </c>
      <c r="JY125" s="109" t="str">
        <f t="shared" si="181"/>
        <v/>
      </c>
      <c r="JZ125" s="109" t="str">
        <f t="shared" si="94"/>
        <v/>
      </c>
      <c r="KA125" s="110" t="str">
        <f t="shared" si="95"/>
        <v/>
      </c>
    </row>
    <row r="126" spans="1:287" ht="12" customHeight="1">
      <c r="A126" s="105">
        <f t="array" ref="A126">MAX(IF($J$80:J125&gt;0,$C$80:C125,0))</f>
        <v>43536</v>
      </c>
      <c r="B126" s="81" t="str">
        <f t="shared" si="4"/>
        <v/>
      </c>
      <c r="C126" s="82">
        <f t="shared" si="182"/>
        <v>0</v>
      </c>
      <c r="D126" s="83" t="str">
        <f t="shared" si="5"/>
        <v/>
      </c>
      <c r="E126" s="83" t="str">
        <f t="shared" si="96"/>
        <v/>
      </c>
      <c r="F126" s="83" t="str">
        <f t="shared" si="6"/>
        <v/>
      </c>
      <c r="G126" s="83" t="str">
        <f t="shared" si="7"/>
        <v/>
      </c>
      <c r="H126" s="83" t="str">
        <f t="shared" si="8"/>
        <v/>
      </c>
      <c r="I126" s="105">
        <f t="array" ref="I126">MAX(IF($R$80:R125&gt;0,$L$80:L125,0))</f>
        <v>0</v>
      </c>
      <c r="J126" s="106"/>
      <c r="K126" s="2" t="str">
        <f t="shared" si="9"/>
        <v/>
      </c>
      <c r="L126" s="82">
        <f t="shared" si="183"/>
        <v>0</v>
      </c>
      <c r="M126" s="83" t="str">
        <f t="shared" si="97"/>
        <v/>
      </c>
      <c r="N126" s="83" t="str">
        <f t="shared" si="10"/>
        <v/>
      </c>
      <c r="O126" s="83" t="str">
        <f t="shared" si="11"/>
        <v/>
      </c>
      <c r="P126" s="83" t="str">
        <f t="shared" si="12"/>
        <v/>
      </c>
      <c r="Q126" s="83" t="str">
        <f t="shared" si="13"/>
        <v/>
      </c>
      <c r="R126" s="106"/>
      <c r="S126" s="1"/>
      <c r="U126" s="85" t="e">
        <f t="shared" si="0"/>
        <v>#NUM!</v>
      </c>
      <c r="V126" s="86" t="e">
        <f t="shared" si="98"/>
        <v>#NUM!</v>
      </c>
      <c r="W126" s="87" t="e">
        <f t="shared" si="14"/>
        <v>#NUM!</v>
      </c>
      <c r="X126" s="87" t="e">
        <f t="shared" si="15"/>
        <v>#NUM!</v>
      </c>
      <c r="Y126" s="87" t="e">
        <f t="shared" si="16"/>
        <v>#NUM!</v>
      </c>
      <c r="Z126" s="88" t="e">
        <f t="shared" si="1"/>
        <v>#NUM!</v>
      </c>
      <c r="AA126" t="s">
        <v>282</v>
      </c>
      <c r="AB126" s="89">
        <f t="shared" si="99"/>
        <v>0</v>
      </c>
      <c r="AC126" s="87">
        <f t="shared" si="100"/>
        <v>0</v>
      </c>
      <c r="AD126" s="87" t="str">
        <f t="shared" si="17"/>
        <v/>
      </c>
      <c r="AE126" s="87" t="str">
        <f t="shared" si="18"/>
        <v/>
      </c>
      <c r="AF126" s="86">
        <f t="shared" si="101"/>
        <v>0</v>
      </c>
      <c r="AG126" s="87">
        <f t="shared" si="2"/>
        <v>0</v>
      </c>
      <c r="AH126" s="87">
        <f t="shared" si="102"/>
        <v>0</v>
      </c>
      <c r="AI126" s="90"/>
      <c r="AJ126" s="87" t="e">
        <f t="shared" si="19"/>
        <v>#NUM!</v>
      </c>
      <c r="AK126" s="87" t="e">
        <f t="shared" si="103"/>
        <v>#NUM!</v>
      </c>
      <c r="AL126" s="87" t="e">
        <f t="shared" si="104"/>
        <v>#NUM!</v>
      </c>
      <c r="AM126" s="87" t="e">
        <f t="shared" si="105"/>
        <v>#NUM!</v>
      </c>
      <c r="AN126" s="86">
        <f t="shared" si="20"/>
        <v>0</v>
      </c>
      <c r="AO126" s="87">
        <f t="shared" si="21"/>
        <v>0</v>
      </c>
      <c r="AP126" s="88">
        <f t="shared" si="22"/>
        <v>0</v>
      </c>
      <c r="AR126" s="89">
        <f t="shared" si="23"/>
        <v>0</v>
      </c>
      <c r="AS126" s="87">
        <f t="shared" si="24"/>
        <v>0</v>
      </c>
      <c r="AT126" s="87" t="str">
        <f t="shared" si="25"/>
        <v/>
      </c>
      <c r="AU126" s="87" t="str">
        <f t="shared" si="26"/>
        <v/>
      </c>
      <c r="AV126" s="86">
        <f t="shared" si="106"/>
        <v>0</v>
      </c>
      <c r="AW126" s="87">
        <f t="shared" si="107"/>
        <v>0</v>
      </c>
      <c r="AX126" s="87">
        <f t="shared" si="108"/>
        <v>0</v>
      </c>
      <c r="AY126" s="93"/>
      <c r="AZ126" s="87">
        <f t="shared" si="201"/>
        <v>0</v>
      </c>
      <c r="BA126" s="87">
        <f t="shared" si="109"/>
        <v>0</v>
      </c>
      <c r="BB126" s="87">
        <f t="shared" si="110"/>
        <v>0</v>
      </c>
      <c r="BC126" s="87">
        <f t="shared" si="184"/>
        <v>0</v>
      </c>
      <c r="BD126" s="86" t="e">
        <f t="shared" si="27"/>
        <v>#NUM!</v>
      </c>
      <c r="BE126" s="87" t="e">
        <f t="shared" si="3"/>
        <v>#NUM!</v>
      </c>
      <c r="BF126" s="88">
        <f t="shared" si="111"/>
        <v>0</v>
      </c>
      <c r="BH126" s="87" t="e">
        <f t="shared" si="28"/>
        <v>#NUM!</v>
      </c>
      <c r="BK126" s="95">
        <v>40550</v>
      </c>
      <c r="BL126" s="96">
        <v>47</v>
      </c>
      <c r="BY126" s="107"/>
      <c r="BZ126" s="107"/>
      <c r="CA126" s="107"/>
      <c r="CB126" s="107"/>
      <c r="CC126" s="107"/>
      <c r="CD126" s="107"/>
      <c r="CE126" s="107"/>
      <c r="CF126" s="107"/>
      <c r="CG126" s="107"/>
      <c r="CS126" s="108" t="str">
        <f t="shared" si="29"/>
        <v/>
      </c>
      <c r="CT126" s="109" t="str">
        <f t="shared" si="30"/>
        <v/>
      </c>
      <c r="CU126" s="109" t="str">
        <f t="shared" si="31"/>
        <v/>
      </c>
      <c r="CV126" s="110" t="str">
        <f t="shared" si="225"/>
        <v/>
      </c>
      <c r="CX126" s="108" t="str">
        <f t="shared" si="33"/>
        <v/>
      </c>
      <c r="CY126" s="109" t="str">
        <f t="shared" si="113"/>
        <v/>
      </c>
      <c r="CZ126" s="109" t="str">
        <f t="shared" si="34"/>
        <v/>
      </c>
      <c r="DA126" s="110" t="str">
        <f t="shared" si="226"/>
        <v/>
      </c>
      <c r="DC126" s="108" t="str">
        <f t="shared" si="114"/>
        <v/>
      </c>
      <c r="DD126" s="109" t="str">
        <f t="shared" si="115"/>
        <v/>
      </c>
      <c r="DE126" s="109" t="str">
        <f t="shared" si="36"/>
        <v/>
      </c>
      <c r="DF126" s="110" t="str">
        <f t="shared" si="227"/>
        <v/>
      </c>
      <c r="DH126" s="108" t="str">
        <f t="shared" si="38"/>
        <v/>
      </c>
      <c r="DI126" s="109" t="str">
        <f t="shared" si="39"/>
        <v/>
      </c>
      <c r="DJ126" s="109" t="str">
        <f t="shared" si="40"/>
        <v/>
      </c>
      <c r="DK126" s="110" t="str">
        <f t="shared" si="228"/>
        <v/>
      </c>
      <c r="DM126" s="108" t="str">
        <f t="shared" si="116"/>
        <v/>
      </c>
      <c r="DN126" s="109" t="str">
        <f t="shared" si="117"/>
        <v/>
      </c>
      <c r="DO126" s="109" t="str">
        <f t="shared" si="42"/>
        <v/>
      </c>
      <c r="DP126" s="110" t="str">
        <f t="shared" si="229"/>
        <v/>
      </c>
      <c r="DR126" s="108" t="str">
        <f t="shared" si="43"/>
        <v/>
      </c>
      <c r="DS126" s="109" t="str">
        <f t="shared" si="118"/>
        <v/>
      </c>
      <c r="DT126" s="109" t="str">
        <f t="shared" si="44"/>
        <v/>
      </c>
      <c r="DU126" s="110" t="str">
        <f t="shared" si="230"/>
        <v/>
      </c>
      <c r="DW126" s="108" t="str">
        <f t="shared" si="120"/>
        <v/>
      </c>
      <c r="DX126" s="109" t="str">
        <f t="shared" si="121"/>
        <v/>
      </c>
      <c r="DY126" s="109" t="str">
        <f t="shared" si="45"/>
        <v/>
      </c>
      <c r="DZ126" s="110" t="str">
        <f t="shared" si="231"/>
        <v/>
      </c>
      <c r="EB126" s="108" t="str">
        <f t="shared" si="46"/>
        <v/>
      </c>
      <c r="EC126" s="109" t="str">
        <f t="shared" si="122"/>
        <v/>
      </c>
      <c r="ED126" s="109" t="str">
        <f t="shared" si="47"/>
        <v/>
      </c>
      <c r="EE126" s="110" t="str">
        <f t="shared" si="232"/>
        <v/>
      </c>
      <c r="EG126" s="108" t="str">
        <f t="shared" si="124"/>
        <v/>
      </c>
      <c r="EH126" s="109" t="str">
        <f t="shared" si="125"/>
        <v/>
      </c>
      <c r="EI126" s="109" t="str">
        <f t="shared" si="48"/>
        <v/>
      </c>
      <c r="EJ126" s="110" t="str">
        <f t="shared" si="233"/>
        <v/>
      </c>
      <c r="EL126" s="108" t="str">
        <f t="shared" si="49"/>
        <v/>
      </c>
      <c r="EM126" s="109" t="str">
        <f t="shared" si="126"/>
        <v/>
      </c>
      <c r="EN126" s="109" t="str">
        <f t="shared" si="50"/>
        <v/>
      </c>
      <c r="EO126" s="110" t="str">
        <f t="shared" si="234"/>
        <v/>
      </c>
      <c r="EQ126" s="108" t="str">
        <f t="shared" si="128"/>
        <v/>
      </c>
      <c r="ER126" s="109" t="str">
        <f t="shared" si="129"/>
        <v/>
      </c>
      <c r="ES126" s="109" t="str">
        <f t="shared" si="51"/>
        <v/>
      </c>
      <c r="ET126" s="110" t="str">
        <f t="shared" si="235"/>
        <v/>
      </c>
      <c r="EV126" s="108" t="str">
        <f t="shared" si="52"/>
        <v/>
      </c>
      <c r="EW126" s="109" t="str">
        <f t="shared" si="130"/>
        <v/>
      </c>
      <c r="EX126" s="109" t="str">
        <f t="shared" si="53"/>
        <v/>
      </c>
      <c r="EY126" s="110" t="str">
        <f t="shared" si="236"/>
        <v/>
      </c>
      <c r="FA126" s="108" t="str">
        <f t="shared" si="132"/>
        <v/>
      </c>
      <c r="FB126" s="109" t="str">
        <f t="shared" si="133"/>
        <v/>
      </c>
      <c r="FC126" s="109" t="str">
        <f t="shared" si="54"/>
        <v/>
      </c>
      <c r="FD126" s="110" t="str">
        <f t="shared" si="237"/>
        <v/>
      </c>
      <c r="FF126" s="108" t="str">
        <f t="shared" si="55"/>
        <v/>
      </c>
      <c r="FG126" s="109" t="str">
        <f t="shared" si="134"/>
        <v/>
      </c>
      <c r="FH126" s="109" t="str">
        <f t="shared" si="56"/>
        <v/>
      </c>
      <c r="FI126" s="110" t="str">
        <f t="shared" si="238"/>
        <v/>
      </c>
      <c r="FK126" s="108" t="str">
        <f t="shared" si="136"/>
        <v/>
      </c>
      <c r="FL126" s="109" t="str">
        <f t="shared" si="137"/>
        <v/>
      </c>
      <c r="FM126" s="109" t="str">
        <f t="shared" si="57"/>
        <v/>
      </c>
      <c r="FN126" s="110" t="str">
        <f t="shared" si="239"/>
        <v/>
      </c>
      <c r="FP126" s="108" t="str">
        <f t="shared" si="58"/>
        <v/>
      </c>
      <c r="FQ126" s="109" t="str">
        <f t="shared" si="138"/>
        <v/>
      </c>
      <c r="FR126" s="109" t="str">
        <f t="shared" si="59"/>
        <v/>
      </c>
      <c r="FS126" s="110" t="str">
        <f t="shared" si="240"/>
        <v/>
      </c>
      <c r="FU126" s="108" t="str">
        <f t="shared" si="140"/>
        <v/>
      </c>
      <c r="FV126" s="109" t="str">
        <f t="shared" si="141"/>
        <v/>
      </c>
      <c r="FW126" s="109" t="str">
        <f t="shared" si="60"/>
        <v/>
      </c>
      <c r="FX126" s="110" t="str">
        <f t="shared" si="241"/>
        <v/>
      </c>
      <c r="FZ126" s="108" t="str">
        <f t="shared" si="61"/>
        <v/>
      </c>
      <c r="GA126" s="109" t="str">
        <f t="shared" si="142"/>
        <v/>
      </c>
      <c r="GB126" s="109" t="str">
        <f t="shared" si="62"/>
        <v/>
      </c>
      <c r="GC126" s="110" t="str">
        <f t="shared" si="242"/>
        <v/>
      </c>
      <c r="GE126" s="108" t="str">
        <f t="shared" si="144"/>
        <v/>
      </c>
      <c r="GF126" s="109" t="str">
        <f t="shared" si="145"/>
        <v/>
      </c>
      <c r="GG126" s="109" t="str">
        <f t="shared" si="146"/>
        <v/>
      </c>
      <c r="GH126" s="110" t="str">
        <f t="shared" si="243"/>
        <v/>
      </c>
      <c r="GL126" s="108" t="str">
        <f t="shared" si="63"/>
        <v/>
      </c>
      <c r="GM126" s="109" t="str">
        <f t="shared" si="64"/>
        <v/>
      </c>
      <c r="GN126" s="109" t="str">
        <f t="shared" si="65"/>
        <v/>
      </c>
      <c r="GO126" s="110" t="str">
        <f t="shared" si="66"/>
        <v/>
      </c>
      <c r="GP126" s="51"/>
      <c r="GQ126" s="108" t="str">
        <f t="shared" si="67"/>
        <v/>
      </c>
      <c r="GR126" s="109" t="str">
        <f t="shared" si="147"/>
        <v/>
      </c>
      <c r="GS126" s="109" t="str">
        <f t="shared" si="68"/>
        <v/>
      </c>
      <c r="GT126" s="110" t="str">
        <f t="shared" si="69"/>
        <v/>
      </c>
      <c r="GU126" s="51"/>
      <c r="GV126" s="108" t="str">
        <f t="shared" si="148"/>
        <v/>
      </c>
      <c r="GW126" s="109" t="str">
        <f t="shared" si="149"/>
        <v/>
      </c>
      <c r="GX126" s="109" t="str">
        <f t="shared" si="70"/>
        <v/>
      </c>
      <c r="GY126" s="110" t="str">
        <f t="shared" si="150"/>
        <v/>
      </c>
      <c r="GZ126" s="51"/>
      <c r="HA126" s="108" t="str">
        <f t="shared" si="71"/>
        <v/>
      </c>
      <c r="HB126" s="109" t="str">
        <f t="shared" si="151"/>
        <v/>
      </c>
      <c r="HC126" s="109" t="str">
        <f t="shared" si="72"/>
        <v/>
      </c>
      <c r="HD126" s="110" t="str">
        <f t="shared" si="193"/>
        <v/>
      </c>
      <c r="HE126" s="51"/>
      <c r="HF126" s="108" t="str">
        <f t="shared" si="152"/>
        <v/>
      </c>
      <c r="HG126" s="109" t="str">
        <f t="shared" si="153"/>
        <v/>
      </c>
      <c r="HH126" s="109" t="str">
        <f t="shared" si="73"/>
        <v/>
      </c>
      <c r="HI126" s="110" t="str">
        <f t="shared" si="154"/>
        <v/>
      </c>
      <c r="HJ126" s="51"/>
      <c r="HK126" s="108" t="str">
        <f t="shared" si="74"/>
        <v/>
      </c>
      <c r="HL126" s="109" t="str">
        <f t="shared" si="155"/>
        <v/>
      </c>
      <c r="HM126" s="109" t="str">
        <f t="shared" si="75"/>
        <v/>
      </c>
      <c r="HN126" s="110" t="str">
        <f t="shared" si="194"/>
        <v/>
      </c>
      <c r="HO126" s="51"/>
      <c r="HP126" s="108" t="str">
        <f t="shared" si="156"/>
        <v/>
      </c>
      <c r="HQ126" s="109" t="str">
        <f t="shared" si="157"/>
        <v/>
      </c>
      <c r="HR126" s="109" t="str">
        <f t="shared" si="76"/>
        <v/>
      </c>
      <c r="HS126" s="110" t="str">
        <f t="shared" si="158"/>
        <v/>
      </c>
      <c r="HT126" s="51"/>
      <c r="HU126" s="108" t="str">
        <f t="shared" si="77"/>
        <v/>
      </c>
      <c r="HV126" s="109" t="str">
        <f t="shared" si="159"/>
        <v/>
      </c>
      <c r="HW126" s="109" t="str">
        <f t="shared" si="78"/>
        <v/>
      </c>
      <c r="HX126" s="110" t="str">
        <f t="shared" si="195"/>
        <v/>
      </c>
      <c r="HY126" s="51"/>
      <c r="HZ126" s="108" t="str">
        <f t="shared" si="160"/>
        <v/>
      </c>
      <c r="IA126" s="109" t="str">
        <f t="shared" si="161"/>
        <v/>
      </c>
      <c r="IB126" s="109" t="str">
        <f t="shared" si="79"/>
        <v/>
      </c>
      <c r="IC126" s="110" t="str">
        <f t="shared" si="162"/>
        <v/>
      </c>
      <c r="ID126" s="51"/>
      <c r="IE126" s="108" t="str">
        <f t="shared" si="80"/>
        <v/>
      </c>
      <c r="IF126" s="109" t="str">
        <f t="shared" si="163"/>
        <v/>
      </c>
      <c r="IG126" s="109" t="str">
        <f t="shared" si="81"/>
        <v/>
      </c>
      <c r="IH126" s="110" t="str">
        <f t="shared" si="196"/>
        <v/>
      </c>
      <c r="II126" s="51"/>
      <c r="IJ126" s="108" t="str">
        <f t="shared" si="164"/>
        <v/>
      </c>
      <c r="IK126" s="109" t="str">
        <f t="shared" si="165"/>
        <v/>
      </c>
      <c r="IL126" s="109" t="str">
        <f t="shared" si="82"/>
        <v/>
      </c>
      <c r="IM126" s="110" t="str">
        <f t="shared" si="166"/>
        <v/>
      </c>
      <c r="IN126" s="51"/>
      <c r="IO126" s="108" t="str">
        <f t="shared" si="83"/>
        <v/>
      </c>
      <c r="IP126" s="109" t="str">
        <f t="shared" si="167"/>
        <v/>
      </c>
      <c r="IQ126" s="109" t="str">
        <f t="shared" si="84"/>
        <v/>
      </c>
      <c r="IR126" s="110" t="str">
        <f t="shared" si="197"/>
        <v/>
      </c>
      <c r="IS126" s="51"/>
      <c r="IT126" s="108" t="str">
        <f t="shared" si="168"/>
        <v/>
      </c>
      <c r="IU126" s="109" t="str">
        <f t="shared" si="169"/>
        <v/>
      </c>
      <c r="IV126" s="109" t="str">
        <f t="shared" si="85"/>
        <v/>
      </c>
      <c r="IW126" s="110" t="str">
        <f t="shared" si="170"/>
        <v/>
      </c>
      <c r="IX126" s="51"/>
      <c r="IY126" s="108" t="str">
        <f t="shared" si="86"/>
        <v/>
      </c>
      <c r="IZ126" s="109" t="str">
        <f t="shared" si="171"/>
        <v/>
      </c>
      <c r="JA126" s="109" t="str">
        <f t="shared" si="87"/>
        <v/>
      </c>
      <c r="JB126" s="110" t="str">
        <f t="shared" si="198"/>
        <v/>
      </c>
      <c r="JC126" s="51"/>
      <c r="JD126" s="108" t="str">
        <f t="shared" si="172"/>
        <v/>
      </c>
      <c r="JE126" s="109" t="str">
        <f t="shared" si="173"/>
        <v/>
      </c>
      <c r="JF126" s="109" t="str">
        <f t="shared" si="88"/>
        <v/>
      </c>
      <c r="JG126" s="110" t="str">
        <f t="shared" si="174"/>
        <v/>
      </c>
      <c r="JH126" s="51"/>
      <c r="JI126" s="108" t="str">
        <f t="shared" si="89"/>
        <v/>
      </c>
      <c r="JJ126" s="109" t="str">
        <f t="shared" si="175"/>
        <v/>
      </c>
      <c r="JK126" s="109" t="str">
        <f t="shared" si="90"/>
        <v/>
      </c>
      <c r="JL126" s="110" t="str">
        <f t="shared" si="199"/>
        <v/>
      </c>
      <c r="JM126" s="51"/>
      <c r="JN126" s="108" t="str">
        <f t="shared" si="176"/>
        <v/>
      </c>
      <c r="JO126" s="109" t="str">
        <f t="shared" si="177"/>
        <v/>
      </c>
      <c r="JP126" s="109" t="str">
        <f t="shared" si="91"/>
        <v/>
      </c>
      <c r="JQ126" s="110" t="str">
        <f t="shared" si="178"/>
        <v/>
      </c>
      <c r="JR126" s="51"/>
      <c r="JS126" s="108" t="str">
        <f t="shared" si="92"/>
        <v/>
      </c>
      <c r="JT126" s="109" t="str">
        <f t="shared" si="179"/>
        <v/>
      </c>
      <c r="JU126" s="109" t="str">
        <f t="shared" si="93"/>
        <v/>
      </c>
      <c r="JV126" s="110" t="str">
        <f t="shared" si="200"/>
        <v/>
      </c>
      <c r="JW126" s="51"/>
      <c r="JX126" s="108" t="str">
        <f t="shared" si="180"/>
        <v/>
      </c>
      <c r="JY126" s="109" t="str">
        <f t="shared" si="181"/>
        <v/>
      </c>
      <c r="JZ126" s="109" t="str">
        <f t="shared" si="94"/>
        <v/>
      </c>
      <c r="KA126" s="110" t="str">
        <f t="shared" si="95"/>
        <v/>
      </c>
    </row>
    <row r="127" spans="1:287" ht="12" customHeight="1">
      <c r="A127" s="105">
        <f t="array" ref="A127">MAX(IF($J$80:J126&gt;0,$C$80:C126,0))</f>
        <v>43536</v>
      </c>
      <c r="B127" s="81" t="str">
        <f t="shared" si="4"/>
        <v/>
      </c>
      <c r="C127" s="82">
        <f t="shared" si="182"/>
        <v>0</v>
      </c>
      <c r="D127" s="83" t="str">
        <f t="shared" si="5"/>
        <v/>
      </c>
      <c r="E127" s="83" t="str">
        <f t="shared" si="96"/>
        <v/>
      </c>
      <c r="F127" s="83" t="str">
        <f t="shared" si="6"/>
        <v/>
      </c>
      <c r="G127" s="83" t="str">
        <f t="shared" si="7"/>
        <v/>
      </c>
      <c r="H127" s="83" t="str">
        <f t="shared" si="8"/>
        <v/>
      </c>
      <c r="I127" s="105">
        <f t="array" ref="I127">MAX(IF($R$80:R126&gt;0,$L$80:L126,0))</f>
        <v>0</v>
      </c>
      <c r="J127" s="106"/>
      <c r="K127" s="2" t="str">
        <f t="shared" si="9"/>
        <v/>
      </c>
      <c r="L127" s="82">
        <f t="shared" si="183"/>
        <v>0</v>
      </c>
      <c r="M127" s="83" t="str">
        <f t="shared" si="97"/>
        <v/>
      </c>
      <c r="N127" s="83" t="str">
        <f t="shared" si="10"/>
        <v/>
      </c>
      <c r="O127" s="83" t="str">
        <f t="shared" si="11"/>
        <v/>
      </c>
      <c r="P127" s="83" t="str">
        <f t="shared" si="12"/>
        <v/>
      </c>
      <c r="Q127" s="83" t="str">
        <f t="shared" si="13"/>
        <v/>
      </c>
      <c r="R127" s="106"/>
      <c r="S127" s="1"/>
      <c r="U127" s="85" t="e">
        <f t="shared" si="0"/>
        <v>#NUM!</v>
      </c>
      <c r="V127" s="86" t="e">
        <f t="shared" si="98"/>
        <v>#NUM!</v>
      </c>
      <c r="W127" s="87" t="e">
        <f t="shared" si="14"/>
        <v>#NUM!</v>
      </c>
      <c r="X127" s="87" t="e">
        <f t="shared" si="15"/>
        <v>#NUM!</v>
      </c>
      <c r="Y127" s="87" t="e">
        <f t="shared" si="16"/>
        <v>#NUM!</v>
      </c>
      <c r="Z127" s="88" t="e">
        <f t="shared" si="1"/>
        <v>#NUM!</v>
      </c>
      <c r="AA127" t="s">
        <v>282</v>
      </c>
      <c r="AB127" s="89">
        <f t="shared" si="99"/>
        <v>0</v>
      </c>
      <c r="AC127" s="87">
        <f t="shared" si="100"/>
        <v>0</v>
      </c>
      <c r="AD127" s="87" t="str">
        <f t="shared" si="17"/>
        <v/>
      </c>
      <c r="AE127" s="87" t="str">
        <f t="shared" si="18"/>
        <v/>
      </c>
      <c r="AF127" s="86">
        <f t="shared" si="101"/>
        <v>0</v>
      </c>
      <c r="AG127" s="87">
        <f t="shared" si="2"/>
        <v>0</v>
      </c>
      <c r="AH127" s="87">
        <f t="shared" si="102"/>
        <v>0</v>
      </c>
      <c r="AI127" s="90"/>
      <c r="AJ127" s="87" t="e">
        <f t="shared" si="19"/>
        <v>#NUM!</v>
      </c>
      <c r="AK127" s="87" t="e">
        <f t="shared" si="103"/>
        <v>#NUM!</v>
      </c>
      <c r="AL127" s="87" t="e">
        <f t="shared" si="104"/>
        <v>#NUM!</v>
      </c>
      <c r="AM127" s="87" t="e">
        <f t="shared" si="105"/>
        <v>#NUM!</v>
      </c>
      <c r="AN127" s="86">
        <f t="shared" si="20"/>
        <v>0</v>
      </c>
      <c r="AO127" s="87">
        <f t="shared" si="21"/>
        <v>0</v>
      </c>
      <c r="AP127" s="88">
        <f t="shared" si="22"/>
        <v>0</v>
      </c>
      <c r="AR127" s="89">
        <f t="shared" si="23"/>
        <v>0</v>
      </c>
      <c r="AS127" s="87">
        <f t="shared" si="24"/>
        <v>0</v>
      </c>
      <c r="AT127" s="87" t="str">
        <f t="shared" si="25"/>
        <v/>
      </c>
      <c r="AU127" s="87" t="str">
        <f t="shared" si="26"/>
        <v/>
      </c>
      <c r="AV127" s="86">
        <f t="shared" si="106"/>
        <v>0</v>
      </c>
      <c r="AW127" s="87">
        <f t="shared" si="107"/>
        <v>0</v>
      </c>
      <c r="AX127" s="87">
        <f t="shared" si="108"/>
        <v>0</v>
      </c>
      <c r="AY127" s="93"/>
      <c r="AZ127" s="87">
        <f t="shared" si="201"/>
        <v>0</v>
      </c>
      <c r="BA127" s="87">
        <f t="shared" si="109"/>
        <v>0</v>
      </c>
      <c r="BB127" s="87">
        <f t="shared" si="110"/>
        <v>0</v>
      </c>
      <c r="BC127" s="87">
        <f t="shared" si="184"/>
        <v>0</v>
      </c>
      <c r="BD127" s="86" t="e">
        <f t="shared" si="27"/>
        <v>#NUM!</v>
      </c>
      <c r="BE127" s="87" t="e">
        <f t="shared" si="3"/>
        <v>#NUM!</v>
      </c>
      <c r="BF127" s="88">
        <f t="shared" si="111"/>
        <v>0</v>
      </c>
      <c r="BH127" s="87" t="e">
        <f t="shared" si="28"/>
        <v>#NUM!</v>
      </c>
      <c r="BK127" s="95">
        <v>40562</v>
      </c>
      <c r="BL127" s="96">
        <v>48</v>
      </c>
      <c r="BT127" t="s">
        <v>144</v>
      </c>
      <c r="BU127" t="s">
        <v>259</v>
      </c>
      <c r="CS127" s="108" t="str">
        <f t="shared" si="29"/>
        <v/>
      </c>
      <c r="CT127" s="109" t="str">
        <f t="shared" si="30"/>
        <v/>
      </c>
      <c r="CU127" s="109" t="str">
        <f t="shared" si="31"/>
        <v/>
      </c>
      <c r="CV127" s="110" t="str">
        <f t="shared" si="225"/>
        <v/>
      </c>
      <c r="CX127" s="108" t="str">
        <f t="shared" si="33"/>
        <v/>
      </c>
      <c r="CY127" s="109" t="str">
        <f t="shared" si="113"/>
        <v/>
      </c>
      <c r="CZ127" s="109" t="str">
        <f t="shared" si="34"/>
        <v/>
      </c>
      <c r="DA127" s="110" t="str">
        <f t="shared" si="226"/>
        <v/>
      </c>
      <c r="DC127" s="108" t="str">
        <f t="shared" si="114"/>
        <v/>
      </c>
      <c r="DD127" s="109" t="str">
        <f t="shared" si="115"/>
        <v/>
      </c>
      <c r="DE127" s="109" t="str">
        <f t="shared" si="36"/>
        <v/>
      </c>
      <c r="DF127" s="110" t="str">
        <f t="shared" si="227"/>
        <v/>
      </c>
      <c r="DH127" s="108" t="str">
        <f t="shared" si="38"/>
        <v/>
      </c>
      <c r="DI127" s="109" t="str">
        <f t="shared" si="39"/>
        <v/>
      </c>
      <c r="DJ127" s="109" t="str">
        <f t="shared" si="40"/>
        <v/>
      </c>
      <c r="DK127" s="110" t="str">
        <f t="shared" si="228"/>
        <v/>
      </c>
      <c r="DM127" s="108" t="str">
        <f t="shared" si="116"/>
        <v/>
      </c>
      <c r="DN127" s="109" t="str">
        <f t="shared" si="117"/>
        <v/>
      </c>
      <c r="DO127" s="109" t="str">
        <f t="shared" si="42"/>
        <v/>
      </c>
      <c r="DP127" s="110" t="str">
        <f t="shared" si="229"/>
        <v/>
      </c>
      <c r="DR127" s="108" t="str">
        <f t="shared" si="43"/>
        <v/>
      </c>
      <c r="DS127" s="109" t="str">
        <f t="shared" si="118"/>
        <v/>
      </c>
      <c r="DT127" s="109" t="str">
        <f t="shared" si="44"/>
        <v/>
      </c>
      <c r="DU127" s="110" t="str">
        <f t="shared" si="230"/>
        <v/>
      </c>
      <c r="DW127" s="108" t="str">
        <f t="shared" si="120"/>
        <v/>
      </c>
      <c r="DX127" s="109" t="str">
        <f t="shared" si="121"/>
        <v/>
      </c>
      <c r="DY127" s="109" t="str">
        <f t="shared" si="45"/>
        <v/>
      </c>
      <c r="DZ127" s="110" t="str">
        <f t="shared" si="231"/>
        <v/>
      </c>
      <c r="EB127" s="108" t="str">
        <f t="shared" si="46"/>
        <v/>
      </c>
      <c r="EC127" s="109" t="str">
        <f t="shared" si="122"/>
        <v/>
      </c>
      <c r="ED127" s="109" t="str">
        <f t="shared" si="47"/>
        <v/>
      </c>
      <c r="EE127" s="110" t="str">
        <f t="shared" si="232"/>
        <v/>
      </c>
      <c r="EG127" s="108" t="str">
        <f t="shared" si="124"/>
        <v/>
      </c>
      <c r="EH127" s="109" t="str">
        <f t="shared" si="125"/>
        <v/>
      </c>
      <c r="EI127" s="109" t="str">
        <f t="shared" si="48"/>
        <v/>
      </c>
      <c r="EJ127" s="110" t="str">
        <f t="shared" si="233"/>
        <v/>
      </c>
      <c r="EL127" s="108" t="str">
        <f t="shared" si="49"/>
        <v/>
      </c>
      <c r="EM127" s="109" t="str">
        <f t="shared" si="126"/>
        <v/>
      </c>
      <c r="EN127" s="109" t="str">
        <f t="shared" si="50"/>
        <v/>
      </c>
      <c r="EO127" s="110" t="str">
        <f t="shared" si="234"/>
        <v/>
      </c>
      <c r="EQ127" s="108" t="str">
        <f t="shared" si="128"/>
        <v/>
      </c>
      <c r="ER127" s="109" t="str">
        <f t="shared" si="129"/>
        <v/>
      </c>
      <c r="ES127" s="109" t="str">
        <f t="shared" si="51"/>
        <v/>
      </c>
      <c r="ET127" s="110" t="str">
        <f t="shared" si="235"/>
        <v/>
      </c>
      <c r="EV127" s="108" t="str">
        <f t="shared" si="52"/>
        <v/>
      </c>
      <c r="EW127" s="109" t="str">
        <f t="shared" si="130"/>
        <v/>
      </c>
      <c r="EX127" s="109" t="str">
        <f t="shared" si="53"/>
        <v/>
      </c>
      <c r="EY127" s="110" t="str">
        <f t="shared" si="236"/>
        <v/>
      </c>
      <c r="FA127" s="108" t="str">
        <f t="shared" si="132"/>
        <v/>
      </c>
      <c r="FB127" s="109" t="str">
        <f t="shared" si="133"/>
        <v/>
      </c>
      <c r="FC127" s="109" t="str">
        <f t="shared" si="54"/>
        <v/>
      </c>
      <c r="FD127" s="110" t="str">
        <f t="shared" si="237"/>
        <v/>
      </c>
      <c r="FF127" s="108" t="str">
        <f t="shared" si="55"/>
        <v/>
      </c>
      <c r="FG127" s="109" t="str">
        <f t="shared" si="134"/>
        <v/>
      </c>
      <c r="FH127" s="109" t="str">
        <f t="shared" si="56"/>
        <v/>
      </c>
      <c r="FI127" s="110" t="str">
        <f t="shared" si="238"/>
        <v/>
      </c>
      <c r="FK127" s="108" t="str">
        <f t="shared" si="136"/>
        <v/>
      </c>
      <c r="FL127" s="109" t="str">
        <f t="shared" si="137"/>
        <v/>
      </c>
      <c r="FM127" s="109" t="str">
        <f t="shared" si="57"/>
        <v/>
      </c>
      <c r="FN127" s="110" t="str">
        <f t="shared" si="239"/>
        <v/>
      </c>
      <c r="FP127" s="108" t="str">
        <f t="shared" si="58"/>
        <v/>
      </c>
      <c r="FQ127" s="109" t="str">
        <f t="shared" si="138"/>
        <v/>
      </c>
      <c r="FR127" s="109" t="str">
        <f t="shared" si="59"/>
        <v/>
      </c>
      <c r="FS127" s="110" t="str">
        <f t="shared" si="240"/>
        <v/>
      </c>
      <c r="FU127" s="108" t="str">
        <f t="shared" si="140"/>
        <v/>
      </c>
      <c r="FV127" s="109" t="str">
        <f t="shared" si="141"/>
        <v/>
      </c>
      <c r="FW127" s="109" t="str">
        <f t="shared" si="60"/>
        <v/>
      </c>
      <c r="FX127" s="110" t="str">
        <f t="shared" si="241"/>
        <v/>
      </c>
      <c r="FZ127" s="108" t="str">
        <f t="shared" si="61"/>
        <v/>
      </c>
      <c r="GA127" s="109" t="str">
        <f t="shared" si="142"/>
        <v/>
      </c>
      <c r="GB127" s="109" t="str">
        <f t="shared" si="62"/>
        <v/>
      </c>
      <c r="GC127" s="110" t="str">
        <f t="shared" si="242"/>
        <v/>
      </c>
      <c r="GE127" s="108" t="str">
        <f t="shared" si="144"/>
        <v/>
      </c>
      <c r="GF127" s="109" t="str">
        <f t="shared" si="145"/>
        <v/>
      </c>
      <c r="GG127" s="109" t="str">
        <f t="shared" si="146"/>
        <v/>
      </c>
      <c r="GH127" s="110" t="str">
        <f t="shared" si="243"/>
        <v/>
      </c>
      <c r="GL127" s="108" t="str">
        <f t="shared" si="63"/>
        <v/>
      </c>
      <c r="GM127" s="109" t="str">
        <f t="shared" si="64"/>
        <v/>
      </c>
      <c r="GN127" s="109" t="str">
        <f t="shared" si="65"/>
        <v/>
      </c>
      <c r="GO127" s="110" t="str">
        <f t="shared" si="66"/>
        <v/>
      </c>
      <c r="GP127" s="51"/>
      <c r="GQ127" s="108" t="str">
        <f t="shared" si="67"/>
        <v/>
      </c>
      <c r="GR127" s="109" t="str">
        <f t="shared" si="147"/>
        <v/>
      </c>
      <c r="GS127" s="109" t="str">
        <f t="shared" si="68"/>
        <v/>
      </c>
      <c r="GT127" s="110" t="str">
        <f t="shared" si="69"/>
        <v/>
      </c>
      <c r="GU127" s="51"/>
      <c r="GV127" s="108" t="str">
        <f t="shared" si="148"/>
        <v/>
      </c>
      <c r="GW127" s="109" t="str">
        <f t="shared" si="149"/>
        <v/>
      </c>
      <c r="GX127" s="109" t="str">
        <f t="shared" si="70"/>
        <v/>
      </c>
      <c r="GY127" s="110" t="str">
        <f t="shared" si="150"/>
        <v/>
      </c>
      <c r="GZ127" s="51"/>
      <c r="HA127" s="108" t="str">
        <f t="shared" si="71"/>
        <v/>
      </c>
      <c r="HB127" s="109" t="str">
        <f t="shared" si="151"/>
        <v/>
      </c>
      <c r="HC127" s="109" t="str">
        <f t="shared" si="72"/>
        <v/>
      </c>
      <c r="HD127" s="110" t="str">
        <f t="shared" si="193"/>
        <v/>
      </c>
      <c r="HE127" s="51"/>
      <c r="HF127" s="108" t="str">
        <f t="shared" si="152"/>
        <v/>
      </c>
      <c r="HG127" s="109" t="str">
        <f t="shared" si="153"/>
        <v/>
      </c>
      <c r="HH127" s="109" t="str">
        <f t="shared" si="73"/>
        <v/>
      </c>
      <c r="HI127" s="110" t="str">
        <f t="shared" si="154"/>
        <v/>
      </c>
      <c r="HJ127" s="51"/>
      <c r="HK127" s="108" t="str">
        <f t="shared" si="74"/>
        <v/>
      </c>
      <c r="HL127" s="109" t="str">
        <f t="shared" si="155"/>
        <v/>
      </c>
      <c r="HM127" s="109" t="str">
        <f t="shared" si="75"/>
        <v/>
      </c>
      <c r="HN127" s="110" t="str">
        <f t="shared" si="194"/>
        <v/>
      </c>
      <c r="HO127" s="51"/>
      <c r="HP127" s="108" t="str">
        <f t="shared" si="156"/>
        <v/>
      </c>
      <c r="HQ127" s="109" t="str">
        <f t="shared" si="157"/>
        <v/>
      </c>
      <c r="HR127" s="109" t="str">
        <f t="shared" si="76"/>
        <v/>
      </c>
      <c r="HS127" s="110" t="str">
        <f t="shared" si="158"/>
        <v/>
      </c>
      <c r="HT127" s="51"/>
      <c r="HU127" s="108" t="str">
        <f t="shared" si="77"/>
        <v/>
      </c>
      <c r="HV127" s="109" t="str">
        <f t="shared" si="159"/>
        <v/>
      </c>
      <c r="HW127" s="109" t="str">
        <f t="shared" si="78"/>
        <v/>
      </c>
      <c r="HX127" s="110" t="str">
        <f t="shared" si="195"/>
        <v/>
      </c>
      <c r="HY127" s="51"/>
      <c r="HZ127" s="108" t="str">
        <f t="shared" si="160"/>
        <v/>
      </c>
      <c r="IA127" s="109" t="str">
        <f t="shared" si="161"/>
        <v/>
      </c>
      <c r="IB127" s="109" t="str">
        <f t="shared" si="79"/>
        <v/>
      </c>
      <c r="IC127" s="110" t="str">
        <f t="shared" si="162"/>
        <v/>
      </c>
      <c r="ID127" s="51"/>
      <c r="IE127" s="108" t="str">
        <f t="shared" si="80"/>
        <v/>
      </c>
      <c r="IF127" s="109" t="str">
        <f t="shared" si="163"/>
        <v/>
      </c>
      <c r="IG127" s="109" t="str">
        <f t="shared" si="81"/>
        <v/>
      </c>
      <c r="IH127" s="110" t="str">
        <f t="shared" si="196"/>
        <v/>
      </c>
      <c r="II127" s="51"/>
      <c r="IJ127" s="108" t="str">
        <f t="shared" si="164"/>
        <v/>
      </c>
      <c r="IK127" s="109" t="str">
        <f t="shared" si="165"/>
        <v/>
      </c>
      <c r="IL127" s="109" t="str">
        <f t="shared" si="82"/>
        <v/>
      </c>
      <c r="IM127" s="110" t="str">
        <f t="shared" si="166"/>
        <v/>
      </c>
      <c r="IN127" s="51"/>
      <c r="IO127" s="108" t="str">
        <f t="shared" si="83"/>
        <v/>
      </c>
      <c r="IP127" s="109" t="str">
        <f t="shared" si="167"/>
        <v/>
      </c>
      <c r="IQ127" s="109" t="str">
        <f t="shared" si="84"/>
        <v/>
      </c>
      <c r="IR127" s="110" t="str">
        <f t="shared" si="197"/>
        <v/>
      </c>
      <c r="IS127" s="51"/>
      <c r="IT127" s="108" t="str">
        <f t="shared" si="168"/>
        <v/>
      </c>
      <c r="IU127" s="109" t="str">
        <f t="shared" si="169"/>
        <v/>
      </c>
      <c r="IV127" s="109" t="str">
        <f t="shared" si="85"/>
        <v/>
      </c>
      <c r="IW127" s="110" t="str">
        <f t="shared" si="170"/>
        <v/>
      </c>
      <c r="IX127" s="51"/>
      <c r="IY127" s="108" t="str">
        <f t="shared" si="86"/>
        <v/>
      </c>
      <c r="IZ127" s="109" t="str">
        <f t="shared" si="171"/>
        <v/>
      </c>
      <c r="JA127" s="109" t="str">
        <f t="shared" si="87"/>
        <v/>
      </c>
      <c r="JB127" s="110" t="str">
        <f t="shared" si="198"/>
        <v/>
      </c>
      <c r="JC127" s="51"/>
      <c r="JD127" s="108" t="str">
        <f t="shared" si="172"/>
        <v/>
      </c>
      <c r="JE127" s="109" t="str">
        <f t="shared" si="173"/>
        <v/>
      </c>
      <c r="JF127" s="109" t="str">
        <f t="shared" si="88"/>
        <v/>
      </c>
      <c r="JG127" s="110" t="str">
        <f t="shared" si="174"/>
        <v/>
      </c>
      <c r="JH127" s="51"/>
      <c r="JI127" s="108" t="str">
        <f t="shared" si="89"/>
        <v/>
      </c>
      <c r="JJ127" s="109" t="str">
        <f t="shared" si="175"/>
        <v/>
      </c>
      <c r="JK127" s="109" t="str">
        <f t="shared" si="90"/>
        <v/>
      </c>
      <c r="JL127" s="110" t="str">
        <f t="shared" si="199"/>
        <v/>
      </c>
      <c r="JM127" s="51"/>
      <c r="JN127" s="108" t="str">
        <f t="shared" si="176"/>
        <v/>
      </c>
      <c r="JO127" s="109" t="str">
        <f t="shared" si="177"/>
        <v/>
      </c>
      <c r="JP127" s="109" t="str">
        <f t="shared" si="91"/>
        <v/>
      </c>
      <c r="JQ127" s="110" t="str">
        <f t="shared" si="178"/>
        <v/>
      </c>
      <c r="JR127" s="51"/>
      <c r="JS127" s="108" t="str">
        <f t="shared" si="92"/>
        <v/>
      </c>
      <c r="JT127" s="109" t="str">
        <f t="shared" si="179"/>
        <v/>
      </c>
      <c r="JU127" s="109" t="str">
        <f t="shared" si="93"/>
        <v/>
      </c>
      <c r="JV127" s="110" t="str">
        <f t="shared" si="200"/>
        <v/>
      </c>
      <c r="JW127" s="51"/>
      <c r="JX127" s="108" t="str">
        <f t="shared" si="180"/>
        <v/>
      </c>
      <c r="JY127" s="109" t="str">
        <f t="shared" si="181"/>
        <v/>
      </c>
      <c r="JZ127" s="109" t="str">
        <f t="shared" si="94"/>
        <v/>
      </c>
      <c r="KA127" s="110" t="str">
        <f t="shared" si="95"/>
        <v/>
      </c>
    </row>
    <row r="128" spans="1:287" ht="12" customHeight="1">
      <c r="A128" s="105">
        <f t="array" ref="A128">MAX(IF($J$80:J127&gt;0,$C$80:C127,0))</f>
        <v>43536</v>
      </c>
      <c r="B128" s="81" t="str">
        <f t="shared" si="4"/>
        <v/>
      </c>
      <c r="C128" s="82">
        <f t="shared" si="182"/>
        <v>0</v>
      </c>
      <c r="D128" s="83" t="str">
        <f t="shared" si="5"/>
        <v/>
      </c>
      <c r="E128" s="83" t="str">
        <f t="shared" si="96"/>
        <v/>
      </c>
      <c r="F128" s="83" t="str">
        <f t="shared" si="6"/>
        <v/>
      </c>
      <c r="G128" s="83" t="str">
        <f t="shared" si="7"/>
        <v/>
      </c>
      <c r="H128" s="83" t="str">
        <f t="shared" si="8"/>
        <v/>
      </c>
      <c r="I128" s="105">
        <f t="array" ref="I128">MAX(IF($R$80:R127&gt;0,$L$80:L127,0))</f>
        <v>0</v>
      </c>
      <c r="J128" s="106"/>
      <c r="K128" s="2" t="str">
        <f t="shared" si="9"/>
        <v/>
      </c>
      <c r="L128" s="82">
        <f t="shared" si="183"/>
        <v>0</v>
      </c>
      <c r="M128" s="83" t="str">
        <f t="shared" si="97"/>
        <v/>
      </c>
      <c r="N128" s="83" t="str">
        <f t="shared" si="10"/>
        <v/>
      </c>
      <c r="O128" s="83" t="str">
        <f t="shared" si="11"/>
        <v/>
      </c>
      <c r="P128" s="83" t="str">
        <f t="shared" si="12"/>
        <v/>
      </c>
      <c r="Q128" s="83" t="str">
        <f t="shared" si="13"/>
        <v/>
      </c>
      <c r="R128" s="106"/>
      <c r="S128" s="1"/>
      <c r="U128" s="85" t="e">
        <f t="shared" si="0"/>
        <v>#NUM!</v>
      </c>
      <c r="V128" s="86" t="e">
        <f t="shared" si="98"/>
        <v>#NUM!</v>
      </c>
      <c r="W128" s="87" t="e">
        <f t="shared" si="14"/>
        <v>#NUM!</v>
      </c>
      <c r="X128" s="87" t="e">
        <f t="shared" si="15"/>
        <v>#NUM!</v>
      </c>
      <c r="Y128" s="87" t="e">
        <f t="shared" si="16"/>
        <v>#NUM!</v>
      </c>
      <c r="Z128" s="88" t="e">
        <f t="shared" si="1"/>
        <v>#NUM!</v>
      </c>
      <c r="AA128" t="s">
        <v>282</v>
      </c>
      <c r="AB128" s="89">
        <f t="shared" si="99"/>
        <v>0</v>
      </c>
      <c r="AC128" s="87">
        <f t="shared" si="100"/>
        <v>0</v>
      </c>
      <c r="AD128" s="87" t="str">
        <f t="shared" si="17"/>
        <v/>
      </c>
      <c r="AE128" s="87" t="str">
        <f t="shared" si="18"/>
        <v/>
      </c>
      <c r="AF128" s="86">
        <f t="shared" si="101"/>
        <v>0</v>
      </c>
      <c r="AG128" s="87">
        <f t="shared" si="2"/>
        <v>0</v>
      </c>
      <c r="AH128" s="87">
        <f t="shared" si="102"/>
        <v>0</v>
      </c>
      <c r="AI128" s="90"/>
      <c r="AJ128" s="87" t="e">
        <f t="shared" si="19"/>
        <v>#NUM!</v>
      </c>
      <c r="AK128" s="87" t="e">
        <f t="shared" si="103"/>
        <v>#NUM!</v>
      </c>
      <c r="AL128" s="87" t="e">
        <f t="shared" si="104"/>
        <v>#NUM!</v>
      </c>
      <c r="AM128" s="87" t="e">
        <f t="shared" si="105"/>
        <v>#NUM!</v>
      </c>
      <c r="AN128" s="86">
        <f t="shared" si="20"/>
        <v>0</v>
      </c>
      <c r="AO128" s="87">
        <f t="shared" si="21"/>
        <v>0</v>
      </c>
      <c r="AP128" s="88">
        <f t="shared" si="22"/>
        <v>0</v>
      </c>
      <c r="AR128" s="89">
        <f t="shared" si="23"/>
        <v>0</v>
      </c>
      <c r="AS128" s="87">
        <f t="shared" si="24"/>
        <v>0</v>
      </c>
      <c r="AT128" s="87" t="str">
        <f t="shared" si="25"/>
        <v/>
      </c>
      <c r="AU128" s="87" t="str">
        <f t="shared" si="26"/>
        <v/>
      </c>
      <c r="AV128" s="86">
        <f t="shared" si="106"/>
        <v>0</v>
      </c>
      <c r="AW128" s="87">
        <f t="shared" si="107"/>
        <v>0</v>
      </c>
      <c r="AX128" s="87">
        <f t="shared" si="108"/>
        <v>0</v>
      </c>
      <c r="AY128" s="93"/>
      <c r="AZ128" s="87">
        <f t="shared" si="201"/>
        <v>0</v>
      </c>
      <c r="BA128" s="87">
        <f t="shared" si="109"/>
        <v>0</v>
      </c>
      <c r="BB128" s="87">
        <f t="shared" si="110"/>
        <v>0</v>
      </c>
      <c r="BC128" s="87">
        <f t="shared" si="184"/>
        <v>0</v>
      </c>
      <c r="BD128" s="86" t="e">
        <f t="shared" si="27"/>
        <v>#NUM!</v>
      </c>
      <c r="BE128" s="87" t="e">
        <f t="shared" si="3"/>
        <v>#NUM!</v>
      </c>
      <c r="BF128" s="88">
        <f t="shared" si="111"/>
        <v>0</v>
      </c>
      <c r="BH128" s="87" t="e">
        <f t="shared" si="28"/>
        <v>#NUM!</v>
      </c>
      <c r="BK128" s="95">
        <v>40605</v>
      </c>
      <c r="BL128" s="96">
        <v>49</v>
      </c>
      <c r="BT128">
        <v>0</v>
      </c>
      <c r="BU128" s="51">
        <v>300</v>
      </c>
      <c r="BV128" s="30" t="s">
        <v>497</v>
      </c>
      <c r="CF128" s="30" t="s">
        <v>497</v>
      </c>
      <c r="CG128" s="30" t="s">
        <v>497</v>
      </c>
      <c r="CS128" s="108" t="str">
        <f t="shared" si="29"/>
        <v/>
      </c>
      <c r="CT128" s="109" t="str">
        <f t="shared" si="30"/>
        <v/>
      </c>
      <c r="CU128" s="109" t="str">
        <f t="shared" si="31"/>
        <v/>
      </c>
      <c r="CV128" s="110" t="str">
        <f t="shared" si="225"/>
        <v/>
      </c>
      <c r="CX128" s="108" t="str">
        <f t="shared" si="33"/>
        <v/>
      </c>
      <c r="CY128" s="109" t="str">
        <f t="shared" si="113"/>
        <v/>
      </c>
      <c r="CZ128" s="109" t="str">
        <f t="shared" si="34"/>
        <v/>
      </c>
      <c r="DA128" s="110" t="str">
        <f t="shared" si="226"/>
        <v/>
      </c>
      <c r="DC128" s="108" t="str">
        <f t="shared" si="114"/>
        <v/>
      </c>
      <c r="DD128" s="109" t="str">
        <f t="shared" si="115"/>
        <v/>
      </c>
      <c r="DE128" s="109" t="str">
        <f t="shared" si="36"/>
        <v/>
      </c>
      <c r="DF128" s="110" t="str">
        <f t="shared" si="227"/>
        <v/>
      </c>
      <c r="DH128" s="108" t="str">
        <f t="shared" si="38"/>
        <v/>
      </c>
      <c r="DI128" s="109" t="str">
        <f t="shared" si="39"/>
        <v/>
      </c>
      <c r="DJ128" s="109" t="str">
        <f t="shared" si="40"/>
        <v/>
      </c>
      <c r="DK128" s="110" t="str">
        <f t="shared" si="228"/>
        <v/>
      </c>
      <c r="DM128" s="108" t="str">
        <f t="shared" si="116"/>
        <v/>
      </c>
      <c r="DN128" s="109" t="str">
        <f t="shared" si="117"/>
        <v/>
      </c>
      <c r="DO128" s="109" t="str">
        <f t="shared" si="42"/>
        <v/>
      </c>
      <c r="DP128" s="110" t="str">
        <f t="shared" si="229"/>
        <v/>
      </c>
      <c r="DR128" s="108" t="str">
        <f t="shared" si="43"/>
        <v/>
      </c>
      <c r="DS128" s="109" t="str">
        <f t="shared" si="118"/>
        <v/>
      </c>
      <c r="DT128" s="109" t="str">
        <f t="shared" si="44"/>
        <v/>
      </c>
      <c r="DU128" s="110" t="str">
        <f t="shared" si="230"/>
        <v/>
      </c>
      <c r="DW128" s="108" t="str">
        <f t="shared" si="120"/>
        <v/>
      </c>
      <c r="DX128" s="109" t="str">
        <f t="shared" si="121"/>
        <v/>
      </c>
      <c r="DY128" s="109" t="str">
        <f t="shared" si="45"/>
        <v/>
      </c>
      <c r="DZ128" s="110" t="str">
        <f t="shared" si="231"/>
        <v/>
      </c>
      <c r="EB128" s="108" t="str">
        <f t="shared" si="46"/>
        <v/>
      </c>
      <c r="EC128" s="109" t="str">
        <f t="shared" si="122"/>
        <v/>
      </c>
      <c r="ED128" s="109" t="str">
        <f t="shared" si="47"/>
        <v/>
      </c>
      <c r="EE128" s="110" t="str">
        <f t="shared" si="232"/>
        <v/>
      </c>
      <c r="EG128" s="108" t="str">
        <f t="shared" si="124"/>
        <v/>
      </c>
      <c r="EH128" s="109" t="str">
        <f t="shared" si="125"/>
        <v/>
      </c>
      <c r="EI128" s="109" t="str">
        <f t="shared" si="48"/>
        <v/>
      </c>
      <c r="EJ128" s="110" t="str">
        <f t="shared" si="233"/>
        <v/>
      </c>
      <c r="EL128" s="108" t="str">
        <f t="shared" si="49"/>
        <v/>
      </c>
      <c r="EM128" s="109" t="str">
        <f t="shared" si="126"/>
        <v/>
      </c>
      <c r="EN128" s="109" t="str">
        <f t="shared" si="50"/>
        <v/>
      </c>
      <c r="EO128" s="110" t="str">
        <f t="shared" si="234"/>
        <v/>
      </c>
      <c r="EQ128" s="108" t="str">
        <f t="shared" si="128"/>
        <v/>
      </c>
      <c r="ER128" s="109" t="str">
        <f t="shared" si="129"/>
        <v/>
      </c>
      <c r="ES128" s="109" t="str">
        <f t="shared" si="51"/>
        <v/>
      </c>
      <c r="ET128" s="110" t="str">
        <f t="shared" si="235"/>
        <v/>
      </c>
      <c r="EV128" s="108" t="str">
        <f t="shared" si="52"/>
        <v/>
      </c>
      <c r="EW128" s="109" t="str">
        <f t="shared" si="130"/>
        <v/>
      </c>
      <c r="EX128" s="109" t="str">
        <f t="shared" si="53"/>
        <v/>
      </c>
      <c r="EY128" s="110" t="str">
        <f t="shared" si="236"/>
        <v/>
      </c>
      <c r="FA128" s="108" t="str">
        <f t="shared" si="132"/>
        <v/>
      </c>
      <c r="FB128" s="109" t="str">
        <f t="shared" si="133"/>
        <v/>
      </c>
      <c r="FC128" s="109" t="str">
        <f t="shared" si="54"/>
        <v/>
      </c>
      <c r="FD128" s="110" t="str">
        <f t="shared" si="237"/>
        <v/>
      </c>
      <c r="FF128" s="108" t="str">
        <f t="shared" si="55"/>
        <v/>
      </c>
      <c r="FG128" s="109" t="str">
        <f t="shared" si="134"/>
        <v/>
      </c>
      <c r="FH128" s="109" t="str">
        <f t="shared" si="56"/>
        <v/>
      </c>
      <c r="FI128" s="110" t="str">
        <f t="shared" si="238"/>
        <v/>
      </c>
      <c r="FK128" s="108" t="str">
        <f t="shared" si="136"/>
        <v/>
      </c>
      <c r="FL128" s="109" t="str">
        <f t="shared" si="137"/>
        <v/>
      </c>
      <c r="FM128" s="109" t="str">
        <f t="shared" si="57"/>
        <v/>
      </c>
      <c r="FN128" s="110" t="str">
        <f t="shared" si="239"/>
        <v/>
      </c>
      <c r="FP128" s="108" t="str">
        <f t="shared" si="58"/>
        <v/>
      </c>
      <c r="FQ128" s="109" t="str">
        <f t="shared" si="138"/>
        <v/>
      </c>
      <c r="FR128" s="109" t="str">
        <f t="shared" si="59"/>
        <v/>
      </c>
      <c r="FS128" s="110" t="str">
        <f t="shared" si="240"/>
        <v/>
      </c>
      <c r="FU128" s="108" t="str">
        <f t="shared" si="140"/>
        <v/>
      </c>
      <c r="FV128" s="109" t="str">
        <f t="shared" si="141"/>
        <v/>
      </c>
      <c r="FW128" s="109" t="str">
        <f t="shared" si="60"/>
        <v/>
      </c>
      <c r="FX128" s="110" t="str">
        <f t="shared" si="241"/>
        <v/>
      </c>
      <c r="FZ128" s="108" t="str">
        <f t="shared" si="61"/>
        <v/>
      </c>
      <c r="GA128" s="109" t="str">
        <f t="shared" si="142"/>
        <v/>
      </c>
      <c r="GB128" s="109" t="str">
        <f t="shared" si="62"/>
        <v/>
      </c>
      <c r="GC128" s="110" t="str">
        <f t="shared" si="242"/>
        <v/>
      </c>
      <c r="GE128" s="108" t="str">
        <f t="shared" si="144"/>
        <v/>
      </c>
      <c r="GF128" s="109" t="str">
        <f t="shared" si="145"/>
        <v/>
      </c>
      <c r="GG128" s="109" t="str">
        <f t="shared" si="146"/>
        <v/>
      </c>
      <c r="GH128" s="110" t="str">
        <f t="shared" si="243"/>
        <v/>
      </c>
      <c r="GL128" s="108" t="str">
        <f t="shared" si="63"/>
        <v/>
      </c>
      <c r="GM128" s="109" t="str">
        <f t="shared" si="64"/>
        <v/>
      </c>
      <c r="GN128" s="109" t="str">
        <f t="shared" si="65"/>
        <v/>
      </c>
      <c r="GO128" s="110" t="str">
        <f t="shared" si="66"/>
        <v/>
      </c>
      <c r="GP128" s="51"/>
      <c r="GQ128" s="108" t="str">
        <f t="shared" si="67"/>
        <v/>
      </c>
      <c r="GR128" s="109" t="str">
        <f t="shared" si="147"/>
        <v/>
      </c>
      <c r="GS128" s="109" t="str">
        <f t="shared" si="68"/>
        <v/>
      </c>
      <c r="GT128" s="110" t="str">
        <f t="shared" si="69"/>
        <v/>
      </c>
      <c r="GU128" s="51"/>
      <c r="GV128" s="108" t="str">
        <f t="shared" si="148"/>
        <v/>
      </c>
      <c r="GW128" s="109" t="str">
        <f t="shared" si="149"/>
        <v/>
      </c>
      <c r="GX128" s="109" t="str">
        <f t="shared" si="70"/>
        <v/>
      </c>
      <c r="GY128" s="110" t="str">
        <f t="shared" si="150"/>
        <v/>
      </c>
      <c r="GZ128" s="51"/>
      <c r="HA128" s="108" t="str">
        <f t="shared" si="71"/>
        <v/>
      </c>
      <c r="HB128" s="109" t="str">
        <f t="shared" si="151"/>
        <v/>
      </c>
      <c r="HC128" s="109" t="str">
        <f t="shared" si="72"/>
        <v/>
      </c>
      <c r="HD128" s="110" t="str">
        <f t="shared" si="193"/>
        <v/>
      </c>
      <c r="HE128" s="51"/>
      <c r="HF128" s="108" t="str">
        <f t="shared" si="152"/>
        <v/>
      </c>
      <c r="HG128" s="109" t="str">
        <f t="shared" si="153"/>
        <v/>
      </c>
      <c r="HH128" s="109" t="str">
        <f t="shared" si="73"/>
        <v/>
      </c>
      <c r="HI128" s="110" t="str">
        <f t="shared" si="154"/>
        <v/>
      </c>
      <c r="HJ128" s="51"/>
      <c r="HK128" s="108" t="str">
        <f t="shared" si="74"/>
        <v/>
      </c>
      <c r="HL128" s="109" t="str">
        <f t="shared" si="155"/>
        <v/>
      </c>
      <c r="HM128" s="109" t="str">
        <f t="shared" si="75"/>
        <v/>
      </c>
      <c r="HN128" s="110" t="str">
        <f t="shared" si="194"/>
        <v/>
      </c>
      <c r="HO128" s="51"/>
      <c r="HP128" s="108" t="str">
        <f t="shared" si="156"/>
        <v/>
      </c>
      <c r="HQ128" s="109" t="str">
        <f t="shared" si="157"/>
        <v/>
      </c>
      <c r="HR128" s="109" t="str">
        <f t="shared" si="76"/>
        <v/>
      </c>
      <c r="HS128" s="110" t="str">
        <f t="shared" si="158"/>
        <v/>
      </c>
      <c r="HT128" s="51"/>
      <c r="HU128" s="108" t="str">
        <f t="shared" si="77"/>
        <v/>
      </c>
      <c r="HV128" s="109" t="str">
        <f t="shared" si="159"/>
        <v/>
      </c>
      <c r="HW128" s="109" t="str">
        <f t="shared" si="78"/>
        <v/>
      </c>
      <c r="HX128" s="110" t="str">
        <f t="shared" si="195"/>
        <v/>
      </c>
      <c r="HY128" s="51"/>
      <c r="HZ128" s="108" t="str">
        <f t="shared" si="160"/>
        <v/>
      </c>
      <c r="IA128" s="109" t="str">
        <f t="shared" si="161"/>
        <v/>
      </c>
      <c r="IB128" s="109" t="str">
        <f t="shared" si="79"/>
        <v/>
      </c>
      <c r="IC128" s="110" t="str">
        <f t="shared" si="162"/>
        <v/>
      </c>
      <c r="ID128" s="51"/>
      <c r="IE128" s="108" t="str">
        <f t="shared" si="80"/>
        <v/>
      </c>
      <c r="IF128" s="109" t="str">
        <f t="shared" si="163"/>
        <v/>
      </c>
      <c r="IG128" s="109" t="str">
        <f t="shared" si="81"/>
        <v/>
      </c>
      <c r="IH128" s="110" t="str">
        <f t="shared" si="196"/>
        <v/>
      </c>
      <c r="II128" s="51"/>
      <c r="IJ128" s="108" t="str">
        <f t="shared" si="164"/>
        <v/>
      </c>
      <c r="IK128" s="109" t="str">
        <f t="shared" si="165"/>
        <v/>
      </c>
      <c r="IL128" s="109" t="str">
        <f t="shared" si="82"/>
        <v/>
      </c>
      <c r="IM128" s="110" t="str">
        <f t="shared" si="166"/>
        <v/>
      </c>
      <c r="IN128" s="51"/>
      <c r="IO128" s="108" t="str">
        <f t="shared" si="83"/>
        <v/>
      </c>
      <c r="IP128" s="109" t="str">
        <f t="shared" si="167"/>
        <v/>
      </c>
      <c r="IQ128" s="109" t="str">
        <f t="shared" si="84"/>
        <v/>
      </c>
      <c r="IR128" s="110" t="str">
        <f t="shared" si="197"/>
        <v/>
      </c>
      <c r="IS128" s="51"/>
      <c r="IT128" s="108" t="str">
        <f t="shared" si="168"/>
        <v/>
      </c>
      <c r="IU128" s="109" t="str">
        <f t="shared" si="169"/>
        <v/>
      </c>
      <c r="IV128" s="109" t="str">
        <f t="shared" si="85"/>
        <v/>
      </c>
      <c r="IW128" s="110" t="str">
        <f t="shared" si="170"/>
        <v/>
      </c>
      <c r="IX128" s="51"/>
      <c r="IY128" s="108" t="str">
        <f t="shared" si="86"/>
        <v/>
      </c>
      <c r="IZ128" s="109" t="str">
        <f t="shared" si="171"/>
        <v/>
      </c>
      <c r="JA128" s="109" t="str">
        <f t="shared" si="87"/>
        <v/>
      </c>
      <c r="JB128" s="110" t="str">
        <f t="shared" si="198"/>
        <v/>
      </c>
      <c r="JC128" s="51"/>
      <c r="JD128" s="108" t="str">
        <f t="shared" si="172"/>
        <v/>
      </c>
      <c r="JE128" s="109" t="str">
        <f t="shared" si="173"/>
        <v/>
      </c>
      <c r="JF128" s="109" t="str">
        <f t="shared" si="88"/>
        <v/>
      </c>
      <c r="JG128" s="110" t="str">
        <f t="shared" si="174"/>
        <v/>
      </c>
      <c r="JH128" s="51"/>
      <c r="JI128" s="108" t="str">
        <f t="shared" si="89"/>
        <v/>
      </c>
      <c r="JJ128" s="109" t="str">
        <f t="shared" si="175"/>
        <v/>
      </c>
      <c r="JK128" s="109" t="str">
        <f t="shared" si="90"/>
        <v/>
      </c>
      <c r="JL128" s="110" t="str">
        <f t="shared" si="199"/>
        <v/>
      </c>
      <c r="JM128" s="51"/>
      <c r="JN128" s="108" t="str">
        <f t="shared" si="176"/>
        <v/>
      </c>
      <c r="JO128" s="109" t="str">
        <f t="shared" si="177"/>
        <v/>
      </c>
      <c r="JP128" s="109" t="str">
        <f t="shared" si="91"/>
        <v/>
      </c>
      <c r="JQ128" s="110" t="str">
        <f t="shared" si="178"/>
        <v/>
      </c>
      <c r="JR128" s="51"/>
      <c r="JS128" s="108" t="str">
        <f t="shared" si="92"/>
        <v/>
      </c>
      <c r="JT128" s="109" t="str">
        <f t="shared" si="179"/>
        <v/>
      </c>
      <c r="JU128" s="109" t="str">
        <f t="shared" si="93"/>
        <v/>
      </c>
      <c r="JV128" s="110" t="str">
        <f t="shared" si="200"/>
        <v/>
      </c>
      <c r="JW128" s="51"/>
      <c r="JX128" s="108" t="str">
        <f t="shared" si="180"/>
        <v/>
      </c>
      <c r="JY128" s="109" t="str">
        <f t="shared" si="181"/>
        <v/>
      </c>
      <c r="JZ128" s="109" t="str">
        <f t="shared" si="94"/>
        <v/>
      </c>
      <c r="KA128" s="110" t="str">
        <f t="shared" si="95"/>
        <v/>
      </c>
    </row>
    <row r="129" spans="1:287" ht="12" customHeight="1">
      <c r="A129" s="105">
        <f t="array" ref="A129">MAX(IF($J$80:J128&gt;0,$C$80:C128,0))</f>
        <v>43536</v>
      </c>
      <c r="B129" s="81" t="str">
        <f t="shared" si="4"/>
        <v/>
      </c>
      <c r="C129" s="82">
        <f t="shared" si="182"/>
        <v>0</v>
      </c>
      <c r="D129" s="83" t="str">
        <f t="shared" si="5"/>
        <v/>
      </c>
      <c r="E129" s="83" t="str">
        <f t="shared" si="96"/>
        <v/>
      </c>
      <c r="F129" s="83" t="str">
        <f t="shared" si="6"/>
        <v/>
      </c>
      <c r="G129" s="83" t="str">
        <f t="shared" si="7"/>
        <v/>
      </c>
      <c r="H129" s="83" t="str">
        <f t="shared" si="8"/>
        <v/>
      </c>
      <c r="I129" s="105">
        <f t="array" ref="I129">MAX(IF($R$80:R128&gt;0,$L$80:L128,0))</f>
        <v>0</v>
      </c>
      <c r="J129" s="106"/>
      <c r="K129" s="2" t="str">
        <f t="shared" si="9"/>
        <v/>
      </c>
      <c r="L129" s="82">
        <f t="shared" si="183"/>
        <v>0</v>
      </c>
      <c r="M129" s="83" t="str">
        <f t="shared" si="97"/>
        <v/>
      </c>
      <c r="N129" s="83" t="str">
        <f t="shared" si="10"/>
        <v/>
      </c>
      <c r="O129" s="83" t="str">
        <f t="shared" si="11"/>
        <v/>
      </c>
      <c r="P129" s="83" t="str">
        <f t="shared" si="12"/>
        <v/>
      </c>
      <c r="Q129" s="83" t="str">
        <f t="shared" si="13"/>
        <v/>
      </c>
      <c r="R129" s="106"/>
      <c r="S129" s="1"/>
      <c r="U129" s="85" t="e">
        <f t="shared" si="0"/>
        <v>#NUM!</v>
      </c>
      <c r="V129" s="86" t="e">
        <f t="shared" si="98"/>
        <v>#NUM!</v>
      </c>
      <c r="W129" s="87" t="e">
        <f t="shared" si="14"/>
        <v>#NUM!</v>
      </c>
      <c r="X129" s="87" t="e">
        <f t="shared" si="15"/>
        <v>#NUM!</v>
      </c>
      <c r="Y129" s="87" t="e">
        <f t="shared" si="16"/>
        <v>#NUM!</v>
      </c>
      <c r="Z129" s="88" t="e">
        <f t="shared" si="1"/>
        <v>#NUM!</v>
      </c>
      <c r="AA129" t="s">
        <v>282</v>
      </c>
      <c r="AB129" s="89">
        <f t="shared" si="99"/>
        <v>0</v>
      </c>
      <c r="AC129" s="87">
        <f t="shared" si="100"/>
        <v>0</v>
      </c>
      <c r="AD129" s="87" t="str">
        <f t="shared" si="17"/>
        <v/>
      </c>
      <c r="AE129" s="87" t="str">
        <f t="shared" si="18"/>
        <v/>
      </c>
      <c r="AF129" s="86">
        <f t="shared" si="101"/>
        <v>0</v>
      </c>
      <c r="AG129" s="87">
        <f t="shared" si="2"/>
        <v>0</v>
      </c>
      <c r="AH129" s="87">
        <f t="shared" si="102"/>
        <v>0</v>
      </c>
      <c r="AI129" s="90"/>
      <c r="AJ129" s="87" t="e">
        <f t="shared" si="19"/>
        <v>#NUM!</v>
      </c>
      <c r="AK129" s="87" t="e">
        <f t="shared" si="103"/>
        <v>#NUM!</v>
      </c>
      <c r="AL129" s="87" t="e">
        <f t="shared" si="104"/>
        <v>#NUM!</v>
      </c>
      <c r="AM129" s="87" t="e">
        <f t="shared" si="105"/>
        <v>#NUM!</v>
      </c>
      <c r="AN129" s="86">
        <f t="shared" si="20"/>
        <v>0</v>
      </c>
      <c r="AO129" s="87">
        <f t="shared" si="21"/>
        <v>0</v>
      </c>
      <c r="AP129" s="88">
        <f t="shared" si="22"/>
        <v>0</v>
      </c>
      <c r="AR129" s="89">
        <f t="shared" si="23"/>
        <v>0</v>
      </c>
      <c r="AS129" s="87">
        <f t="shared" si="24"/>
        <v>0</v>
      </c>
      <c r="AT129" s="87" t="str">
        <f t="shared" si="25"/>
        <v/>
      </c>
      <c r="AU129" s="87" t="str">
        <f t="shared" si="26"/>
        <v/>
      </c>
      <c r="AV129" s="86">
        <f t="shared" si="106"/>
        <v>0</v>
      </c>
      <c r="AW129" s="87">
        <f t="shared" si="107"/>
        <v>0</v>
      </c>
      <c r="AX129" s="87">
        <f t="shared" si="108"/>
        <v>0</v>
      </c>
      <c r="AY129" s="93"/>
      <c r="AZ129" s="87">
        <f t="shared" si="201"/>
        <v>0</v>
      </c>
      <c r="BA129" s="87">
        <f t="shared" si="109"/>
        <v>0</v>
      </c>
      <c r="BB129" s="87">
        <f t="shared" si="110"/>
        <v>0</v>
      </c>
      <c r="BC129" s="87">
        <f t="shared" si="184"/>
        <v>0</v>
      </c>
      <c r="BD129" s="86" t="e">
        <f t="shared" si="27"/>
        <v>#NUM!</v>
      </c>
      <c r="BE129" s="87" t="e">
        <f t="shared" si="3"/>
        <v>#NUM!</v>
      </c>
      <c r="BF129" s="88">
        <f t="shared" si="111"/>
        <v>0</v>
      </c>
      <c r="BH129" s="87" t="e">
        <f t="shared" si="28"/>
        <v>#NUM!</v>
      </c>
      <c r="BK129" s="95">
        <v>40610</v>
      </c>
      <c r="BL129" s="96">
        <v>50</v>
      </c>
      <c r="BT129" s="51">
        <v>300</v>
      </c>
      <c r="BU129" s="51">
        <v>1000</v>
      </c>
      <c r="BV129" s="30">
        <v>0.33</v>
      </c>
      <c r="BW129" s="107"/>
      <c r="BX129" s="107"/>
      <c r="BY129" s="107"/>
      <c r="BZ129" s="107"/>
      <c r="CA129" s="107"/>
      <c r="CB129" s="107"/>
      <c r="CC129" s="107"/>
      <c r="CD129" s="107"/>
      <c r="CE129" s="107"/>
      <c r="CF129" s="30">
        <v>0</v>
      </c>
      <c r="CG129" s="107">
        <v>6.0000000000000001E-3</v>
      </c>
      <c r="CS129" s="108" t="str">
        <f t="shared" si="29"/>
        <v/>
      </c>
      <c r="CT129" s="109" t="str">
        <f t="shared" si="30"/>
        <v/>
      </c>
      <c r="CU129" s="109" t="str">
        <f t="shared" si="31"/>
        <v/>
      </c>
      <c r="CV129" s="110" t="str">
        <f t="shared" si="225"/>
        <v/>
      </c>
      <c r="CX129" s="108" t="str">
        <f t="shared" si="33"/>
        <v/>
      </c>
      <c r="CY129" s="109" t="str">
        <f t="shared" si="113"/>
        <v/>
      </c>
      <c r="CZ129" s="109" t="str">
        <f t="shared" si="34"/>
        <v/>
      </c>
      <c r="DA129" s="110" t="str">
        <f t="shared" si="226"/>
        <v/>
      </c>
      <c r="DC129" s="108" t="str">
        <f t="shared" si="114"/>
        <v/>
      </c>
      <c r="DD129" s="109" t="str">
        <f t="shared" si="115"/>
        <v/>
      </c>
      <c r="DE129" s="109" t="str">
        <f t="shared" si="36"/>
        <v/>
      </c>
      <c r="DF129" s="110" t="str">
        <f t="shared" si="227"/>
        <v/>
      </c>
      <c r="DH129" s="108" t="str">
        <f t="shared" si="38"/>
        <v/>
      </c>
      <c r="DI129" s="109" t="str">
        <f t="shared" si="39"/>
        <v/>
      </c>
      <c r="DJ129" s="109" t="str">
        <f t="shared" si="40"/>
        <v/>
      </c>
      <c r="DK129" s="110" t="str">
        <f t="shared" si="228"/>
        <v/>
      </c>
      <c r="DM129" s="108" t="str">
        <f t="shared" si="116"/>
        <v/>
      </c>
      <c r="DN129" s="109" t="str">
        <f t="shared" si="117"/>
        <v/>
      </c>
      <c r="DO129" s="109" t="str">
        <f t="shared" si="42"/>
        <v/>
      </c>
      <c r="DP129" s="110" t="str">
        <f t="shared" si="229"/>
        <v/>
      </c>
      <c r="DR129" s="108" t="str">
        <f t="shared" si="43"/>
        <v/>
      </c>
      <c r="DS129" s="109" t="str">
        <f t="shared" si="118"/>
        <v/>
      </c>
      <c r="DT129" s="109" t="str">
        <f t="shared" si="44"/>
        <v/>
      </c>
      <c r="DU129" s="110" t="str">
        <f t="shared" si="230"/>
        <v/>
      </c>
      <c r="DW129" s="108" t="str">
        <f t="shared" si="120"/>
        <v/>
      </c>
      <c r="DX129" s="109" t="str">
        <f t="shared" si="121"/>
        <v/>
      </c>
      <c r="DY129" s="109" t="str">
        <f t="shared" si="45"/>
        <v/>
      </c>
      <c r="DZ129" s="110" t="str">
        <f t="shared" si="231"/>
        <v/>
      </c>
      <c r="EB129" s="108" t="str">
        <f t="shared" si="46"/>
        <v/>
      </c>
      <c r="EC129" s="109" t="str">
        <f t="shared" si="122"/>
        <v/>
      </c>
      <c r="ED129" s="109" t="str">
        <f t="shared" si="47"/>
        <v/>
      </c>
      <c r="EE129" s="110" t="str">
        <f t="shared" si="232"/>
        <v/>
      </c>
      <c r="EG129" s="108" t="str">
        <f t="shared" si="124"/>
        <v/>
      </c>
      <c r="EH129" s="109" t="str">
        <f t="shared" si="125"/>
        <v/>
      </c>
      <c r="EI129" s="109" t="str">
        <f t="shared" si="48"/>
        <v/>
      </c>
      <c r="EJ129" s="110" t="str">
        <f t="shared" si="233"/>
        <v/>
      </c>
      <c r="EL129" s="108" t="str">
        <f t="shared" si="49"/>
        <v/>
      </c>
      <c r="EM129" s="109" t="str">
        <f t="shared" si="126"/>
        <v/>
      </c>
      <c r="EN129" s="109" t="str">
        <f t="shared" si="50"/>
        <v/>
      </c>
      <c r="EO129" s="110" t="str">
        <f t="shared" si="234"/>
        <v/>
      </c>
      <c r="EQ129" s="108" t="str">
        <f t="shared" si="128"/>
        <v/>
      </c>
      <c r="ER129" s="109" t="str">
        <f t="shared" si="129"/>
        <v/>
      </c>
      <c r="ES129" s="109" t="str">
        <f t="shared" si="51"/>
        <v/>
      </c>
      <c r="ET129" s="110" t="str">
        <f t="shared" si="235"/>
        <v/>
      </c>
      <c r="EV129" s="108" t="str">
        <f t="shared" si="52"/>
        <v/>
      </c>
      <c r="EW129" s="109" t="str">
        <f t="shared" si="130"/>
        <v/>
      </c>
      <c r="EX129" s="109" t="str">
        <f t="shared" si="53"/>
        <v/>
      </c>
      <c r="EY129" s="110" t="str">
        <f t="shared" si="236"/>
        <v/>
      </c>
      <c r="FA129" s="108" t="str">
        <f t="shared" si="132"/>
        <v/>
      </c>
      <c r="FB129" s="109" t="str">
        <f t="shared" si="133"/>
        <v/>
      </c>
      <c r="FC129" s="109" t="str">
        <f t="shared" si="54"/>
        <v/>
      </c>
      <c r="FD129" s="110" t="str">
        <f t="shared" si="237"/>
        <v/>
      </c>
      <c r="FF129" s="108" t="str">
        <f t="shared" si="55"/>
        <v/>
      </c>
      <c r="FG129" s="109" t="str">
        <f t="shared" si="134"/>
        <v/>
      </c>
      <c r="FH129" s="109" t="str">
        <f t="shared" si="56"/>
        <v/>
      </c>
      <c r="FI129" s="110" t="str">
        <f t="shared" si="238"/>
        <v/>
      </c>
      <c r="FK129" s="108" t="str">
        <f t="shared" si="136"/>
        <v/>
      </c>
      <c r="FL129" s="109" t="str">
        <f t="shared" si="137"/>
        <v/>
      </c>
      <c r="FM129" s="109" t="str">
        <f t="shared" si="57"/>
        <v/>
      </c>
      <c r="FN129" s="110" t="str">
        <f t="shared" si="239"/>
        <v/>
      </c>
      <c r="FP129" s="108" t="str">
        <f t="shared" si="58"/>
        <v/>
      </c>
      <c r="FQ129" s="109" t="str">
        <f t="shared" si="138"/>
        <v/>
      </c>
      <c r="FR129" s="109" t="str">
        <f t="shared" si="59"/>
        <v/>
      </c>
      <c r="FS129" s="110" t="str">
        <f t="shared" si="240"/>
        <v/>
      </c>
      <c r="FU129" s="108" t="str">
        <f t="shared" si="140"/>
        <v/>
      </c>
      <c r="FV129" s="109" t="str">
        <f t="shared" si="141"/>
        <v/>
      </c>
      <c r="FW129" s="109" t="str">
        <f t="shared" si="60"/>
        <v/>
      </c>
      <c r="FX129" s="110" t="str">
        <f t="shared" si="241"/>
        <v/>
      </c>
      <c r="FZ129" s="108" t="str">
        <f t="shared" si="61"/>
        <v/>
      </c>
      <c r="GA129" s="109" t="str">
        <f t="shared" si="142"/>
        <v/>
      </c>
      <c r="GB129" s="109" t="str">
        <f t="shared" si="62"/>
        <v/>
      </c>
      <c r="GC129" s="110" t="str">
        <f t="shared" si="242"/>
        <v/>
      </c>
      <c r="GE129" s="108" t="str">
        <f t="shared" si="144"/>
        <v/>
      </c>
      <c r="GF129" s="109" t="str">
        <f t="shared" si="145"/>
        <v/>
      </c>
      <c r="GG129" s="109" t="str">
        <f t="shared" si="146"/>
        <v/>
      </c>
      <c r="GH129" s="110" t="str">
        <f t="shared" si="243"/>
        <v/>
      </c>
      <c r="GL129" s="108" t="str">
        <f t="shared" si="63"/>
        <v/>
      </c>
      <c r="GM129" s="109" t="str">
        <f t="shared" si="64"/>
        <v/>
      </c>
      <c r="GN129" s="109" t="str">
        <f t="shared" si="65"/>
        <v/>
      </c>
      <c r="GO129" s="110" t="str">
        <f t="shared" si="66"/>
        <v/>
      </c>
      <c r="GP129" s="51"/>
      <c r="GQ129" s="108" t="str">
        <f t="shared" si="67"/>
        <v/>
      </c>
      <c r="GR129" s="109" t="str">
        <f t="shared" si="147"/>
        <v/>
      </c>
      <c r="GS129" s="109" t="str">
        <f t="shared" si="68"/>
        <v/>
      </c>
      <c r="GT129" s="110" t="str">
        <f t="shared" si="69"/>
        <v/>
      </c>
      <c r="GU129" s="51"/>
      <c r="GV129" s="108" t="str">
        <f t="shared" si="148"/>
        <v/>
      </c>
      <c r="GW129" s="109" t="str">
        <f t="shared" si="149"/>
        <v/>
      </c>
      <c r="GX129" s="109" t="str">
        <f t="shared" si="70"/>
        <v/>
      </c>
      <c r="GY129" s="110" t="str">
        <f t="shared" si="150"/>
        <v/>
      </c>
      <c r="GZ129" s="51"/>
      <c r="HA129" s="108" t="str">
        <f t="shared" si="71"/>
        <v/>
      </c>
      <c r="HB129" s="109" t="str">
        <f t="shared" si="151"/>
        <v/>
      </c>
      <c r="HC129" s="109" t="str">
        <f t="shared" si="72"/>
        <v/>
      </c>
      <c r="HD129" s="110" t="str">
        <f t="shared" si="193"/>
        <v/>
      </c>
      <c r="HE129" s="51"/>
      <c r="HF129" s="108" t="str">
        <f t="shared" si="152"/>
        <v/>
      </c>
      <c r="HG129" s="109" t="str">
        <f t="shared" si="153"/>
        <v/>
      </c>
      <c r="HH129" s="109" t="str">
        <f t="shared" si="73"/>
        <v/>
      </c>
      <c r="HI129" s="110" t="str">
        <f t="shared" si="154"/>
        <v/>
      </c>
      <c r="HJ129" s="51"/>
      <c r="HK129" s="108" t="str">
        <f t="shared" si="74"/>
        <v/>
      </c>
      <c r="HL129" s="109" t="str">
        <f t="shared" si="155"/>
        <v/>
      </c>
      <c r="HM129" s="109" t="str">
        <f t="shared" si="75"/>
        <v/>
      </c>
      <c r="HN129" s="110" t="str">
        <f t="shared" si="194"/>
        <v/>
      </c>
      <c r="HO129" s="51"/>
      <c r="HP129" s="108" t="str">
        <f t="shared" si="156"/>
        <v/>
      </c>
      <c r="HQ129" s="109" t="str">
        <f t="shared" si="157"/>
        <v/>
      </c>
      <c r="HR129" s="109" t="str">
        <f t="shared" si="76"/>
        <v/>
      </c>
      <c r="HS129" s="110" t="str">
        <f t="shared" si="158"/>
        <v/>
      </c>
      <c r="HT129" s="51"/>
      <c r="HU129" s="108" t="str">
        <f t="shared" si="77"/>
        <v/>
      </c>
      <c r="HV129" s="109" t="str">
        <f t="shared" si="159"/>
        <v/>
      </c>
      <c r="HW129" s="109" t="str">
        <f t="shared" si="78"/>
        <v/>
      </c>
      <c r="HX129" s="110" t="str">
        <f t="shared" si="195"/>
        <v/>
      </c>
      <c r="HY129" s="51"/>
      <c r="HZ129" s="108" t="str">
        <f t="shared" si="160"/>
        <v/>
      </c>
      <c r="IA129" s="109" t="str">
        <f t="shared" si="161"/>
        <v/>
      </c>
      <c r="IB129" s="109" t="str">
        <f t="shared" si="79"/>
        <v/>
      </c>
      <c r="IC129" s="110" t="str">
        <f t="shared" si="162"/>
        <v/>
      </c>
      <c r="ID129" s="51"/>
      <c r="IE129" s="108" t="str">
        <f t="shared" si="80"/>
        <v/>
      </c>
      <c r="IF129" s="109" t="str">
        <f t="shared" si="163"/>
        <v/>
      </c>
      <c r="IG129" s="109" t="str">
        <f t="shared" si="81"/>
        <v/>
      </c>
      <c r="IH129" s="110" t="str">
        <f t="shared" si="196"/>
        <v/>
      </c>
      <c r="II129" s="51"/>
      <c r="IJ129" s="108" t="str">
        <f t="shared" si="164"/>
        <v/>
      </c>
      <c r="IK129" s="109" t="str">
        <f t="shared" si="165"/>
        <v/>
      </c>
      <c r="IL129" s="109" t="str">
        <f t="shared" si="82"/>
        <v/>
      </c>
      <c r="IM129" s="110" t="str">
        <f t="shared" si="166"/>
        <v/>
      </c>
      <c r="IN129" s="51"/>
      <c r="IO129" s="108" t="str">
        <f t="shared" si="83"/>
        <v/>
      </c>
      <c r="IP129" s="109" t="str">
        <f t="shared" si="167"/>
        <v/>
      </c>
      <c r="IQ129" s="109" t="str">
        <f t="shared" si="84"/>
        <v/>
      </c>
      <c r="IR129" s="110" t="str">
        <f t="shared" si="197"/>
        <v/>
      </c>
      <c r="IS129" s="51"/>
      <c r="IT129" s="108" t="str">
        <f t="shared" si="168"/>
        <v/>
      </c>
      <c r="IU129" s="109" t="str">
        <f t="shared" si="169"/>
        <v/>
      </c>
      <c r="IV129" s="109" t="str">
        <f t="shared" si="85"/>
        <v/>
      </c>
      <c r="IW129" s="110" t="str">
        <f t="shared" si="170"/>
        <v/>
      </c>
      <c r="IX129" s="51"/>
      <c r="IY129" s="108" t="str">
        <f t="shared" si="86"/>
        <v/>
      </c>
      <c r="IZ129" s="109" t="str">
        <f t="shared" si="171"/>
        <v/>
      </c>
      <c r="JA129" s="109" t="str">
        <f t="shared" si="87"/>
        <v/>
      </c>
      <c r="JB129" s="110" t="str">
        <f t="shared" si="198"/>
        <v/>
      </c>
      <c r="JC129" s="51"/>
      <c r="JD129" s="108" t="str">
        <f t="shared" si="172"/>
        <v/>
      </c>
      <c r="JE129" s="109" t="str">
        <f t="shared" si="173"/>
        <v/>
      </c>
      <c r="JF129" s="109" t="str">
        <f t="shared" si="88"/>
        <v/>
      </c>
      <c r="JG129" s="110" t="str">
        <f t="shared" si="174"/>
        <v/>
      </c>
      <c r="JH129" s="51"/>
      <c r="JI129" s="108" t="str">
        <f t="shared" si="89"/>
        <v/>
      </c>
      <c r="JJ129" s="109" t="str">
        <f t="shared" si="175"/>
        <v/>
      </c>
      <c r="JK129" s="109" t="str">
        <f t="shared" si="90"/>
        <v/>
      </c>
      <c r="JL129" s="110" t="str">
        <f t="shared" si="199"/>
        <v/>
      </c>
      <c r="JM129" s="51"/>
      <c r="JN129" s="108" t="str">
        <f t="shared" si="176"/>
        <v/>
      </c>
      <c r="JO129" s="109" t="str">
        <f t="shared" si="177"/>
        <v/>
      </c>
      <c r="JP129" s="109" t="str">
        <f t="shared" si="91"/>
        <v/>
      </c>
      <c r="JQ129" s="110" t="str">
        <f t="shared" si="178"/>
        <v/>
      </c>
      <c r="JR129" s="51"/>
      <c r="JS129" s="108" t="str">
        <f t="shared" si="92"/>
        <v/>
      </c>
      <c r="JT129" s="109" t="str">
        <f t="shared" si="179"/>
        <v/>
      </c>
      <c r="JU129" s="109" t="str">
        <f t="shared" si="93"/>
        <v/>
      </c>
      <c r="JV129" s="110" t="str">
        <f t="shared" si="200"/>
        <v/>
      </c>
      <c r="JW129" s="51"/>
      <c r="JX129" s="108" t="str">
        <f t="shared" si="180"/>
        <v/>
      </c>
      <c r="JY129" s="109" t="str">
        <f t="shared" si="181"/>
        <v/>
      </c>
      <c r="JZ129" s="109" t="str">
        <f t="shared" si="94"/>
        <v/>
      </c>
      <c r="KA129" s="110" t="str">
        <f t="shared" si="95"/>
        <v/>
      </c>
    </row>
    <row r="130" spans="1:287" ht="12" customHeight="1">
      <c r="A130" s="105">
        <f t="array" ref="A130">MAX(IF($J$80:J129&gt;0,$C$80:C129,0))</f>
        <v>43536</v>
      </c>
      <c r="B130" s="81" t="str">
        <f t="shared" si="4"/>
        <v/>
      </c>
      <c r="C130" s="82">
        <f t="shared" si="182"/>
        <v>0</v>
      </c>
      <c r="D130" s="83" t="str">
        <f t="shared" si="5"/>
        <v/>
      </c>
      <c r="E130" s="83" t="str">
        <f t="shared" si="96"/>
        <v/>
      </c>
      <c r="F130" s="83" t="str">
        <f t="shared" si="6"/>
        <v/>
      </c>
      <c r="G130" s="83" t="str">
        <f t="shared" si="7"/>
        <v/>
      </c>
      <c r="H130" s="83" t="str">
        <f t="shared" si="8"/>
        <v/>
      </c>
      <c r="I130" s="105">
        <f t="array" ref="I130">MAX(IF($R$80:R129&gt;0,$L$80:L129,0))</f>
        <v>0</v>
      </c>
      <c r="J130" s="106"/>
      <c r="K130" s="2" t="str">
        <f t="shared" si="9"/>
        <v/>
      </c>
      <c r="L130" s="82">
        <f t="shared" si="183"/>
        <v>0</v>
      </c>
      <c r="M130" s="83" t="str">
        <f t="shared" si="97"/>
        <v/>
      </c>
      <c r="N130" s="83" t="str">
        <f t="shared" si="10"/>
        <v/>
      </c>
      <c r="O130" s="83" t="str">
        <f t="shared" si="11"/>
        <v/>
      </c>
      <c r="P130" s="83" t="str">
        <f t="shared" si="12"/>
        <v/>
      </c>
      <c r="Q130" s="83" t="str">
        <f t="shared" si="13"/>
        <v/>
      </c>
      <c r="R130" s="106"/>
      <c r="S130" s="1"/>
      <c r="U130" s="85" t="e">
        <f t="shared" si="0"/>
        <v>#NUM!</v>
      </c>
      <c r="V130" s="86" t="e">
        <f t="shared" si="98"/>
        <v>#NUM!</v>
      </c>
      <c r="W130" s="87" t="e">
        <f t="shared" si="14"/>
        <v>#NUM!</v>
      </c>
      <c r="X130" s="87" t="e">
        <f t="shared" si="15"/>
        <v>#NUM!</v>
      </c>
      <c r="Y130" s="87" t="e">
        <f t="shared" si="16"/>
        <v>#NUM!</v>
      </c>
      <c r="Z130" s="88" t="e">
        <f t="shared" si="1"/>
        <v>#NUM!</v>
      </c>
      <c r="AA130" t="s">
        <v>282</v>
      </c>
      <c r="AB130" s="89">
        <f t="shared" si="99"/>
        <v>0</v>
      </c>
      <c r="AC130" s="87">
        <f t="shared" si="100"/>
        <v>0</v>
      </c>
      <c r="AD130" s="87" t="str">
        <f t="shared" si="17"/>
        <v/>
      </c>
      <c r="AE130" s="87" t="str">
        <f t="shared" si="18"/>
        <v/>
      </c>
      <c r="AF130" s="86">
        <f t="shared" si="101"/>
        <v>0</v>
      </c>
      <c r="AG130" s="87">
        <f t="shared" si="2"/>
        <v>0</v>
      </c>
      <c r="AH130" s="87">
        <f t="shared" si="102"/>
        <v>0</v>
      </c>
      <c r="AI130" s="90"/>
      <c r="AJ130" s="87" t="e">
        <f t="shared" si="19"/>
        <v>#NUM!</v>
      </c>
      <c r="AK130" s="87" t="e">
        <f t="shared" si="103"/>
        <v>#NUM!</v>
      </c>
      <c r="AL130" s="87" t="e">
        <f t="shared" si="104"/>
        <v>#NUM!</v>
      </c>
      <c r="AM130" s="87" t="e">
        <f t="shared" si="105"/>
        <v>#NUM!</v>
      </c>
      <c r="AN130" s="86">
        <f t="shared" si="20"/>
        <v>0</v>
      </c>
      <c r="AO130" s="87">
        <f t="shared" si="21"/>
        <v>0</v>
      </c>
      <c r="AP130" s="88">
        <f t="shared" si="22"/>
        <v>0</v>
      </c>
      <c r="AR130" s="89">
        <f t="shared" si="23"/>
        <v>0</v>
      </c>
      <c r="AS130" s="87">
        <f t="shared" si="24"/>
        <v>0</v>
      </c>
      <c r="AT130" s="87" t="str">
        <f t="shared" si="25"/>
        <v/>
      </c>
      <c r="AU130" s="87" t="str">
        <f t="shared" si="26"/>
        <v/>
      </c>
      <c r="AV130" s="86">
        <f t="shared" si="106"/>
        <v>0</v>
      </c>
      <c r="AW130" s="87">
        <f t="shared" si="107"/>
        <v>0</v>
      </c>
      <c r="AX130" s="87">
        <f t="shared" si="108"/>
        <v>0</v>
      </c>
      <c r="AY130" s="93"/>
      <c r="AZ130" s="87">
        <f t="shared" si="201"/>
        <v>0</v>
      </c>
      <c r="BA130" s="87">
        <f t="shared" si="109"/>
        <v>0</v>
      </c>
      <c r="BB130" s="87">
        <f t="shared" si="110"/>
        <v>0</v>
      </c>
      <c r="BC130" s="87">
        <f t="shared" si="184"/>
        <v>0</v>
      </c>
      <c r="BD130" s="86" t="e">
        <f t="shared" si="27"/>
        <v>#NUM!</v>
      </c>
      <c r="BE130" s="87" t="e">
        <f t="shared" si="3"/>
        <v>#NUM!</v>
      </c>
      <c r="BF130" s="88">
        <f t="shared" si="111"/>
        <v>0</v>
      </c>
      <c r="BH130" s="87" t="e">
        <f t="shared" si="28"/>
        <v>#NUM!</v>
      </c>
      <c r="BK130" s="95">
        <v>40642</v>
      </c>
      <c r="BL130" s="96">
        <v>51</v>
      </c>
      <c r="BT130" s="51">
        <v>1000.01</v>
      </c>
      <c r="BU130" s="51">
        <v>2000</v>
      </c>
      <c r="BV130" s="30">
        <v>0.38</v>
      </c>
      <c r="BW130" s="30"/>
      <c r="BX130" s="30"/>
      <c r="BY130" s="30"/>
      <c r="BZ130" s="30"/>
      <c r="CA130" s="30"/>
      <c r="CB130" s="30"/>
      <c r="CC130" s="30"/>
      <c r="CD130" s="30"/>
      <c r="CE130" s="30"/>
      <c r="CF130" s="30">
        <v>0</v>
      </c>
      <c r="CG130" s="107">
        <v>6.0000000000000001E-3</v>
      </c>
      <c r="CS130" s="108" t="str">
        <f t="shared" si="29"/>
        <v/>
      </c>
      <c r="CT130" s="109" t="str">
        <f t="shared" si="30"/>
        <v/>
      </c>
      <c r="CU130" s="109" t="str">
        <f t="shared" si="31"/>
        <v/>
      </c>
      <c r="CV130" s="110" t="str">
        <f t="shared" si="225"/>
        <v/>
      </c>
      <c r="CX130" s="108" t="str">
        <f t="shared" si="33"/>
        <v/>
      </c>
      <c r="CY130" s="109" t="str">
        <f t="shared" si="113"/>
        <v/>
      </c>
      <c r="CZ130" s="109" t="str">
        <f t="shared" si="34"/>
        <v/>
      </c>
      <c r="DA130" s="110" t="str">
        <f t="shared" si="226"/>
        <v/>
      </c>
      <c r="DC130" s="108" t="str">
        <f t="shared" si="114"/>
        <v/>
      </c>
      <c r="DD130" s="109" t="str">
        <f t="shared" si="115"/>
        <v/>
      </c>
      <c r="DE130" s="109" t="str">
        <f t="shared" si="36"/>
        <v/>
      </c>
      <c r="DF130" s="110" t="str">
        <f t="shared" si="227"/>
        <v/>
      </c>
      <c r="DH130" s="108" t="str">
        <f t="shared" si="38"/>
        <v/>
      </c>
      <c r="DI130" s="109" t="str">
        <f t="shared" si="39"/>
        <v/>
      </c>
      <c r="DJ130" s="109" t="str">
        <f t="shared" si="40"/>
        <v/>
      </c>
      <c r="DK130" s="110" t="str">
        <f t="shared" si="228"/>
        <v/>
      </c>
      <c r="DM130" s="108" t="str">
        <f t="shared" si="116"/>
        <v/>
      </c>
      <c r="DN130" s="109" t="str">
        <f t="shared" si="117"/>
        <v/>
      </c>
      <c r="DO130" s="109" t="str">
        <f t="shared" si="42"/>
        <v/>
      </c>
      <c r="DP130" s="110" t="str">
        <f t="shared" si="229"/>
        <v/>
      </c>
      <c r="DR130" s="108" t="str">
        <f t="shared" si="43"/>
        <v/>
      </c>
      <c r="DS130" s="109" t="str">
        <f t="shared" si="118"/>
        <v/>
      </c>
      <c r="DT130" s="109" t="str">
        <f t="shared" si="44"/>
        <v/>
      </c>
      <c r="DU130" s="110" t="str">
        <f t="shared" si="230"/>
        <v/>
      </c>
      <c r="DW130" s="108" t="str">
        <f t="shared" si="120"/>
        <v/>
      </c>
      <c r="DX130" s="109" t="str">
        <f t="shared" si="121"/>
        <v/>
      </c>
      <c r="DY130" s="109" t="str">
        <f t="shared" si="45"/>
        <v/>
      </c>
      <c r="DZ130" s="110" t="str">
        <f t="shared" si="231"/>
        <v/>
      </c>
      <c r="EB130" s="108" t="str">
        <f t="shared" si="46"/>
        <v/>
      </c>
      <c r="EC130" s="109" t="str">
        <f t="shared" si="122"/>
        <v/>
      </c>
      <c r="ED130" s="109" t="str">
        <f t="shared" si="47"/>
        <v/>
      </c>
      <c r="EE130" s="110" t="str">
        <f t="shared" si="232"/>
        <v/>
      </c>
      <c r="EG130" s="108" t="str">
        <f t="shared" si="124"/>
        <v/>
      </c>
      <c r="EH130" s="109" t="str">
        <f t="shared" si="125"/>
        <v/>
      </c>
      <c r="EI130" s="109" t="str">
        <f t="shared" si="48"/>
        <v/>
      </c>
      <c r="EJ130" s="110" t="str">
        <f t="shared" si="233"/>
        <v/>
      </c>
      <c r="EL130" s="108" t="str">
        <f t="shared" si="49"/>
        <v/>
      </c>
      <c r="EM130" s="109" t="str">
        <f t="shared" si="126"/>
        <v/>
      </c>
      <c r="EN130" s="109" t="str">
        <f t="shared" si="50"/>
        <v/>
      </c>
      <c r="EO130" s="110" t="str">
        <f t="shared" si="234"/>
        <v/>
      </c>
      <c r="EQ130" s="108" t="str">
        <f t="shared" si="128"/>
        <v/>
      </c>
      <c r="ER130" s="109" t="str">
        <f t="shared" si="129"/>
        <v/>
      </c>
      <c r="ES130" s="109" t="str">
        <f t="shared" si="51"/>
        <v/>
      </c>
      <c r="ET130" s="110" t="str">
        <f t="shared" si="235"/>
        <v/>
      </c>
      <c r="EV130" s="108" t="str">
        <f t="shared" si="52"/>
        <v/>
      </c>
      <c r="EW130" s="109" t="str">
        <f t="shared" si="130"/>
        <v/>
      </c>
      <c r="EX130" s="109" t="str">
        <f t="shared" si="53"/>
        <v/>
      </c>
      <c r="EY130" s="110" t="str">
        <f t="shared" si="236"/>
        <v/>
      </c>
      <c r="FA130" s="108" t="str">
        <f t="shared" si="132"/>
        <v/>
      </c>
      <c r="FB130" s="109" t="str">
        <f t="shared" si="133"/>
        <v/>
      </c>
      <c r="FC130" s="109" t="str">
        <f t="shared" si="54"/>
        <v/>
      </c>
      <c r="FD130" s="110" t="str">
        <f t="shared" si="237"/>
        <v/>
      </c>
      <c r="FF130" s="108" t="str">
        <f t="shared" si="55"/>
        <v/>
      </c>
      <c r="FG130" s="109" t="str">
        <f t="shared" si="134"/>
        <v/>
      </c>
      <c r="FH130" s="109" t="str">
        <f t="shared" si="56"/>
        <v/>
      </c>
      <c r="FI130" s="110" t="str">
        <f t="shared" si="238"/>
        <v/>
      </c>
      <c r="FK130" s="108" t="str">
        <f t="shared" si="136"/>
        <v/>
      </c>
      <c r="FL130" s="109" t="str">
        <f t="shared" si="137"/>
        <v/>
      </c>
      <c r="FM130" s="109" t="str">
        <f t="shared" si="57"/>
        <v/>
      </c>
      <c r="FN130" s="110" t="str">
        <f t="shared" si="239"/>
        <v/>
      </c>
      <c r="FP130" s="108" t="str">
        <f t="shared" si="58"/>
        <v/>
      </c>
      <c r="FQ130" s="109" t="str">
        <f t="shared" si="138"/>
        <v/>
      </c>
      <c r="FR130" s="109" t="str">
        <f t="shared" si="59"/>
        <v/>
      </c>
      <c r="FS130" s="110" t="str">
        <f t="shared" si="240"/>
        <v/>
      </c>
      <c r="FU130" s="108" t="str">
        <f t="shared" si="140"/>
        <v/>
      </c>
      <c r="FV130" s="109" t="str">
        <f t="shared" si="141"/>
        <v/>
      </c>
      <c r="FW130" s="109" t="str">
        <f t="shared" si="60"/>
        <v/>
      </c>
      <c r="FX130" s="110" t="str">
        <f t="shared" si="241"/>
        <v/>
      </c>
      <c r="FZ130" s="108" t="str">
        <f t="shared" si="61"/>
        <v/>
      </c>
      <c r="GA130" s="109" t="str">
        <f t="shared" si="142"/>
        <v/>
      </c>
      <c r="GB130" s="109" t="str">
        <f t="shared" si="62"/>
        <v/>
      </c>
      <c r="GC130" s="110" t="str">
        <f t="shared" si="242"/>
        <v/>
      </c>
      <c r="GE130" s="108" t="str">
        <f t="shared" si="144"/>
        <v/>
      </c>
      <c r="GF130" s="109" t="str">
        <f t="shared" si="145"/>
        <v/>
      </c>
      <c r="GG130" s="109" t="str">
        <f t="shared" si="146"/>
        <v/>
      </c>
      <c r="GH130" s="110" t="str">
        <f t="shared" si="243"/>
        <v/>
      </c>
      <c r="GL130" s="108" t="str">
        <f t="shared" si="63"/>
        <v/>
      </c>
      <c r="GM130" s="109" t="str">
        <f t="shared" si="64"/>
        <v/>
      </c>
      <c r="GN130" s="109" t="str">
        <f t="shared" si="65"/>
        <v/>
      </c>
      <c r="GO130" s="110" t="str">
        <f t="shared" si="66"/>
        <v/>
      </c>
      <c r="GP130" s="51"/>
      <c r="GQ130" s="108" t="str">
        <f t="shared" si="67"/>
        <v/>
      </c>
      <c r="GR130" s="109" t="str">
        <f t="shared" si="147"/>
        <v/>
      </c>
      <c r="GS130" s="109" t="str">
        <f t="shared" si="68"/>
        <v/>
      </c>
      <c r="GT130" s="110" t="str">
        <f t="shared" si="69"/>
        <v/>
      </c>
      <c r="GU130" s="51"/>
      <c r="GV130" s="108" t="str">
        <f t="shared" si="148"/>
        <v/>
      </c>
      <c r="GW130" s="109" t="str">
        <f t="shared" si="149"/>
        <v/>
      </c>
      <c r="GX130" s="109" t="str">
        <f t="shared" si="70"/>
        <v/>
      </c>
      <c r="GY130" s="110" t="str">
        <f t="shared" si="150"/>
        <v/>
      </c>
      <c r="GZ130" s="51"/>
      <c r="HA130" s="108" t="str">
        <f t="shared" si="71"/>
        <v/>
      </c>
      <c r="HB130" s="109" t="str">
        <f t="shared" si="151"/>
        <v/>
      </c>
      <c r="HC130" s="109" t="str">
        <f t="shared" si="72"/>
        <v/>
      </c>
      <c r="HD130" s="110" t="str">
        <f t="shared" si="193"/>
        <v/>
      </c>
      <c r="HE130" s="51"/>
      <c r="HF130" s="108" t="str">
        <f t="shared" si="152"/>
        <v/>
      </c>
      <c r="HG130" s="109" t="str">
        <f t="shared" si="153"/>
        <v/>
      </c>
      <c r="HH130" s="109" t="str">
        <f t="shared" si="73"/>
        <v/>
      </c>
      <c r="HI130" s="110" t="str">
        <f t="shared" si="154"/>
        <v/>
      </c>
      <c r="HJ130" s="51"/>
      <c r="HK130" s="108" t="str">
        <f t="shared" si="74"/>
        <v/>
      </c>
      <c r="HL130" s="109" t="str">
        <f t="shared" si="155"/>
        <v/>
      </c>
      <c r="HM130" s="109" t="str">
        <f t="shared" si="75"/>
        <v/>
      </c>
      <c r="HN130" s="110" t="str">
        <f t="shared" si="194"/>
        <v/>
      </c>
      <c r="HO130" s="51"/>
      <c r="HP130" s="108" t="str">
        <f t="shared" si="156"/>
        <v/>
      </c>
      <c r="HQ130" s="109" t="str">
        <f t="shared" si="157"/>
        <v/>
      </c>
      <c r="HR130" s="109" t="str">
        <f t="shared" si="76"/>
        <v/>
      </c>
      <c r="HS130" s="110" t="str">
        <f t="shared" si="158"/>
        <v/>
      </c>
      <c r="HT130" s="51"/>
      <c r="HU130" s="108" t="str">
        <f t="shared" si="77"/>
        <v/>
      </c>
      <c r="HV130" s="109" t="str">
        <f t="shared" si="159"/>
        <v/>
      </c>
      <c r="HW130" s="109" t="str">
        <f t="shared" si="78"/>
        <v/>
      </c>
      <c r="HX130" s="110" t="str">
        <f t="shared" si="195"/>
        <v/>
      </c>
      <c r="HY130" s="51"/>
      <c r="HZ130" s="108" t="str">
        <f t="shared" si="160"/>
        <v/>
      </c>
      <c r="IA130" s="109" t="str">
        <f t="shared" si="161"/>
        <v/>
      </c>
      <c r="IB130" s="109" t="str">
        <f t="shared" si="79"/>
        <v/>
      </c>
      <c r="IC130" s="110" t="str">
        <f t="shared" si="162"/>
        <v/>
      </c>
      <c r="ID130" s="51"/>
      <c r="IE130" s="108" t="str">
        <f t="shared" si="80"/>
        <v/>
      </c>
      <c r="IF130" s="109" t="str">
        <f t="shared" si="163"/>
        <v/>
      </c>
      <c r="IG130" s="109" t="str">
        <f t="shared" si="81"/>
        <v/>
      </c>
      <c r="IH130" s="110" t="str">
        <f t="shared" si="196"/>
        <v/>
      </c>
      <c r="II130" s="51"/>
      <c r="IJ130" s="108" t="str">
        <f t="shared" si="164"/>
        <v/>
      </c>
      <c r="IK130" s="109" t="str">
        <f t="shared" si="165"/>
        <v/>
      </c>
      <c r="IL130" s="109" t="str">
        <f t="shared" si="82"/>
        <v/>
      </c>
      <c r="IM130" s="110" t="str">
        <f t="shared" si="166"/>
        <v/>
      </c>
      <c r="IN130" s="51"/>
      <c r="IO130" s="108" t="str">
        <f t="shared" si="83"/>
        <v/>
      </c>
      <c r="IP130" s="109" t="str">
        <f t="shared" si="167"/>
        <v/>
      </c>
      <c r="IQ130" s="109" t="str">
        <f t="shared" si="84"/>
        <v/>
      </c>
      <c r="IR130" s="110" t="str">
        <f t="shared" si="197"/>
        <v/>
      </c>
      <c r="IS130" s="51"/>
      <c r="IT130" s="108" t="str">
        <f t="shared" si="168"/>
        <v/>
      </c>
      <c r="IU130" s="109" t="str">
        <f t="shared" si="169"/>
        <v/>
      </c>
      <c r="IV130" s="109" t="str">
        <f t="shared" si="85"/>
        <v/>
      </c>
      <c r="IW130" s="110" t="str">
        <f t="shared" si="170"/>
        <v/>
      </c>
      <c r="IX130" s="51"/>
      <c r="IY130" s="108" t="str">
        <f t="shared" si="86"/>
        <v/>
      </c>
      <c r="IZ130" s="109" t="str">
        <f t="shared" si="171"/>
        <v/>
      </c>
      <c r="JA130" s="109" t="str">
        <f t="shared" si="87"/>
        <v/>
      </c>
      <c r="JB130" s="110" t="str">
        <f t="shared" si="198"/>
        <v/>
      </c>
      <c r="JC130" s="51"/>
      <c r="JD130" s="108" t="str">
        <f t="shared" si="172"/>
        <v/>
      </c>
      <c r="JE130" s="109" t="str">
        <f t="shared" si="173"/>
        <v/>
      </c>
      <c r="JF130" s="109" t="str">
        <f t="shared" si="88"/>
        <v/>
      </c>
      <c r="JG130" s="110" t="str">
        <f t="shared" si="174"/>
        <v/>
      </c>
      <c r="JH130" s="51"/>
      <c r="JI130" s="108" t="str">
        <f t="shared" si="89"/>
        <v/>
      </c>
      <c r="JJ130" s="109" t="str">
        <f t="shared" si="175"/>
        <v/>
      </c>
      <c r="JK130" s="109" t="str">
        <f t="shared" si="90"/>
        <v/>
      </c>
      <c r="JL130" s="110" t="str">
        <f t="shared" si="199"/>
        <v/>
      </c>
      <c r="JM130" s="51"/>
      <c r="JN130" s="108" t="str">
        <f t="shared" si="176"/>
        <v/>
      </c>
      <c r="JO130" s="109" t="str">
        <f t="shared" si="177"/>
        <v/>
      </c>
      <c r="JP130" s="109" t="str">
        <f t="shared" si="91"/>
        <v/>
      </c>
      <c r="JQ130" s="110" t="str">
        <f t="shared" si="178"/>
        <v/>
      </c>
      <c r="JR130" s="51"/>
      <c r="JS130" s="108" t="str">
        <f t="shared" si="92"/>
        <v/>
      </c>
      <c r="JT130" s="109" t="str">
        <f t="shared" si="179"/>
        <v/>
      </c>
      <c r="JU130" s="109" t="str">
        <f t="shared" si="93"/>
        <v/>
      </c>
      <c r="JV130" s="110" t="str">
        <f t="shared" si="200"/>
        <v/>
      </c>
      <c r="JW130" s="51"/>
      <c r="JX130" s="108" t="str">
        <f t="shared" si="180"/>
        <v/>
      </c>
      <c r="JY130" s="109" t="str">
        <f t="shared" si="181"/>
        <v/>
      </c>
      <c r="JZ130" s="109" t="str">
        <f t="shared" si="94"/>
        <v/>
      </c>
      <c r="KA130" s="110" t="str">
        <f t="shared" si="95"/>
        <v/>
      </c>
    </row>
    <row r="131" spans="1:287" ht="12" customHeight="1">
      <c r="A131" s="105">
        <f t="array" ref="A131">MAX(IF($J$80:J130&gt;0,$C$80:C130,0))</f>
        <v>43536</v>
      </c>
      <c r="B131" s="81" t="str">
        <f t="shared" si="4"/>
        <v/>
      </c>
      <c r="C131" s="82">
        <f t="shared" si="182"/>
        <v>0</v>
      </c>
      <c r="D131" s="83" t="str">
        <f t="shared" si="5"/>
        <v/>
      </c>
      <c r="E131" s="83" t="str">
        <f t="shared" si="96"/>
        <v/>
      </c>
      <c r="F131" s="83" t="str">
        <f t="shared" si="6"/>
        <v/>
      </c>
      <c r="G131" s="83" t="str">
        <f t="shared" si="7"/>
        <v/>
      </c>
      <c r="H131" s="83" t="str">
        <f t="shared" si="8"/>
        <v/>
      </c>
      <c r="I131" s="105">
        <f t="array" ref="I131">MAX(IF($R$80:R130&gt;0,$L$80:L130,0))</f>
        <v>0</v>
      </c>
      <c r="J131" s="106"/>
      <c r="K131" s="2" t="str">
        <f t="shared" si="9"/>
        <v/>
      </c>
      <c r="L131" s="82">
        <f t="shared" si="183"/>
        <v>0</v>
      </c>
      <c r="M131" s="83" t="str">
        <f t="shared" si="97"/>
        <v/>
      </c>
      <c r="N131" s="83" t="str">
        <f t="shared" si="10"/>
        <v/>
      </c>
      <c r="O131" s="83" t="str">
        <f t="shared" si="11"/>
        <v/>
      </c>
      <c r="P131" s="83" t="str">
        <f t="shared" si="12"/>
        <v/>
      </c>
      <c r="Q131" s="83" t="str">
        <f t="shared" si="13"/>
        <v/>
      </c>
      <c r="R131" s="106"/>
      <c r="S131" s="1"/>
      <c r="U131" s="85" t="e">
        <f t="shared" si="0"/>
        <v>#NUM!</v>
      </c>
      <c r="V131" s="86" t="e">
        <f t="shared" si="98"/>
        <v>#NUM!</v>
      </c>
      <c r="W131" s="87" t="e">
        <f t="shared" si="14"/>
        <v>#NUM!</v>
      </c>
      <c r="X131" s="87" t="e">
        <f t="shared" si="15"/>
        <v>#NUM!</v>
      </c>
      <c r="Y131" s="87" t="e">
        <f t="shared" si="16"/>
        <v>#NUM!</v>
      </c>
      <c r="Z131" s="88" t="e">
        <f t="shared" si="1"/>
        <v>#NUM!</v>
      </c>
      <c r="AA131" t="s">
        <v>282</v>
      </c>
      <c r="AB131" s="89">
        <f t="shared" si="99"/>
        <v>0</v>
      </c>
      <c r="AC131" s="87">
        <f t="shared" si="100"/>
        <v>0</v>
      </c>
      <c r="AD131" s="87" t="str">
        <f t="shared" si="17"/>
        <v/>
      </c>
      <c r="AE131" s="87" t="str">
        <f t="shared" si="18"/>
        <v/>
      </c>
      <c r="AF131" s="86">
        <f t="shared" si="101"/>
        <v>0</v>
      </c>
      <c r="AG131" s="87">
        <f t="shared" si="2"/>
        <v>0</v>
      </c>
      <c r="AH131" s="87">
        <f t="shared" si="102"/>
        <v>0</v>
      </c>
      <c r="AI131" s="90"/>
      <c r="AJ131" s="87" t="e">
        <f t="shared" si="19"/>
        <v>#NUM!</v>
      </c>
      <c r="AK131" s="87" t="e">
        <f t="shared" si="103"/>
        <v>#NUM!</v>
      </c>
      <c r="AL131" s="87" t="e">
        <f t="shared" si="104"/>
        <v>#NUM!</v>
      </c>
      <c r="AM131" s="87" t="e">
        <f t="shared" si="105"/>
        <v>#NUM!</v>
      </c>
      <c r="AN131" s="86">
        <f t="shared" si="20"/>
        <v>0</v>
      </c>
      <c r="AO131" s="87">
        <f t="shared" si="21"/>
        <v>0</v>
      </c>
      <c r="AP131" s="88">
        <f t="shared" si="22"/>
        <v>0</v>
      </c>
      <c r="AR131" s="89">
        <f t="shared" si="23"/>
        <v>0</v>
      </c>
      <c r="AS131" s="87">
        <f t="shared" si="24"/>
        <v>0</v>
      </c>
      <c r="AT131" s="87" t="str">
        <f t="shared" si="25"/>
        <v/>
      </c>
      <c r="AU131" s="87" t="str">
        <f t="shared" si="26"/>
        <v/>
      </c>
      <c r="AV131" s="86">
        <f t="shared" si="106"/>
        <v>0</v>
      </c>
      <c r="AW131" s="87">
        <f t="shared" si="107"/>
        <v>0</v>
      </c>
      <c r="AX131" s="87">
        <f t="shared" si="108"/>
        <v>0</v>
      </c>
      <c r="AY131" s="93"/>
      <c r="AZ131" s="87">
        <f t="shared" si="201"/>
        <v>0</v>
      </c>
      <c r="BA131" s="87">
        <f t="shared" si="109"/>
        <v>0</v>
      </c>
      <c r="BB131" s="87">
        <f t="shared" si="110"/>
        <v>0</v>
      </c>
      <c r="BC131" s="87">
        <f t="shared" si="184"/>
        <v>0</v>
      </c>
      <c r="BD131" s="86" t="e">
        <f t="shared" si="27"/>
        <v>#NUM!</v>
      </c>
      <c r="BE131" s="87" t="e">
        <f t="shared" si="3"/>
        <v>#NUM!</v>
      </c>
      <c r="BF131" s="88">
        <f t="shared" si="111"/>
        <v>0</v>
      </c>
      <c r="BH131" s="87" t="e">
        <f t="shared" si="28"/>
        <v>#NUM!</v>
      </c>
      <c r="BK131" s="95">
        <v>40655</v>
      </c>
      <c r="BL131" s="96">
        <v>52</v>
      </c>
      <c r="BT131" s="51">
        <v>2000.01</v>
      </c>
      <c r="BU131" s="51">
        <v>6000</v>
      </c>
      <c r="BV131" s="30">
        <v>0.39</v>
      </c>
      <c r="BW131" s="30"/>
      <c r="BX131" s="30"/>
      <c r="BY131" s="107"/>
      <c r="BZ131" s="107"/>
      <c r="CA131" s="107"/>
      <c r="CB131" s="107"/>
      <c r="CC131" s="107"/>
      <c r="CD131" s="107"/>
      <c r="CE131" s="30"/>
      <c r="CF131" s="30">
        <v>0</v>
      </c>
      <c r="CG131" s="107">
        <v>6.0000000000000001E-3</v>
      </c>
      <c r="CS131" s="108" t="str">
        <f t="shared" si="29"/>
        <v/>
      </c>
      <c r="CT131" s="109" t="str">
        <f t="shared" si="30"/>
        <v/>
      </c>
      <c r="CU131" s="109" t="str">
        <f t="shared" si="31"/>
        <v/>
      </c>
      <c r="CV131" s="110" t="str">
        <f t="shared" si="225"/>
        <v/>
      </c>
      <c r="CX131" s="108" t="str">
        <f t="shared" si="33"/>
        <v/>
      </c>
      <c r="CY131" s="109" t="str">
        <f t="shared" si="113"/>
        <v/>
      </c>
      <c r="CZ131" s="109" t="str">
        <f t="shared" si="34"/>
        <v/>
      </c>
      <c r="DA131" s="110" t="str">
        <f t="shared" si="226"/>
        <v/>
      </c>
      <c r="DC131" s="108" t="str">
        <f t="shared" si="114"/>
        <v/>
      </c>
      <c r="DD131" s="109" t="str">
        <f t="shared" si="115"/>
        <v/>
      </c>
      <c r="DE131" s="109" t="str">
        <f t="shared" si="36"/>
        <v/>
      </c>
      <c r="DF131" s="110" t="str">
        <f t="shared" si="227"/>
        <v/>
      </c>
      <c r="DH131" s="108" t="str">
        <f t="shared" si="38"/>
        <v/>
      </c>
      <c r="DI131" s="109" t="str">
        <f t="shared" si="39"/>
        <v/>
      </c>
      <c r="DJ131" s="109" t="str">
        <f t="shared" si="40"/>
        <v/>
      </c>
      <c r="DK131" s="110" t="str">
        <f t="shared" si="228"/>
        <v/>
      </c>
      <c r="DM131" s="108" t="str">
        <f t="shared" si="116"/>
        <v/>
      </c>
      <c r="DN131" s="109" t="str">
        <f t="shared" si="117"/>
        <v/>
      </c>
      <c r="DO131" s="109" t="str">
        <f t="shared" si="42"/>
        <v/>
      </c>
      <c r="DP131" s="110" t="str">
        <f t="shared" si="229"/>
        <v/>
      </c>
      <c r="DR131" s="108" t="str">
        <f t="shared" si="43"/>
        <v/>
      </c>
      <c r="DS131" s="109" t="str">
        <f t="shared" si="118"/>
        <v/>
      </c>
      <c r="DT131" s="109" t="str">
        <f t="shared" si="44"/>
        <v/>
      </c>
      <c r="DU131" s="110" t="str">
        <f t="shared" si="230"/>
        <v/>
      </c>
      <c r="DW131" s="108" t="str">
        <f t="shared" si="120"/>
        <v/>
      </c>
      <c r="DX131" s="109" t="str">
        <f t="shared" si="121"/>
        <v/>
      </c>
      <c r="DY131" s="109" t="str">
        <f t="shared" si="45"/>
        <v/>
      </c>
      <c r="DZ131" s="110" t="str">
        <f t="shared" si="231"/>
        <v/>
      </c>
      <c r="EB131" s="108" t="str">
        <f t="shared" si="46"/>
        <v/>
      </c>
      <c r="EC131" s="109" t="str">
        <f t="shared" si="122"/>
        <v/>
      </c>
      <c r="ED131" s="109" t="str">
        <f t="shared" si="47"/>
        <v/>
      </c>
      <c r="EE131" s="110" t="str">
        <f t="shared" si="232"/>
        <v/>
      </c>
      <c r="EG131" s="108" t="str">
        <f t="shared" si="124"/>
        <v/>
      </c>
      <c r="EH131" s="109" t="str">
        <f t="shared" si="125"/>
        <v/>
      </c>
      <c r="EI131" s="109" t="str">
        <f t="shared" si="48"/>
        <v/>
      </c>
      <c r="EJ131" s="110" t="str">
        <f t="shared" si="233"/>
        <v/>
      </c>
      <c r="EL131" s="108" t="str">
        <f t="shared" si="49"/>
        <v/>
      </c>
      <c r="EM131" s="109" t="str">
        <f t="shared" si="126"/>
        <v/>
      </c>
      <c r="EN131" s="109" t="str">
        <f t="shared" si="50"/>
        <v/>
      </c>
      <c r="EO131" s="110" t="str">
        <f t="shared" si="234"/>
        <v/>
      </c>
      <c r="EQ131" s="108" t="str">
        <f t="shared" si="128"/>
        <v/>
      </c>
      <c r="ER131" s="109" t="str">
        <f t="shared" si="129"/>
        <v/>
      </c>
      <c r="ES131" s="109" t="str">
        <f t="shared" si="51"/>
        <v/>
      </c>
      <c r="ET131" s="110" t="str">
        <f t="shared" si="235"/>
        <v/>
      </c>
      <c r="EV131" s="108" t="str">
        <f t="shared" si="52"/>
        <v/>
      </c>
      <c r="EW131" s="109" t="str">
        <f t="shared" si="130"/>
        <v/>
      </c>
      <c r="EX131" s="109" t="str">
        <f t="shared" si="53"/>
        <v/>
      </c>
      <c r="EY131" s="110" t="str">
        <f t="shared" si="236"/>
        <v/>
      </c>
      <c r="FA131" s="108" t="str">
        <f t="shared" si="132"/>
        <v/>
      </c>
      <c r="FB131" s="109" t="str">
        <f t="shared" si="133"/>
        <v/>
      </c>
      <c r="FC131" s="109" t="str">
        <f t="shared" si="54"/>
        <v/>
      </c>
      <c r="FD131" s="110" t="str">
        <f t="shared" si="237"/>
        <v/>
      </c>
      <c r="FF131" s="108" t="str">
        <f t="shared" si="55"/>
        <v/>
      </c>
      <c r="FG131" s="109" t="str">
        <f t="shared" si="134"/>
        <v/>
      </c>
      <c r="FH131" s="109" t="str">
        <f t="shared" si="56"/>
        <v/>
      </c>
      <c r="FI131" s="110" t="str">
        <f t="shared" si="238"/>
        <v/>
      </c>
      <c r="FK131" s="108" t="str">
        <f t="shared" si="136"/>
        <v/>
      </c>
      <c r="FL131" s="109" t="str">
        <f t="shared" si="137"/>
        <v/>
      </c>
      <c r="FM131" s="109" t="str">
        <f t="shared" si="57"/>
        <v/>
      </c>
      <c r="FN131" s="110" t="str">
        <f t="shared" si="239"/>
        <v/>
      </c>
      <c r="FP131" s="108" t="str">
        <f t="shared" si="58"/>
        <v/>
      </c>
      <c r="FQ131" s="109" t="str">
        <f t="shared" si="138"/>
        <v/>
      </c>
      <c r="FR131" s="109" t="str">
        <f t="shared" si="59"/>
        <v/>
      </c>
      <c r="FS131" s="110" t="str">
        <f t="shared" si="240"/>
        <v/>
      </c>
      <c r="FU131" s="108" t="str">
        <f t="shared" si="140"/>
        <v/>
      </c>
      <c r="FV131" s="109" t="str">
        <f t="shared" si="141"/>
        <v/>
      </c>
      <c r="FW131" s="109" t="str">
        <f t="shared" si="60"/>
        <v/>
      </c>
      <c r="FX131" s="110" t="str">
        <f t="shared" si="241"/>
        <v/>
      </c>
      <c r="FZ131" s="108" t="str">
        <f t="shared" si="61"/>
        <v/>
      </c>
      <c r="GA131" s="109" t="str">
        <f t="shared" si="142"/>
        <v/>
      </c>
      <c r="GB131" s="109" t="str">
        <f t="shared" si="62"/>
        <v/>
      </c>
      <c r="GC131" s="110" t="str">
        <f t="shared" si="242"/>
        <v/>
      </c>
      <c r="GE131" s="108" t="str">
        <f t="shared" si="144"/>
        <v/>
      </c>
      <c r="GF131" s="109" t="str">
        <f t="shared" si="145"/>
        <v/>
      </c>
      <c r="GG131" s="109" t="str">
        <f t="shared" si="146"/>
        <v/>
      </c>
      <c r="GH131" s="110" t="str">
        <f t="shared" si="243"/>
        <v/>
      </c>
      <c r="GL131" s="108" t="str">
        <f t="shared" si="63"/>
        <v/>
      </c>
      <c r="GM131" s="109" t="str">
        <f t="shared" si="64"/>
        <v/>
      </c>
      <c r="GN131" s="109" t="str">
        <f t="shared" si="65"/>
        <v/>
      </c>
      <c r="GO131" s="110" t="str">
        <f t="shared" si="66"/>
        <v/>
      </c>
      <c r="GP131" s="51"/>
      <c r="GQ131" s="108" t="str">
        <f t="shared" si="67"/>
        <v/>
      </c>
      <c r="GR131" s="109" t="str">
        <f t="shared" si="147"/>
        <v/>
      </c>
      <c r="GS131" s="109" t="str">
        <f t="shared" si="68"/>
        <v/>
      </c>
      <c r="GT131" s="110" t="str">
        <f t="shared" si="69"/>
        <v/>
      </c>
      <c r="GU131" s="51"/>
      <c r="GV131" s="108" t="str">
        <f t="shared" si="148"/>
        <v/>
      </c>
      <c r="GW131" s="109" t="str">
        <f t="shared" si="149"/>
        <v/>
      </c>
      <c r="GX131" s="109" t="str">
        <f t="shared" si="70"/>
        <v/>
      </c>
      <c r="GY131" s="110" t="str">
        <f t="shared" si="150"/>
        <v/>
      </c>
      <c r="GZ131" s="51"/>
      <c r="HA131" s="108" t="str">
        <f t="shared" si="71"/>
        <v/>
      </c>
      <c r="HB131" s="109" t="str">
        <f t="shared" si="151"/>
        <v/>
      </c>
      <c r="HC131" s="109" t="str">
        <f t="shared" si="72"/>
        <v/>
      </c>
      <c r="HD131" s="110" t="str">
        <f t="shared" si="193"/>
        <v/>
      </c>
      <c r="HE131" s="51"/>
      <c r="HF131" s="108" t="str">
        <f t="shared" si="152"/>
        <v/>
      </c>
      <c r="HG131" s="109" t="str">
        <f t="shared" si="153"/>
        <v/>
      </c>
      <c r="HH131" s="109" t="str">
        <f t="shared" si="73"/>
        <v/>
      </c>
      <c r="HI131" s="110" t="str">
        <f t="shared" si="154"/>
        <v/>
      </c>
      <c r="HJ131" s="51"/>
      <c r="HK131" s="108" t="str">
        <f t="shared" si="74"/>
        <v/>
      </c>
      <c r="HL131" s="109" t="str">
        <f t="shared" si="155"/>
        <v/>
      </c>
      <c r="HM131" s="109" t="str">
        <f t="shared" si="75"/>
        <v/>
      </c>
      <c r="HN131" s="110" t="str">
        <f t="shared" si="194"/>
        <v/>
      </c>
      <c r="HO131" s="51"/>
      <c r="HP131" s="108" t="str">
        <f t="shared" si="156"/>
        <v/>
      </c>
      <c r="HQ131" s="109" t="str">
        <f t="shared" si="157"/>
        <v/>
      </c>
      <c r="HR131" s="109" t="str">
        <f t="shared" si="76"/>
        <v/>
      </c>
      <c r="HS131" s="110" t="str">
        <f t="shared" si="158"/>
        <v/>
      </c>
      <c r="HT131" s="51"/>
      <c r="HU131" s="108" t="str">
        <f t="shared" si="77"/>
        <v/>
      </c>
      <c r="HV131" s="109" t="str">
        <f t="shared" si="159"/>
        <v/>
      </c>
      <c r="HW131" s="109" t="str">
        <f t="shared" si="78"/>
        <v/>
      </c>
      <c r="HX131" s="110" t="str">
        <f t="shared" si="195"/>
        <v/>
      </c>
      <c r="HY131" s="51"/>
      <c r="HZ131" s="108" t="str">
        <f t="shared" si="160"/>
        <v/>
      </c>
      <c r="IA131" s="109" t="str">
        <f t="shared" si="161"/>
        <v/>
      </c>
      <c r="IB131" s="109" t="str">
        <f t="shared" si="79"/>
        <v/>
      </c>
      <c r="IC131" s="110" t="str">
        <f t="shared" si="162"/>
        <v/>
      </c>
      <c r="ID131" s="51"/>
      <c r="IE131" s="108" t="str">
        <f t="shared" si="80"/>
        <v/>
      </c>
      <c r="IF131" s="109" t="str">
        <f t="shared" si="163"/>
        <v/>
      </c>
      <c r="IG131" s="109" t="str">
        <f t="shared" si="81"/>
        <v/>
      </c>
      <c r="IH131" s="110" t="str">
        <f t="shared" si="196"/>
        <v/>
      </c>
      <c r="II131" s="51"/>
      <c r="IJ131" s="108" t="str">
        <f t="shared" si="164"/>
        <v/>
      </c>
      <c r="IK131" s="109" t="str">
        <f t="shared" si="165"/>
        <v/>
      </c>
      <c r="IL131" s="109" t="str">
        <f t="shared" si="82"/>
        <v/>
      </c>
      <c r="IM131" s="110" t="str">
        <f t="shared" si="166"/>
        <v/>
      </c>
      <c r="IN131" s="51"/>
      <c r="IO131" s="108" t="str">
        <f t="shared" si="83"/>
        <v/>
      </c>
      <c r="IP131" s="109" t="str">
        <f t="shared" si="167"/>
        <v/>
      </c>
      <c r="IQ131" s="109" t="str">
        <f t="shared" si="84"/>
        <v/>
      </c>
      <c r="IR131" s="110" t="str">
        <f t="shared" si="197"/>
        <v/>
      </c>
      <c r="IS131" s="51"/>
      <c r="IT131" s="108" t="str">
        <f t="shared" si="168"/>
        <v/>
      </c>
      <c r="IU131" s="109" t="str">
        <f t="shared" si="169"/>
        <v/>
      </c>
      <c r="IV131" s="109" t="str">
        <f t="shared" si="85"/>
        <v/>
      </c>
      <c r="IW131" s="110" t="str">
        <f t="shared" si="170"/>
        <v/>
      </c>
      <c r="IX131" s="51"/>
      <c r="IY131" s="108" t="str">
        <f t="shared" si="86"/>
        <v/>
      </c>
      <c r="IZ131" s="109" t="str">
        <f t="shared" si="171"/>
        <v/>
      </c>
      <c r="JA131" s="109" t="str">
        <f t="shared" si="87"/>
        <v/>
      </c>
      <c r="JB131" s="110" t="str">
        <f t="shared" si="198"/>
        <v/>
      </c>
      <c r="JC131" s="51"/>
      <c r="JD131" s="108" t="str">
        <f t="shared" si="172"/>
        <v/>
      </c>
      <c r="JE131" s="109" t="str">
        <f t="shared" si="173"/>
        <v/>
      </c>
      <c r="JF131" s="109" t="str">
        <f t="shared" si="88"/>
        <v/>
      </c>
      <c r="JG131" s="110" t="str">
        <f t="shared" si="174"/>
        <v/>
      </c>
      <c r="JH131" s="51"/>
      <c r="JI131" s="108" t="str">
        <f t="shared" si="89"/>
        <v/>
      </c>
      <c r="JJ131" s="109" t="str">
        <f t="shared" si="175"/>
        <v/>
      </c>
      <c r="JK131" s="109" t="str">
        <f t="shared" si="90"/>
        <v/>
      </c>
      <c r="JL131" s="110" t="str">
        <f t="shared" si="199"/>
        <v/>
      </c>
      <c r="JM131" s="51"/>
      <c r="JN131" s="108" t="str">
        <f t="shared" si="176"/>
        <v/>
      </c>
      <c r="JO131" s="109" t="str">
        <f t="shared" si="177"/>
        <v/>
      </c>
      <c r="JP131" s="109" t="str">
        <f t="shared" si="91"/>
        <v/>
      </c>
      <c r="JQ131" s="110" t="str">
        <f t="shared" si="178"/>
        <v/>
      </c>
      <c r="JR131" s="51"/>
      <c r="JS131" s="108" t="str">
        <f t="shared" si="92"/>
        <v/>
      </c>
      <c r="JT131" s="109" t="str">
        <f t="shared" si="179"/>
        <v/>
      </c>
      <c r="JU131" s="109" t="str">
        <f t="shared" si="93"/>
        <v/>
      </c>
      <c r="JV131" s="110" t="str">
        <f t="shared" si="200"/>
        <v/>
      </c>
      <c r="JW131" s="51"/>
      <c r="JX131" s="108" t="str">
        <f t="shared" si="180"/>
        <v/>
      </c>
      <c r="JY131" s="109" t="str">
        <f t="shared" si="181"/>
        <v/>
      </c>
      <c r="JZ131" s="109" t="str">
        <f t="shared" si="94"/>
        <v/>
      </c>
      <c r="KA131" s="110" t="str">
        <f t="shared" si="95"/>
        <v/>
      </c>
    </row>
    <row r="132" spans="1:287" ht="12" customHeight="1">
      <c r="A132" s="105">
        <f t="array" ref="A132">MAX(IF($J$80:J131&gt;0,$C$80:C131,0))</f>
        <v>43536</v>
      </c>
      <c r="B132" s="81" t="str">
        <f t="shared" si="4"/>
        <v/>
      </c>
      <c r="C132" s="82">
        <f t="shared" si="182"/>
        <v>0</v>
      </c>
      <c r="D132" s="83" t="str">
        <f t="shared" si="5"/>
        <v/>
      </c>
      <c r="E132" s="83" t="str">
        <f t="shared" si="96"/>
        <v/>
      </c>
      <c r="F132" s="83" t="str">
        <f t="shared" si="6"/>
        <v/>
      </c>
      <c r="G132" s="83" t="str">
        <f t="shared" si="7"/>
        <v/>
      </c>
      <c r="H132" s="83" t="str">
        <f t="shared" si="8"/>
        <v/>
      </c>
      <c r="I132" s="105">
        <f t="array" ref="I132">MAX(IF($R$80:R131&gt;0,$L$80:L131,0))</f>
        <v>0</v>
      </c>
      <c r="J132" s="106"/>
      <c r="K132" s="2" t="str">
        <f t="shared" si="9"/>
        <v/>
      </c>
      <c r="L132" s="82">
        <f t="shared" si="183"/>
        <v>0</v>
      </c>
      <c r="M132" s="83" t="str">
        <f t="shared" si="97"/>
        <v/>
      </c>
      <c r="N132" s="83" t="str">
        <f t="shared" si="10"/>
        <v/>
      </c>
      <c r="O132" s="83" t="str">
        <f t="shared" si="11"/>
        <v/>
      </c>
      <c r="P132" s="83" t="str">
        <f t="shared" si="12"/>
        <v/>
      </c>
      <c r="Q132" s="83" t="str">
        <f t="shared" si="13"/>
        <v/>
      </c>
      <c r="R132" s="106"/>
      <c r="S132" s="1"/>
      <c r="U132" s="85" t="e">
        <f t="shared" si="0"/>
        <v>#NUM!</v>
      </c>
      <c r="V132" s="86" t="e">
        <f t="shared" si="98"/>
        <v>#NUM!</v>
      </c>
      <c r="W132" s="87" t="e">
        <f t="shared" si="14"/>
        <v>#NUM!</v>
      </c>
      <c r="X132" s="87" t="e">
        <f t="shared" si="15"/>
        <v>#NUM!</v>
      </c>
      <c r="Y132" s="87" t="e">
        <f t="shared" si="16"/>
        <v>#NUM!</v>
      </c>
      <c r="Z132" s="88" t="e">
        <f t="shared" si="1"/>
        <v>#NUM!</v>
      </c>
      <c r="AA132" t="s">
        <v>282</v>
      </c>
      <c r="AB132" s="89">
        <f t="shared" si="99"/>
        <v>0</v>
      </c>
      <c r="AC132" s="87">
        <f t="shared" si="100"/>
        <v>0</v>
      </c>
      <c r="AD132" s="87" t="str">
        <f t="shared" si="17"/>
        <v/>
      </c>
      <c r="AE132" s="87" t="str">
        <f t="shared" si="18"/>
        <v/>
      </c>
      <c r="AF132" s="86">
        <f t="shared" si="101"/>
        <v>0</v>
      </c>
      <c r="AG132" s="87">
        <f t="shared" si="2"/>
        <v>0</v>
      </c>
      <c r="AH132" s="87">
        <f t="shared" si="102"/>
        <v>0</v>
      </c>
      <c r="AI132" s="90"/>
      <c r="AJ132" s="87" t="e">
        <f t="shared" si="19"/>
        <v>#NUM!</v>
      </c>
      <c r="AK132" s="87" t="e">
        <f t="shared" si="103"/>
        <v>#NUM!</v>
      </c>
      <c r="AL132" s="87" t="e">
        <f t="shared" si="104"/>
        <v>#NUM!</v>
      </c>
      <c r="AM132" s="87" t="e">
        <f t="shared" si="105"/>
        <v>#NUM!</v>
      </c>
      <c r="AN132" s="86">
        <f t="shared" si="20"/>
        <v>0</v>
      </c>
      <c r="AO132" s="87">
        <f t="shared" si="21"/>
        <v>0</v>
      </c>
      <c r="AP132" s="88">
        <f t="shared" si="22"/>
        <v>0</v>
      </c>
      <c r="AR132" s="89">
        <f t="shared" si="23"/>
        <v>0</v>
      </c>
      <c r="AS132" s="87">
        <f t="shared" si="24"/>
        <v>0</v>
      </c>
      <c r="AT132" s="87" t="str">
        <f t="shared" si="25"/>
        <v/>
      </c>
      <c r="AU132" s="87" t="str">
        <f t="shared" si="26"/>
        <v/>
      </c>
      <c r="AV132" s="86">
        <f t="shared" si="106"/>
        <v>0</v>
      </c>
      <c r="AW132" s="87">
        <f t="shared" si="107"/>
        <v>0</v>
      </c>
      <c r="AX132" s="87">
        <f t="shared" si="108"/>
        <v>0</v>
      </c>
      <c r="AY132" s="93"/>
      <c r="AZ132" s="87">
        <f t="shared" si="201"/>
        <v>0</v>
      </c>
      <c r="BA132" s="87">
        <f t="shared" si="109"/>
        <v>0</v>
      </c>
      <c r="BB132" s="87">
        <f t="shared" si="110"/>
        <v>0</v>
      </c>
      <c r="BC132" s="87">
        <f t="shared" si="184"/>
        <v>0</v>
      </c>
      <c r="BD132" s="86" t="e">
        <f t="shared" si="27"/>
        <v>#NUM!</v>
      </c>
      <c r="BE132" s="87" t="e">
        <f t="shared" si="3"/>
        <v>#NUM!</v>
      </c>
      <c r="BF132" s="88">
        <f t="shared" si="111"/>
        <v>0</v>
      </c>
      <c r="BH132" s="87" t="e">
        <f t="shared" si="28"/>
        <v>#NUM!</v>
      </c>
      <c r="BK132" s="95">
        <v>40658</v>
      </c>
      <c r="BL132" s="96">
        <v>53</v>
      </c>
      <c r="BT132" s="51">
        <v>6000.01</v>
      </c>
      <c r="BU132" s="51">
        <v>1000000</v>
      </c>
      <c r="BV132" s="30" t="s">
        <v>497</v>
      </c>
      <c r="BY132" s="107"/>
      <c r="BZ132" s="107"/>
      <c r="CA132" s="107"/>
      <c r="CB132" s="107"/>
      <c r="CC132" s="107"/>
      <c r="CD132" s="107"/>
      <c r="CE132" s="107"/>
      <c r="CF132" s="30" t="s">
        <v>497</v>
      </c>
      <c r="CG132" s="30" t="s">
        <v>497</v>
      </c>
      <c r="CS132" s="108" t="str">
        <f t="shared" si="29"/>
        <v/>
      </c>
      <c r="CT132" s="109" t="str">
        <f t="shared" si="30"/>
        <v/>
      </c>
      <c r="CU132" s="109" t="str">
        <f t="shared" si="31"/>
        <v/>
      </c>
      <c r="CV132" s="110" t="str">
        <f t="shared" si="225"/>
        <v/>
      </c>
      <c r="CX132" s="108" t="str">
        <f t="shared" si="33"/>
        <v/>
      </c>
      <c r="CY132" s="109" t="str">
        <f t="shared" si="113"/>
        <v/>
      </c>
      <c r="CZ132" s="109" t="str">
        <f t="shared" si="34"/>
        <v/>
      </c>
      <c r="DA132" s="110" t="str">
        <f t="shared" si="226"/>
        <v/>
      </c>
      <c r="DC132" s="108" t="str">
        <f t="shared" si="114"/>
        <v/>
      </c>
      <c r="DD132" s="109" t="str">
        <f t="shared" si="115"/>
        <v/>
      </c>
      <c r="DE132" s="109" t="str">
        <f t="shared" si="36"/>
        <v/>
      </c>
      <c r="DF132" s="110" t="str">
        <f t="shared" si="227"/>
        <v/>
      </c>
      <c r="DH132" s="108" t="str">
        <f t="shared" si="38"/>
        <v/>
      </c>
      <c r="DI132" s="109" t="str">
        <f t="shared" si="39"/>
        <v/>
      </c>
      <c r="DJ132" s="109" t="str">
        <f t="shared" si="40"/>
        <v/>
      </c>
      <c r="DK132" s="110" t="str">
        <f t="shared" si="228"/>
        <v/>
      </c>
      <c r="DM132" s="108" t="str">
        <f t="shared" si="116"/>
        <v/>
      </c>
      <c r="DN132" s="109" t="str">
        <f t="shared" si="117"/>
        <v/>
      </c>
      <c r="DO132" s="109" t="str">
        <f t="shared" si="42"/>
        <v/>
      </c>
      <c r="DP132" s="110" t="str">
        <f t="shared" si="229"/>
        <v/>
      </c>
      <c r="DR132" s="108" t="str">
        <f t="shared" si="43"/>
        <v/>
      </c>
      <c r="DS132" s="109" t="str">
        <f t="shared" si="118"/>
        <v/>
      </c>
      <c r="DT132" s="109" t="str">
        <f t="shared" si="44"/>
        <v/>
      </c>
      <c r="DU132" s="110" t="str">
        <f t="shared" si="230"/>
        <v/>
      </c>
      <c r="DW132" s="108" t="str">
        <f t="shared" si="120"/>
        <v/>
      </c>
      <c r="DX132" s="109" t="str">
        <f t="shared" si="121"/>
        <v/>
      </c>
      <c r="DY132" s="109" t="str">
        <f t="shared" si="45"/>
        <v/>
      </c>
      <c r="DZ132" s="110" t="str">
        <f t="shared" si="231"/>
        <v/>
      </c>
      <c r="EB132" s="108" t="str">
        <f t="shared" si="46"/>
        <v/>
      </c>
      <c r="EC132" s="109" t="str">
        <f t="shared" si="122"/>
        <v/>
      </c>
      <c r="ED132" s="109" t="str">
        <f t="shared" si="47"/>
        <v/>
      </c>
      <c r="EE132" s="110" t="str">
        <f t="shared" si="232"/>
        <v/>
      </c>
      <c r="EG132" s="108" t="str">
        <f t="shared" si="124"/>
        <v/>
      </c>
      <c r="EH132" s="109" t="str">
        <f t="shared" si="125"/>
        <v/>
      </c>
      <c r="EI132" s="109" t="str">
        <f t="shared" si="48"/>
        <v/>
      </c>
      <c r="EJ132" s="110" t="str">
        <f t="shared" si="233"/>
        <v/>
      </c>
      <c r="EL132" s="108" t="str">
        <f t="shared" si="49"/>
        <v/>
      </c>
      <c r="EM132" s="109" t="str">
        <f t="shared" si="126"/>
        <v/>
      </c>
      <c r="EN132" s="109" t="str">
        <f t="shared" si="50"/>
        <v/>
      </c>
      <c r="EO132" s="110" t="str">
        <f t="shared" si="234"/>
        <v/>
      </c>
      <c r="EQ132" s="108" t="str">
        <f t="shared" si="128"/>
        <v/>
      </c>
      <c r="ER132" s="109" t="str">
        <f t="shared" si="129"/>
        <v/>
      </c>
      <c r="ES132" s="109" t="str">
        <f t="shared" si="51"/>
        <v/>
      </c>
      <c r="ET132" s="110" t="str">
        <f t="shared" si="235"/>
        <v/>
      </c>
      <c r="EV132" s="108" t="str">
        <f t="shared" si="52"/>
        <v/>
      </c>
      <c r="EW132" s="109" t="str">
        <f t="shared" si="130"/>
        <v/>
      </c>
      <c r="EX132" s="109" t="str">
        <f t="shared" si="53"/>
        <v/>
      </c>
      <c r="EY132" s="110" t="str">
        <f t="shared" si="236"/>
        <v/>
      </c>
      <c r="FA132" s="108" t="str">
        <f t="shared" si="132"/>
        <v/>
      </c>
      <c r="FB132" s="109" t="str">
        <f t="shared" si="133"/>
        <v/>
      </c>
      <c r="FC132" s="109" t="str">
        <f t="shared" si="54"/>
        <v/>
      </c>
      <c r="FD132" s="110" t="str">
        <f t="shared" si="237"/>
        <v/>
      </c>
      <c r="FF132" s="108" t="str">
        <f t="shared" si="55"/>
        <v/>
      </c>
      <c r="FG132" s="109" t="str">
        <f t="shared" si="134"/>
        <v/>
      </c>
      <c r="FH132" s="109" t="str">
        <f t="shared" si="56"/>
        <v/>
      </c>
      <c r="FI132" s="110" t="str">
        <f t="shared" si="238"/>
        <v/>
      </c>
      <c r="FK132" s="108" t="str">
        <f t="shared" si="136"/>
        <v/>
      </c>
      <c r="FL132" s="109" t="str">
        <f t="shared" si="137"/>
        <v/>
      </c>
      <c r="FM132" s="109" t="str">
        <f t="shared" si="57"/>
        <v/>
      </c>
      <c r="FN132" s="110" t="str">
        <f t="shared" si="239"/>
        <v/>
      </c>
      <c r="FP132" s="108" t="str">
        <f t="shared" si="58"/>
        <v/>
      </c>
      <c r="FQ132" s="109" t="str">
        <f t="shared" si="138"/>
        <v/>
      </c>
      <c r="FR132" s="109" t="str">
        <f t="shared" si="59"/>
        <v/>
      </c>
      <c r="FS132" s="110" t="str">
        <f t="shared" si="240"/>
        <v/>
      </c>
      <c r="FU132" s="108" t="str">
        <f t="shared" si="140"/>
        <v/>
      </c>
      <c r="FV132" s="109" t="str">
        <f t="shared" si="141"/>
        <v/>
      </c>
      <c r="FW132" s="109" t="str">
        <f t="shared" si="60"/>
        <v/>
      </c>
      <c r="FX132" s="110" t="str">
        <f t="shared" si="241"/>
        <v/>
      </c>
      <c r="FZ132" s="108" t="str">
        <f t="shared" si="61"/>
        <v/>
      </c>
      <c r="GA132" s="109" t="str">
        <f t="shared" si="142"/>
        <v/>
      </c>
      <c r="GB132" s="109" t="str">
        <f t="shared" si="62"/>
        <v/>
      </c>
      <c r="GC132" s="110" t="str">
        <f t="shared" si="242"/>
        <v/>
      </c>
      <c r="GE132" s="108" t="str">
        <f t="shared" si="144"/>
        <v/>
      </c>
      <c r="GF132" s="109" t="str">
        <f t="shared" si="145"/>
        <v/>
      </c>
      <c r="GG132" s="109" t="str">
        <f t="shared" si="146"/>
        <v/>
      </c>
      <c r="GH132" s="110" t="str">
        <f t="shared" si="243"/>
        <v/>
      </c>
      <c r="GL132" s="108" t="str">
        <f t="shared" si="63"/>
        <v/>
      </c>
      <c r="GM132" s="109" t="str">
        <f t="shared" si="64"/>
        <v/>
      </c>
      <c r="GN132" s="109" t="str">
        <f t="shared" si="65"/>
        <v/>
      </c>
      <c r="GO132" s="110" t="str">
        <f t="shared" si="66"/>
        <v/>
      </c>
      <c r="GP132" s="51"/>
      <c r="GQ132" s="108" t="str">
        <f t="shared" si="67"/>
        <v/>
      </c>
      <c r="GR132" s="109" t="str">
        <f t="shared" si="147"/>
        <v/>
      </c>
      <c r="GS132" s="109" t="str">
        <f t="shared" si="68"/>
        <v/>
      </c>
      <c r="GT132" s="110" t="str">
        <f t="shared" si="69"/>
        <v/>
      </c>
      <c r="GU132" s="51"/>
      <c r="GV132" s="108" t="str">
        <f t="shared" si="148"/>
        <v/>
      </c>
      <c r="GW132" s="109" t="str">
        <f t="shared" si="149"/>
        <v/>
      </c>
      <c r="GX132" s="109" t="str">
        <f t="shared" si="70"/>
        <v/>
      </c>
      <c r="GY132" s="110" t="str">
        <f t="shared" si="150"/>
        <v/>
      </c>
      <c r="GZ132" s="51"/>
      <c r="HA132" s="108" t="str">
        <f t="shared" si="71"/>
        <v/>
      </c>
      <c r="HB132" s="109" t="str">
        <f t="shared" si="151"/>
        <v/>
      </c>
      <c r="HC132" s="109" t="str">
        <f t="shared" si="72"/>
        <v/>
      </c>
      <c r="HD132" s="110" t="str">
        <f t="shared" si="193"/>
        <v/>
      </c>
      <c r="HE132" s="51"/>
      <c r="HF132" s="108" t="str">
        <f t="shared" si="152"/>
        <v/>
      </c>
      <c r="HG132" s="109" t="str">
        <f t="shared" si="153"/>
        <v/>
      </c>
      <c r="HH132" s="109" t="str">
        <f t="shared" si="73"/>
        <v/>
      </c>
      <c r="HI132" s="110" t="str">
        <f t="shared" si="154"/>
        <v/>
      </c>
      <c r="HJ132" s="51"/>
      <c r="HK132" s="108" t="str">
        <f t="shared" si="74"/>
        <v/>
      </c>
      <c r="HL132" s="109" t="str">
        <f t="shared" si="155"/>
        <v/>
      </c>
      <c r="HM132" s="109" t="str">
        <f t="shared" si="75"/>
        <v/>
      </c>
      <c r="HN132" s="110" t="str">
        <f t="shared" si="194"/>
        <v/>
      </c>
      <c r="HO132" s="51"/>
      <c r="HP132" s="108" t="str">
        <f t="shared" si="156"/>
        <v/>
      </c>
      <c r="HQ132" s="109" t="str">
        <f t="shared" si="157"/>
        <v/>
      </c>
      <c r="HR132" s="109" t="str">
        <f t="shared" si="76"/>
        <v/>
      </c>
      <c r="HS132" s="110" t="str">
        <f t="shared" si="158"/>
        <v/>
      </c>
      <c r="HT132" s="51"/>
      <c r="HU132" s="108" t="str">
        <f t="shared" si="77"/>
        <v/>
      </c>
      <c r="HV132" s="109" t="str">
        <f t="shared" si="159"/>
        <v/>
      </c>
      <c r="HW132" s="109" t="str">
        <f t="shared" si="78"/>
        <v/>
      </c>
      <c r="HX132" s="110" t="str">
        <f t="shared" si="195"/>
        <v/>
      </c>
      <c r="HY132" s="51"/>
      <c r="HZ132" s="108" t="str">
        <f t="shared" si="160"/>
        <v/>
      </c>
      <c r="IA132" s="109" t="str">
        <f t="shared" si="161"/>
        <v/>
      </c>
      <c r="IB132" s="109" t="str">
        <f t="shared" si="79"/>
        <v/>
      </c>
      <c r="IC132" s="110" t="str">
        <f t="shared" si="162"/>
        <v/>
      </c>
      <c r="ID132" s="51"/>
      <c r="IE132" s="108" t="str">
        <f t="shared" si="80"/>
        <v/>
      </c>
      <c r="IF132" s="109" t="str">
        <f t="shared" si="163"/>
        <v/>
      </c>
      <c r="IG132" s="109" t="str">
        <f t="shared" si="81"/>
        <v/>
      </c>
      <c r="IH132" s="110" t="str">
        <f t="shared" si="196"/>
        <v/>
      </c>
      <c r="II132" s="51"/>
      <c r="IJ132" s="108" t="str">
        <f t="shared" si="164"/>
        <v/>
      </c>
      <c r="IK132" s="109" t="str">
        <f t="shared" si="165"/>
        <v/>
      </c>
      <c r="IL132" s="109" t="str">
        <f t="shared" si="82"/>
        <v/>
      </c>
      <c r="IM132" s="110" t="str">
        <f t="shared" si="166"/>
        <v/>
      </c>
      <c r="IN132" s="51"/>
      <c r="IO132" s="108" t="str">
        <f t="shared" si="83"/>
        <v/>
      </c>
      <c r="IP132" s="109" t="str">
        <f t="shared" si="167"/>
        <v/>
      </c>
      <c r="IQ132" s="109" t="str">
        <f t="shared" si="84"/>
        <v/>
      </c>
      <c r="IR132" s="110" t="str">
        <f t="shared" si="197"/>
        <v/>
      </c>
      <c r="IS132" s="51"/>
      <c r="IT132" s="108" t="str">
        <f t="shared" si="168"/>
        <v/>
      </c>
      <c r="IU132" s="109" t="str">
        <f t="shared" si="169"/>
        <v/>
      </c>
      <c r="IV132" s="109" t="str">
        <f t="shared" si="85"/>
        <v/>
      </c>
      <c r="IW132" s="110" t="str">
        <f t="shared" si="170"/>
        <v/>
      </c>
      <c r="IX132" s="51"/>
      <c r="IY132" s="108" t="str">
        <f t="shared" si="86"/>
        <v/>
      </c>
      <c r="IZ132" s="109" t="str">
        <f t="shared" si="171"/>
        <v/>
      </c>
      <c r="JA132" s="109" t="str">
        <f t="shared" si="87"/>
        <v/>
      </c>
      <c r="JB132" s="110" t="str">
        <f t="shared" si="198"/>
        <v/>
      </c>
      <c r="JC132" s="51"/>
      <c r="JD132" s="108" t="str">
        <f t="shared" si="172"/>
        <v/>
      </c>
      <c r="JE132" s="109" t="str">
        <f t="shared" si="173"/>
        <v/>
      </c>
      <c r="JF132" s="109" t="str">
        <f t="shared" si="88"/>
        <v/>
      </c>
      <c r="JG132" s="110" t="str">
        <f t="shared" si="174"/>
        <v/>
      </c>
      <c r="JH132" s="51"/>
      <c r="JI132" s="108" t="str">
        <f t="shared" si="89"/>
        <v/>
      </c>
      <c r="JJ132" s="109" t="str">
        <f t="shared" si="175"/>
        <v/>
      </c>
      <c r="JK132" s="109" t="str">
        <f t="shared" si="90"/>
        <v/>
      </c>
      <c r="JL132" s="110" t="str">
        <f t="shared" si="199"/>
        <v/>
      </c>
      <c r="JM132" s="51"/>
      <c r="JN132" s="108" t="str">
        <f t="shared" si="176"/>
        <v/>
      </c>
      <c r="JO132" s="109" t="str">
        <f t="shared" si="177"/>
        <v/>
      </c>
      <c r="JP132" s="109" t="str">
        <f t="shared" si="91"/>
        <v/>
      </c>
      <c r="JQ132" s="110" t="str">
        <f t="shared" si="178"/>
        <v/>
      </c>
      <c r="JR132" s="51"/>
      <c r="JS132" s="108" t="str">
        <f t="shared" si="92"/>
        <v/>
      </c>
      <c r="JT132" s="109" t="str">
        <f t="shared" si="179"/>
        <v/>
      </c>
      <c r="JU132" s="109" t="str">
        <f t="shared" si="93"/>
        <v/>
      </c>
      <c r="JV132" s="110" t="str">
        <f t="shared" si="200"/>
        <v/>
      </c>
      <c r="JW132" s="51"/>
      <c r="JX132" s="108" t="str">
        <f t="shared" si="180"/>
        <v/>
      </c>
      <c r="JY132" s="109" t="str">
        <f t="shared" si="181"/>
        <v/>
      </c>
      <c r="JZ132" s="109" t="str">
        <f t="shared" si="94"/>
        <v/>
      </c>
      <c r="KA132" s="110" t="str">
        <f t="shared" si="95"/>
        <v/>
      </c>
    </row>
    <row r="133" spans="1:287" ht="12" customHeight="1">
      <c r="A133" s="105">
        <f t="array" ref="A133">MAX(IF($J$80:J132&gt;0,$C$80:C132,0))</f>
        <v>43536</v>
      </c>
      <c r="B133" s="81" t="str">
        <f t="shared" si="4"/>
        <v/>
      </c>
      <c r="C133" s="82">
        <f t="shared" si="182"/>
        <v>0</v>
      </c>
      <c r="D133" s="83" t="str">
        <f t="shared" si="5"/>
        <v/>
      </c>
      <c r="E133" s="83" t="str">
        <f t="shared" si="96"/>
        <v/>
      </c>
      <c r="F133" s="83" t="str">
        <f t="shared" si="6"/>
        <v/>
      </c>
      <c r="G133" s="83" t="str">
        <f t="shared" si="7"/>
        <v/>
      </c>
      <c r="H133" s="83" t="str">
        <f t="shared" si="8"/>
        <v/>
      </c>
      <c r="I133" s="105">
        <f t="array" ref="I133">MAX(IF($R$80:R132&gt;0,$L$80:L132,0))</f>
        <v>0</v>
      </c>
      <c r="J133" s="106"/>
      <c r="K133" s="2" t="str">
        <f t="shared" si="9"/>
        <v/>
      </c>
      <c r="L133" s="82">
        <f t="shared" si="183"/>
        <v>0</v>
      </c>
      <c r="M133" s="83" t="str">
        <f t="shared" si="97"/>
        <v/>
      </c>
      <c r="N133" s="83" t="str">
        <f t="shared" si="10"/>
        <v/>
      </c>
      <c r="O133" s="83" t="str">
        <f t="shared" si="11"/>
        <v/>
      </c>
      <c r="P133" s="83" t="str">
        <f t="shared" si="12"/>
        <v/>
      </c>
      <c r="Q133" s="83" t="str">
        <f t="shared" si="13"/>
        <v/>
      </c>
      <c r="R133" s="106"/>
      <c r="S133" s="1"/>
      <c r="U133" s="85" t="e">
        <f t="shared" si="0"/>
        <v>#NUM!</v>
      </c>
      <c r="V133" s="86" t="e">
        <f t="shared" si="98"/>
        <v>#NUM!</v>
      </c>
      <c r="W133" s="87" t="e">
        <f t="shared" si="14"/>
        <v>#NUM!</v>
      </c>
      <c r="X133" s="87" t="e">
        <f t="shared" si="15"/>
        <v>#NUM!</v>
      </c>
      <c r="Y133" s="87" t="e">
        <f t="shared" si="16"/>
        <v>#NUM!</v>
      </c>
      <c r="Z133" s="88" t="e">
        <f t="shared" si="1"/>
        <v>#NUM!</v>
      </c>
      <c r="AA133" t="s">
        <v>282</v>
      </c>
      <c r="AB133" s="89">
        <f t="shared" si="99"/>
        <v>0</v>
      </c>
      <c r="AC133" s="87">
        <f t="shared" si="100"/>
        <v>0</v>
      </c>
      <c r="AD133" s="87" t="str">
        <f t="shared" si="17"/>
        <v/>
      </c>
      <c r="AE133" s="87" t="str">
        <f t="shared" si="18"/>
        <v/>
      </c>
      <c r="AF133" s="86">
        <f t="shared" si="101"/>
        <v>0</v>
      </c>
      <c r="AG133" s="87">
        <f t="shared" si="2"/>
        <v>0</v>
      </c>
      <c r="AH133" s="87">
        <f t="shared" si="102"/>
        <v>0</v>
      </c>
      <c r="AI133" s="90"/>
      <c r="AJ133" s="87" t="e">
        <f t="shared" si="19"/>
        <v>#NUM!</v>
      </c>
      <c r="AK133" s="87" t="e">
        <f t="shared" si="103"/>
        <v>#NUM!</v>
      </c>
      <c r="AL133" s="87" t="e">
        <f t="shared" si="104"/>
        <v>#NUM!</v>
      </c>
      <c r="AM133" s="87" t="e">
        <f t="shared" si="105"/>
        <v>#NUM!</v>
      </c>
      <c r="AN133" s="86">
        <f t="shared" si="20"/>
        <v>0</v>
      </c>
      <c r="AO133" s="87">
        <f t="shared" si="21"/>
        <v>0</v>
      </c>
      <c r="AP133" s="88">
        <f t="shared" si="22"/>
        <v>0</v>
      </c>
      <c r="AR133" s="89">
        <f t="shared" si="23"/>
        <v>0</v>
      </c>
      <c r="AS133" s="87">
        <f t="shared" si="24"/>
        <v>0</v>
      </c>
      <c r="AT133" s="87" t="str">
        <f t="shared" si="25"/>
        <v/>
      </c>
      <c r="AU133" s="87" t="str">
        <f t="shared" si="26"/>
        <v/>
      </c>
      <c r="AV133" s="86">
        <f t="shared" si="106"/>
        <v>0</v>
      </c>
      <c r="AW133" s="87">
        <f t="shared" si="107"/>
        <v>0</v>
      </c>
      <c r="AX133" s="87">
        <f t="shared" si="108"/>
        <v>0</v>
      </c>
      <c r="AY133" s="93"/>
      <c r="AZ133" s="87">
        <f t="shared" si="201"/>
        <v>0</v>
      </c>
      <c r="BA133" s="87">
        <f t="shared" si="109"/>
        <v>0</v>
      </c>
      <c r="BB133" s="87">
        <f t="shared" si="110"/>
        <v>0</v>
      </c>
      <c r="BC133" s="87">
        <f t="shared" si="184"/>
        <v>0</v>
      </c>
      <c r="BD133" s="86" t="e">
        <f t="shared" si="27"/>
        <v>#NUM!</v>
      </c>
      <c r="BE133" s="87" t="e">
        <f t="shared" si="3"/>
        <v>#NUM!</v>
      </c>
      <c r="BF133" s="88">
        <f t="shared" si="111"/>
        <v>0</v>
      </c>
      <c r="BH133" s="87" t="e">
        <f t="shared" si="28"/>
        <v>#NUM!</v>
      </c>
      <c r="BK133" s="95">
        <v>40672</v>
      </c>
      <c r="BL133" s="96">
        <v>54</v>
      </c>
      <c r="BT133" s="51"/>
      <c r="BU133" s="51"/>
      <c r="BV133" s="30"/>
      <c r="BY133" s="107"/>
      <c r="BZ133" s="107"/>
      <c r="CA133" s="107"/>
      <c r="CB133" s="107"/>
      <c r="CC133" s="107"/>
      <c r="CD133" s="107"/>
      <c r="CE133" s="107"/>
      <c r="CF133" s="107"/>
      <c r="CG133" s="107"/>
      <c r="CS133" s="108" t="str">
        <f t="shared" si="29"/>
        <v/>
      </c>
      <c r="CT133" s="109" t="str">
        <f t="shared" si="30"/>
        <v/>
      </c>
      <c r="CU133" s="109" t="str">
        <f t="shared" si="31"/>
        <v/>
      </c>
      <c r="CV133" s="110" t="str">
        <f t="shared" si="225"/>
        <v/>
      </c>
      <c r="CX133" s="108" t="str">
        <f t="shared" si="33"/>
        <v/>
      </c>
      <c r="CY133" s="109" t="str">
        <f t="shared" si="113"/>
        <v/>
      </c>
      <c r="CZ133" s="109" t="str">
        <f t="shared" si="34"/>
        <v/>
      </c>
      <c r="DA133" s="110" t="str">
        <f t="shared" si="226"/>
        <v/>
      </c>
      <c r="DC133" s="108" t="str">
        <f t="shared" si="114"/>
        <v/>
      </c>
      <c r="DD133" s="109" t="str">
        <f t="shared" si="115"/>
        <v/>
      </c>
      <c r="DE133" s="109" t="str">
        <f t="shared" si="36"/>
        <v/>
      </c>
      <c r="DF133" s="110" t="str">
        <f t="shared" si="227"/>
        <v/>
      </c>
      <c r="DH133" s="108" t="str">
        <f t="shared" si="38"/>
        <v/>
      </c>
      <c r="DI133" s="109" t="str">
        <f t="shared" si="39"/>
        <v/>
      </c>
      <c r="DJ133" s="109" t="str">
        <f t="shared" si="40"/>
        <v/>
      </c>
      <c r="DK133" s="110" t="str">
        <f t="shared" si="228"/>
        <v/>
      </c>
      <c r="DM133" s="108" t="str">
        <f t="shared" si="116"/>
        <v/>
      </c>
      <c r="DN133" s="109" t="str">
        <f t="shared" si="117"/>
        <v/>
      </c>
      <c r="DO133" s="109" t="str">
        <f t="shared" si="42"/>
        <v/>
      </c>
      <c r="DP133" s="110" t="str">
        <f t="shared" si="229"/>
        <v/>
      </c>
      <c r="DR133" s="108" t="str">
        <f t="shared" si="43"/>
        <v/>
      </c>
      <c r="DS133" s="109" t="str">
        <f t="shared" si="118"/>
        <v/>
      </c>
      <c r="DT133" s="109" t="str">
        <f t="shared" si="44"/>
        <v/>
      </c>
      <c r="DU133" s="110" t="str">
        <f t="shared" si="230"/>
        <v/>
      </c>
      <c r="DW133" s="108" t="str">
        <f t="shared" si="120"/>
        <v/>
      </c>
      <c r="DX133" s="109" t="str">
        <f t="shared" si="121"/>
        <v/>
      </c>
      <c r="DY133" s="109" t="str">
        <f t="shared" si="45"/>
        <v/>
      </c>
      <c r="DZ133" s="110" t="str">
        <f t="shared" si="231"/>
        <v/>
      </c>
      <c r="EB133" s="108" t="str">
        <f t="shared" si="46"/>
        <v/>
      </c>
      <c r="EC133" s="109" t="str">
        <f t="shared" si="122"/>
        <v/>
      </c>
      <c r="ED133" s="109" t="str">
        <f t="shared" si="47"/>
        <v/>
      </c>
      <c r="EE133" s="110" t="str">
        <f t="shared" si="232"/>
        <v/>
      </c>
      <c r="EG133" s="108" t="str">
        <f t="shared" si="124"/>
        <v/>
      </c>
      <c r="EH133" s="109" t="str">
        <f t="shared" si="125"/>
        <v/>
      </c>
      <c r="EI133" s="109" t="str">
        <f t="shared" si="48"/>
        <v/>
      </c>
      <c r="EJ133" s="110" t="str">
        <f t="shared" si="233"/>
        <v/>
      </c>
      <c r="EL133" s="108" t="str">
        <f t="shared" si="49"/>
        <v/>
      </c>
      <c r="EM133" s="109" t="str">
        <f t="shared" si="126"/>
        <v/>
      </c>
      <c r="EN133" s="109" t="str">
        <f t="shared" si="50"/>
        <v/>
      </c>
      <c r="EO133" s="110" t="str">
        <f t="shared" si="234"/>
        <v/>
      </c>
      <c r="EQ133" s="108" t="str">
        <f t="shared" si="128"/>
        <v/>
      </c>
      <c r="ER133" s="109" t="str">
        <f t="shared" si="129"/>
        <v/>
      </c>
      <c r="ES133" s="109" t="str">
        <f t="shared" si="51"/>
        <v/>
      </c>
      <c r="ET133" s="110" t="str">
        <f t="shared" si="235"/>
        <v/>
      </c>
      <c r="EV133" s="108" t="str">
        <f t="shared" si="52"/>
        <v/>
      </c>
      <c r="EW133" s="109" t="str">
        <f t="shared" si="130"/>
        <v/>
      </c>
      <c r="EX133" s="109" t="str">
        <f t="shared" si="53"/>
        <v/>
      </c>
      <c r="EY133" s="110" t="str">
        <f t="shared" si="236"/>
        <v/>
      </c>
      <c r="FA133" s="108" t="str">
        <f t="shared" si="132"/>
        <v/>
      </c>
      <c r="FB133" s="109" t="str">
        <f t="shared" si="133"/>
        <v/>
      </c>
      <c r="FC133" s="109" t="str">
        <f t="shared" si="54"/>
        <v/>
      </c>
      <c r="FD133" s="110" t="str">
        <f t="shared" si="237"/>
        <v/>
      </c>
      <c r="FF133" s="108" t="str">
        <f t="shared" si="55"/>
        <v/>
      </c>
      <c r="FG133" s="109" t="str">
        <f t="shared" si="134"/>
        <v/>
      </c>
      <c r="FH133" s="109" t="str">
        <f t="shared" si="56"/>
        <v/>
      </c>
      <c r="FI133" s="110" t="str">
        <f t="shared" si="238"/>
        <v/>
      </c>
      <c r="FK133" s="108" t="str">
        <f t="shared" si="136"/>
        <v/>
      </c>
      <c r="FL133" s="109" t="str">
        <f t="shared" si="137"/>
        <v/>
      </c>
      <c r="FM133" s="109" t="str">
        <f t="shared" si="57"/>
        <v/>
      </c>
      <c r="FN133" s="110" t="str">
        <f t="shared" si="239"/>
        <v/>
      </c>
      <c r="FP133" s="108" t="str">
        <f t="shared" si="58"/>
        <v/>
      </c>
      <c r="FQ133" s="109" t="str">
        <f t="shared" si="138"/>
        <v/>
      </c>
      <c r="FR133" s="109" t="str">
        <f t="shared" si="59"/>
        <v/>
      </c>
      <c r="FS133" s="110" t="str">
        <f t="shared" si="240"/>
        <v/>
      </c>
      <c r="FU133" s="108" t="str">
        <f t="shared" si="140"/>
        <v/>
      </c>
      <c r="FV133" s="109" t="str">
        <f t="shared" si="141"/>
        <v/>
      </c>
      <c r="FW133" s="109" t="str">
        <f t="shared" si="60"/>
        <v/>
      </c>
      <c r="FX133" s="110" t="str">
        <f t="shared" si="241"/>
        <v/>
      </c>
      <c r="FZ133" s="108" t="str">
        <f t="shared" si="61"/>
        <v/>
      </c>
      <c r="GA133" s="109" t="str">
        <f t="shared" si="142"/>
        <v/>
      </c>
      <c r="GB133" s="109" t="str">
        <f t="shared" si="62"/>
        <v/>
      </c>
      <c r="GC133" s="110" t="str">
        <f t="shared" si="242"/>
        <v/>
      </c>
      <c r="GE133" s="108" t="str">
        <f t="shared" si="144"/>
        <v/>
      </c>
      <c r="GF133" s="109" t="str">
        <f t="shared" si="145"/>
        <v/>
      </c>
      <c r="GG133" s="109" t="str">
        <f t="shared" si="146"/>
        <v/>
      </c>
      <c r="GH133" s="110" t="str">
        <f t="shared" si="243"/>
        <v/>
      </c>
      <c r="GL133" s="108" t="str">
        <f t="shared" si="63"/>
        <v/>
      </c>
      <c r="GM133" s="109" t="str">
        <f t="shared" si="64"/>
        <v/>
      </c>
      <c r="GN133" s="109" t="str">
        <f t="shared" si="65"/>
        <v/>
      </c>
      <c r="GO133" s="110" t="str">
        <f t="shared" si="66"/>
        <v/>
      </c>
      <c r="GP133" s="51"/>
      <c r="GQ133" s="108" t="str">
        <f t="shared" si="67"/>
        <v/>
      </c>
      <c r="GR133" s="109" t="str">
        <f t="shared" si="147"/>
        <v/>
      </c>
      <c r="GS133" s="109" t="str">
        <f t="shared" si="68"/>
        <v/>
      </c>
      <c r="GT133" s="110" t="str">
        <f t="shared" si="69"/>
        <v/>
      </c>
      <c r="GU133" s="51"/>
      <c r="GV133" s="108" t="str">
        <f t="shared" si="148"/>
        <v/>
      </c>
      <c r="GW133" s="109" t="str">
        <f t="shared" si="149"/>
        <v/>
      </c>
      <c r="GX133" s="109" t="str">
        <f t="shared" si="70"/>
        <v/>
      </c>
      <c r="GY133" s="110" t="str">
        <f t="shared" si="150"/>
        <v/>
      </c>
      <c r="GZ133" s="51"/>
      <c r="HA133" s="108" t="str">
        <f t="shared" si="71"/>
        <v/>
      </c>
      <c r="HB133" s="109" t="str">
        <f t="shared" si="151"/>
        <v/>
      </c>
      <c r="HC133" s="109" t="str">
        <f t="shared" si="72"/>
        <v/>
      </c>
      <c r="HD133" s="110" t="str">
        <f t="shared" si="193"/>
        <v/>
      </c>
      <c r="HE133" s="51"/>
      <c r="HF133" s="108" t="str">
        <f t="shared" si="152"/>
        <v/>
      </c>
      <c r="HG133" s="109" t="str">
        <f t="shared" si="153"/>
        <v/>
      </c>
      <c r="HH133" s="109" t="str">
        <f t="shared" si="73"/>
        <v/>
      </c>
      <c r="HI133" s="110" t="str">
        <f t="shared" si="154"/>
        <v/>
      </c>
      <c r="HJ133" s="51"/>
      <c r="HK133" s="108" t="str">
        <f t="shared" si="74"/>
        <v/>
      </c>
      <c r="HL133" s="109" t="str">
        <f t="shared" si="155"/>
        <v/>
      </c>
      <c r="HM133" s="109" t="str">
        <f t="shared" si="75"/>
        <v/>
      </c>
      <c r="HN133" s="110" t="str">
        <f t="shared" si="194"/>
        <v/>
      </c>
      <c r="HO133" s="51"/>
      <c r="HP133" s="108" t="str">
        <f t="shared" si="156"/>
        <v/>
      </c>
      <c r="HQ133" s="109" t="str">
        <f t="shared" si="157"/>
        <v/>
      </c>
      <c r="HR133" s="109" t="str">
        <f t="shared" si="76"/>
        <v/>
      </c>
      <c r="HS133" s="110" t="str">
        <f t="shared" si="158"/>
        <v/>
      </c>
      <c r="HT133" s="51"/>
      <c r="HU133" s="108" t="str">
        <f t="shared" si="77"/>
        <v/>
      </c>
      <c r="HV133" s="109" t="str">
        <f t="shared" si="159"/>
        <v/>
      </c>
      <c r="HW133" s="109" t="str">
        <f t="shared" si="78"/>
        <v/>
      </c>
      <c r="HX133" s="110" t="str">
        <f t="shared" si="195"/>
        <v/>
      </c>
      <c r="HY133" s="51"/>
      <c r="HZ133" s="108" t="str">
        <f t="shared" si="160"/>
        <v/>
      </c>
      <c r="IA133" s="109" t="str">
        <f t="shared" si="161"/>
        <v/>
      </c>
      <c r="IB133" s="109" t="str">
        <f t="shared" si="79"/>
        <v/>
      </c>
      <c r="IC133" s="110" t="str">
        <f t="shared" si="162"/>
        <v/>
      </c>
      <c r="ID133" s="51"/>
      <c r="IE133" s="108" t="str">
        <f t="shared" si="80"/>
        <v/>
      </c>
      <c r="IF133" s="109" t="str">
        <f t="shared" si="163"/>
        <v/>
      </c>
      <c r="IG133" s="109" t="str">
        <f t="shared" si="81"/>
        <v/>
      </c>
      <c r="IH133" s="110" t="str">
        <f t="shared" si="196"/>
        <v/>
      </c>
      <c r="II133" s="51"/>
      <c r="IJ133" s="108" t="str">
        <f t="shared" si="164"/>
        <v/>
      </c>
      <c r="IK133" s="109" t="str">
        <f t="shared" si="165"/>
        <v/>
      </c>
      <c r="IL133" s="109" t="str">
        <f t="shared" si="82"/>
        <v/>
      </c>
      <c r="IM133" s="110" t="str">
        <f t="shared" si="166"/>
        <v/>
      </c>
      <c r="IN133" s="51"/>
      <c r="IO133" s="108" t="str">
        <f t="shared" si="83"/>
        <v/>
      </c>
      <c r="IP133" s="109" t="str">
        <f t="shared" si="167"/>
        <v/>
      </c>
      <c r="IQ133" s="109" t="str">
        <f t="shared" si="84"/>
        <v/>
      </c>
      <c r="IR133" s="110" t="str">
        <f t="shared" si="197"/>
        <v/>
      </c>
      <c r="IS133" s="51"/>
      <c r="IT133" s="108" t="str">
        <f t="shared" si="168"/>
        <v/>
      </c>
      <c r="IU133" s="109" t="str">
        <f t="shared" si="169"/>
        <v/>
      </c>
      <c r="IV133" s="109" t="str">
        <f t="shared" si="85"/>
        <v/>
      </c>
      <c r="IW133" s="110" t="str">
        <f t="shared" si="170"/>
        <v/>
      </c>
      <c r="IX133" s="51"/>
      <c r="IY133" s="108" t="str">
        <f t="shared" si="86"/>
        <v/>
      </c>
      <c r="IZ133" s="109" t="str">
        <f t="shared" si="171"/>
        <v/>
      </c>
      <c r="JA133" s="109" t="str">
        <f t="shared" si="87"/>
        <v/>
      </c>
      <c r="JB133" s="110" t="str">
        <f t="shared" si="198"/>
        <v/>
      </c>
      <c r="JC133" s="51"/>
      <c r="JD133" s="108" t="str">
        <f t="shared" si="172"/>
        <v/>
      </c>
      <c r="JE133" s="109" t="str">
        <f t="shared" si="173"/>
        <v/>
      </c>
      <c r="JF133" s="109" t="str">
        <f t="shared" si="88"/>
        <v/>
      </c>
      <c r="JG133" s="110" t="str">
        <f t="shared" si="174"/>
        <v/>
      </c>
      <c r="JH133" s="51"/>
      <c r="JI133" s="108" t="str">
        <f t="shared" si="89"/>
        <v/>
      </c>
      <c r="JJ133" s="109" t="str">
        <f t="shared" si="175"/>
        <v/>
      </c>
      <c r="JK133" s="109" t="str">
        <f t="shared" si="90"/>
        <v/>
      </c>
      <c r="JL133" s="110" t="str">
        <f t="shared" si="199"/>
        <v/>
      </c>
      <c r="JM133" s="51"/>
      <c r="JN133" s="108" t="str">
        <f t="shared" si="176"/>
        <v/>
      </c>
      <c r="JO133" s="109" t="str">
        <f t="shared" si="177"/>
        <v/>
      </c>
      <c r="JP133" s="109" t="str">
        <f t="shared" si="91"/>
        <v/>
      </c>
      <c r="JQ133" s="110" t="str">
        <f t="shared" si="178"/>
        <v/>
      </c>
      <c r="JR133" s="51"/>
      <c r="JS133" s="108" t="str">
        <f t="shared" si="92"/>
        <v/>
      </c>
      <c r="JT133" s="109" t="str">
        <f t="shared" si="179"/>
        <v/>
      </c>
      <c r="JU133" s="109" t="str">
        <f t="shared" si="93"/>
        <v/>
      </c>
      <c r="JV133" s="110" t="str">
        <f t="shared" si="200"/>
        <v/>
      </c>
      <c r="JW133" s="51"/>
      <c r="JX133" s="108" t="str">
        <f t="shared" si="180"/>
        <v/>
      </c>
      <c r="JY133" s="109" t="str">
        <f t="shared" si="181"/>
        <v/>
      </c>
      <c r="JZ133" s="109" t="str">
        <f t="shared" si="94"/>
        <v/>
      </c>
      <c r="KA133" s="110" t="str">
        <f t="shared" si="95"/>
        <v/>
      </c>
    </row>
    <row r="134" spans="1:287" ht="12" customHeight="1">
      <c r="A134" s="105">
        <f t="array" ref="A134">MAX(IF($J$80:J133&gt;0,$C$80:C133,0))</f>
        <v>43536</v>
      </c>
      <c r="B134" s="81" t="str">
        <f t="shared" si="4"/>
        <v/>
      </c>
      <c r="C134" s="82">
        <f t="shared" si="182"/>
        <v>0</v>
      </c>
      <c r="D134" s="83" t="str">
        <f t="shared" si="5"/>
        <v/>
      </c>
      <c r="E134" s="83" t="str">
        <f t="shared" si="96"/>
        <v/>
      </c>
      <c r="F134" s="83" t="str">
        <f t="shared" si="6"/>
        <v/>
      </c>
      <c r="G134" s="83" t="str">
        <f t="shared" si="7"/>
        <v/>
      </c>
      <c r="H134" s="83" t="str">
        <f t="shared" si="8"/>
        <v/>
      </c>
      <c r="I134" s="105">
        <f t="array" ref="I134">MAX(IF($R$80:R133&gt;0,$L$80:L133,0))</f>
        <v>0</v>
      </c>
      <c r="J134" s="106"/>
      <c r="K134" s="2" t="str">
        <f t="shared" si="9"/>
        <v/>
      </c>
      <c r="L134" s="82">
        <f t="shared" si="183"/>
        <v>0</v>
      </c>
      <c r="M134" s="83" t="str">
        <f t="shared" si="97"/>
        <v/>
      </c>
      <c r="N134" s="83" t="str">
        <f t="shared" si="10"/>
        <v/>
      </c>
      <c r="O134" s="83" t="str">
        <f t="shared" si="11"/>
        <v/>
      </c>
      <c r="P134" s="83" t="str">
        <f t="shared" si="12"/>
        <v/>
      </c>
      <c r="Q134" s="83" t="str">
        <f t="shared" si="13"/>
        <v/>
      </c>
      <c r="R134" s="106"/>
      <c r="S134" s="1"/>
      <c r="U134" s="85" t="e">
        <f t="shared" si="0"/>
        <v>#NUM!</v>
      </c>
      <c r="V134" s="86" t="e">
        <f t="shared" si="98"/>
        <v>#NUM!</v>
      </c>
      <c r="W134" s="87" t="e">
        <f t="shared" si="14"/>
        <v>#NUM!</v>
      </c>
      <c r="X134" s="87" t="e">
        <f t="shared" si="15"/>
        <v>#NUM!</v>
      </c>
      <c r="Y134" s="87" t="e">
        <f t="shared" si="16"/>
        <v>#NUM!</v>
      </c>
      <c r="Z134" s="88" t="e">
        <f t="shared" si="1"/>
        <v>#NUM!</v>
      </c>
      <c r="AA134" t="s">
        <v>282</v>
      </c>
      <c r="AB134" s="89">
        <f t="shared" si="99"/>
        <v>0</v>
      </c>
      <c r="AC134" s="87">
        <f t="shared" si="100"/>
        <v>0</v>
      </c>
      <c r="AD134" s="87" t="str">
        <f t="shared" si="17"/>
        <v/>
      </c>
      <c r="AE134" s="87" t="str">
        <f t="shared" si="18"/>
        <v/>
      </c>
      <c r="AF134" s="86">
        <f t="shared" si="101"/>
        <v>0</v>
      </c>
      <c r="AG134" s="87">
        <f t="shared" si="2"/>
        <v>0</v>
      </c>
      <c r="AH134" s="87">
        <f t="shared" si="102"/>
        <v>0</v>
      </c>
      <c r="AI134" s="90"/>
      <c r="AJ134" s="87" t="e">
        <f t="shared" si="19"/>
        <v>#NUM!</v>
      </c>
      <c r="AK134" s="87" t="e">
        <f t="shared" si="103"/>
        <v>#NUM!</v>
      </c>
      <c r="AL134" s="87" t="e">
        <f t="shared" si="104"/>
        <v>#NUM!</v>
      </c>
      <c r="AM134" s="87" t="e">
        <f t="shared" si="105"/>
        <v>#NUM!</v>
      </c>
      <c r="AN134" s="86">
        <f t="shared" si="20"/>
        <v>0</v>
      </c>
      <c r="AO134" s="87">
        <f t="shared" si="21"/>
        <v>0</v>
      </c>
      <c r="AP134" s="88">
        <f t="shared" si="22"/>
        <v>0</v>
      </c>
      <c r="AR134" s="89">
        <f t="shared" si="23"/>
        <v>0</v>
      </c>
      <c r="AS134" s="87">
        <f t="shared" si="24"/>
        <v>0</v>
      </c>
      <c r="AT134" s="87" t="str">
        <f t="shared" si="25"/>
        <v/>
      </c>
      <c r="AU134" s="87" t="str">
        <f t="shared" si="26"/>
        <v/>
      </c>
      <c r="AV134" s="86">
        <f t="shared" si="106"/>
        <v>0</v>
      </c>
      <c r="AW134" s="87">
        <f t="shared" si="107"/>
        <v>0</v>
      </c>
      <c r="AX134" s="87">
        <f t="shared" si="108"/>
        <v>0</v>
      </c>
      <c r="AY134" s="93"/>
      <c r="AZ134" s="87">
        <f t="shared" si="201"/>
        <v>0</v>
      </c>
      <c r="BA134" s="87">
        <f t="shared" si="109"/>
        <v>0</v>
      </c>
      <c r="BB134" s="87">
        <f t="shared" si="110"/>
        <v>0</v>
      </c>
      <c r="BC134" s="87">
        <f t="shared" si="184"/>
        <v>0</v>
      </c>
      <c r="BD134" s="86" t="e">
        <f t="shared" si="27"/>
        <v>#NUM!</v>
      </c>
      <c r="BE134" s="87" t="e">
        <f t="shared" si="3"/>
        <v>#NUM!</v>
      </c>
      <c r="BF134" s="88">
        <f t="shared" si="111"/>
        <v>0</v>
      </c>
      <c r="BH134" s="87" t="e">
        <f t="shared" si="28"/>
        <v>#NUM!</v>
      </c>
      <c r="BK134" s="95">
        <v>40675</v>
      </c>
      <c r="BL134" s="96">
        <v>55</v>
      </c>
      <c r="BT134" t="s">
        <v>183</v>
      </c>
      <c r="BU134" s="51"/>
      <c r="BV134" s="30"/>
      <c r="BY134" s="107"/>
      <c r="BZ134" s="107"/>
      <c r="CA134" s="107"/>
      <c r="CB134" s="107"/>
      <c r="CC134" s="107"/>
      <c r="CD134" s="107"/>
      <c r="CE134" s="107"/>
      <c r="CF134" s="107"/>
      <c r="CG134" s="107"/>
      <c r="CS134" s="108" t="str">
        <f t="shared" si="29"/>
        <v/>
      </c>
      <c r="CT134" s="109" t="str">
        <f t="shared" si="30"/>
        <v/>
      </c>
      <c r="CU134" s="109" t="str">
        <f t="shared" si="31"/>
        <v/>
      </c>
      <c r="CV134" s="110" t="str">
        <f t="shared" si="225"/>
        <v/>
      </c>
      <c r="CX134" s="108" t="str">
        <f t="shared" si="33"/>
        <v/>
      </c>
      <c r="CY134" s="109" t="str">
        <f t="shared" si="113"/>
        <v/>
      </c>
      <c r="CZ134" s="109" t="str">
        <f t="shared" si="34"/>
        <v/>
      </c>
      <c r="DA134" s="110" t="str">
        <f t="shared" si="226"/>
        <v/>
      </c>
      <c r="DC134" s="108" t="str">
        <f t="shared" si="114"/>
        <v/>
      </c>
      <c r="DD134" s="109" t="str">
        <f t="shared" si="115"/>
        <v/>
      </c>
      <c r="DE134" s="109" t="str">
        <f t="shared" si="36"/>
        <v/>
      </c>
      <c r="DF134" s="110" t="str">
        <f t="shared" si="227"/>
        <v/>
      </c>
      <c r="DH134" s="108" t="str">
        <f t="shared" si="38"/>
        <v/>
      </c>
      <c r="DI134" s="109" t="str">
        <f t="shared" si="39"/>
        <v/>
      </c>
      <c r="DJ134" s="109" t="str">
        <f t="shared" si="40"/>
        <v/>
      </c>
      <c r="DK134" s="110" t="str">
        <f t="shared" si="228"/>
        <v/>
      </c>
      <c r="DM134" s="108" t="str">
        <f t="shared" si="116"/>
        <v/>
      </c>
      <c r="DN134" s="109" t="str">
        <f t="shared" si="117"/>
        <v/>
      </c>
      <c r="DO134" s="109" t="str">
        <f t="shared" si="42"/>
        <v/>
      </c>
      <c r="DP134" s="110" t="str">
        <f t="shared" si="229"/>
        <v/>
      </c>
      <c r="DR134" s="108" t="str">
        <f t="shared" si="43"/>
        <v/>
      </c>
      <c r="DS134" s="109" t="str">
        <f t="shared" si="118"/>
        <v/>
      </c>
      <c r="DT134" s="109" t="str">
        <f t="shared" si="44"/>
        <v/>
      </c>
      <c r="DU134" s="110" t="str">
        <f t="shared" si="230"/>
        <v/>
      </c>
      <c r="DW134" s="108" t="str">
        <f t="shared" si="120"/>
        <v/>
      </c>
      <c r="DX134" s="109" t="str">
        <f t="shared" si="121"/>
        <v/>
      </c>
      <c r="DY134" s="109" t="str">
        <f t="shared" si="45"/>
        <v/>
      </c>
      <c r="DZ134" s="110" t="str">
        <f t="shared" si="231"/>
        <v/>
      </c>
      <c r="EB134" s="108" t="str">
        <f t="shared" si="46"/>
        <v/>
      </c>
      <c r="EC134" s="109" t="str">
        <f t="shared" si="122"/>
        <v/>
      </c>
      <c r="ED134" s="109" t="str">
        <f t="shared" si="47"/>
        <v/>
      </c>
      <c r="EE134" s="110" t="str">
        <f t="shared" si="232"/>
        <v/>
      </c>
      <c r="EG134" s="108" t="str">
        <f t="shared" si="124"/>
        <v/>
      </c>
      <c r="EH134" s="109" t="str">
        <f t="shared" si="125"/>
        <v/>
      </c>
      <c r="EI134" s="109" t="str">
        <f t="shared" si="48"/>
        <v/>
      </c>
      <c r="EJ134" s="110" t="str">
        <f t="shared" si="233"/>
        <v/>
      </c>
      <c r="EL134" s="108" t="str">
        <f t="shared" si="49"/>
        <v/>
      </c>
      <c r="EM134" s="109" t="str">
        <f t="shared" si="126"/>
        <v/>
      </c>
      <c r="EN134" s="109" t="str">
        <f t="shared" si="50"/>
        <v/>
      </c>
      <c r="EO134" s="110" t="str">
        <f t="shared" si="234"/>
        <v/>
      </c>
      <c r="EQ134" s="108" t="str">
        <f t="shared" si="128"/>
        <v/>
      </c>
      <c r="ER134" s="109" t="str">
        <f t="shared" si="129"/>
        <v/>
      </c>
      <c r="ES134" s="109" t="str">
        <f t="shared" si="51"/>
        <v/>
      </c>
      <c r="ET134" s="110" t="str">
        <f t="shared" si="235"/>
        <v/>
      </c>
      <c r="EV134" s="108" t="str">
        <f t="shared" si="52"/>
        <v/>
      </c>
      <c r="EW134" s="109" t="str">
        <f t="shared" si="130"/>
        <v/>
      </c>
      <c r="EX134" s="109" t="str">
        <f t="shared" si="53"/>
        <v/>
      </c>
      <c r="EY134" s="110" t="str">
        <f t="shared" si="236"/>
        <v/>
      </c>
      <c r="FA134" s="108" t="str">
        <f t="shared" si="132"/>
        <v/>
      </c>
      <c r="FB134" s="109" t="str">
        <f t="shared" si="133"/>
        <v/>
      </c>
      <c r="FC134" s="109" t="str">
        <f t="shared" si="54"/>
        <v/>
      </c>
      <c r="FD134" s="110" t="str">
        <f t="shared" si="237"/>
        <v/>
      </c>
      <c r="FF134" s="108" t="str">
        <f t="shared" si="55"/>
        <v/>
      </c>
      <c r="FG134" s="109" t="str">
        <f t="shared" si="134"/>
        <v/>
      </c>
      <c r="FH134" s="109" t="str">
        <f t="shared" si="56"/>
        <v/>
      </c>
      <c r="FI134" s="110" t="str">
        <f t="shared" si="238"/>
        <v/>
      </c>
      <c r="FK134" s="108" t="str">
        <f t="shared" si="136"/>
        <v/>
      </c>
      <c r="FL134" s="109" t="str">
        <f t="shared" si="137"/>
        <v/>
      </c>
      <c r="FM134" s="109" t="str">
        <f t="shared" si="57"/>
        <v/>
      </c>
      <c r="FN134" s="110" t="str">
        <f t="shared" si="239"/>
        <v/>
      </c>
      <c r="FP134" s="108" t="str">
        <f t="shared" si="58"/>
        <v/>
      </c>
      <c r="FQ134" s="109" t="str">
        <f t="shared" si="138"/>
        <v/>
      </c>
      <c r="FR134" s="109" t="str">
        <f t="shared" si="59"/>
        <v/>
      </c>
      <c r="FS134" s="110" t="str">
        <f t="shared" si="240"/>
        <v/>
      </c>
      <c r="FU134" s="108" t="str">
        <f t="shared" si="140"/>
        <v/>
      </c>
      <c r="FV134" s="109" t="str">
        <f t="shared" si="141"/>
        <v/>
      </c>
      <c r="FW134" s="109" t="str">
        <f t="shared" si="60"/>
        <v/>
      </c>
      <c r="FX134" s="110" t="str">
        <f t="shared" si="241"/>
        <v/>
      </c>
      <c r="FZ134" s="108" t="str">
        <f t="shared" si="61"/>
        <v/>
      </c>
      <c r="GA134" s="109" t="str">
        <f t="shared" si="142"/>
        <v/>
      </c>
      <c r="GB134" s="109" t="str">
        <f t="shared" si="62"/>
        <v/>
      </c>
      <c r="GC134" s="110" t="str">
        <f t="shared" si="242"/>
        <v/>
      </c>
      <c r="GE134" s="108" t="str">
        <f t="shared" si="144"/>
        <v/>
      </c>
      <c r="GF134" s="109" t="str">
        <f t="shared" si="145"/>
        <v/>
      </c>
      <c r="GG134" s="109" t="str">
        <f t="shared" si="146"/>
        <v/>
      </c>
      <c r="GH134" s="110" t="str">
        <f t="shared" si="243"/>
        <v/>
      </c>
      <c r="GL134" s="108" t="str">
        <f t="shared" si="63"/>
        <v/>
      </c>
      <c r="GM134" s="109" t="str">
        <f t="shared" si="64"/>
        <v/>
      </c>
      <c r="GN134" s="109" t="str">
        <f t="shared" si="65"/>
        <v/>
      </c>
      <c r="GO134" s="110" t="str">
        <f t="shared" si="66"/>
        <v/>
      </c>
      <c r="GP134" s="51"/>
      <c r="GQ134" s="108" t="str">
        <f t="shared" si="67"/>
        <v/>
      </c>
      <c r="GR134" s="109" t="str">
        <f t="shared" si="147"/>
        <v/>
      </c>
      <c r="GS134" s="109" t="str">
        <f t="shared" si="68"/>
        <v/>
      </c>
      <c r="GT134" s="110" t="str">
        <f t="shared" si="69"/>
        <v/>
      </c>
      <c r="GU134" s="51"/>
      <c r="GV134" s="108" t="str">
        <f t="shared" si="148"/>
        <v/>
      </c>
      <c r="GW134" s="109" t="str">
        <f t="shared" si="149"/>
        <v/>
      </c>
      <c r="GX134" s="109" t="str">
        <f t="shared" si="70"/>
        <v/>
      </c>
      <c r="GY134" s="110" t="str">
        <f t="shared" si="150"/>
        <v/>
      </c>
      <c r="GZ134" s="51"/>
      <c r="HA134" s="108" t="str">
        <f t="shared" si="71"/>
        <v/>
      </c>
      <c r="HB134" s="109" t="str">
        <f t="shared" si="151"/>
        <v/>
      </c>
      <c r="HC134" s="109" t="str">
        <f t="shared" si="72"/>
        <v/>
      </c>
      <c r="HD134" s="110" t="str">
        <f t="shared" si="193"/>
        <v/>
      </c>
      <c r="HE134" s="51"/>
      <c r="HF134" s="108" t="str">
        <f t="shared" si="152"/>
        <v/>
      </c>
      <c r="HG134" s="109" t="str">
        <f t="shared" si="153"/>
        <v/>
      </c>
      <c r="HH134" s="109" t="str">
        <f t="shared" si="73"/>
        <v/>
      </c>
      <c r="HI134" s="110" t="str">
        <f t="shared" si="154"/>
        <v/>
      </c>
      <c r="HJ134" s="51"/>
      <c r="HK134" s="108" t="str">
        <f t="shared" si="74"/>
        <v/>
      </c>
      <c r="HL134" s="109" t="str">
        <f t="shared" si="155"/>
        <v/>
      </c>
      <c r="HM134" s="109" t="str">
        <f t="shared" si="75"/>
        <v/>
      </c>
      <c r="HN134" s="110" t="str">
        <f t="shared" si="194"/>
        <v/>
      </c>
      <c r="HO134" s="51"/>
      <c r="HP134" s="108" t="str">
        <f t="shared" si="156"/>
        <v/>
      </c>
      <c r="HQ134" s="109" t="str">
        <f t="shared" si="157"/>
        <v/>
      </c>
      <c r="HR134" s="109" t="str">
        <f t="shared" si="76"/>
        <v/>
      </c>
      <c r="HS134" s="110" t="str">
        <f t="shared" si="158"/>
        <v/>
      </c>
      <c r="HT134" s="51"/>
      <c r="HU134" s="108" t="str">
        <f t="shared" si="77"/>
        <v/>
      </c>
      <c r="HV134" s="109" t="str">
        <f t="shared" si="159"/>
        <v/>
      </c>
      <c r="HW134" s="109" t="str">
        <f t="shared" si="78"/>
        <v/>
      </c>
      <c r="HX134" s="110" t="str">
        <f t="shared" si="195"/>
        <v/>
      </c>
      <c r="HY134" s="51"/>
      <c r="HZ134" s="108" t="str">
        <f t="shared" si="160"/>
        <v/>
      </c>
      <c r="IA134" s="109" t="str">
        <f t="shared" si="161"/>
        <v/>
      </c>
      <c r="IB134" s="109" t="str">
        <f t="shared" si="79"/>
        <v/>
      </c>
      <c r="IC134" s="110" t="str">
        <f t="shared" si="162"/>
        <v/>
      </c>
      <c r="ID134" s="51"/>
      <c r="IE134" s="108" t="str">
        <f t="shared" si="80"/>
        <v/>
      </c>
      <c r="IF134" s="109" t="str">
        <f t="shared" si="163"/>
        <v/>
      </c>
      <c r="IG134" s="109" t="str">
        <f t="shared" si="81"/>
        <v/>
      </c>
      <c r="IH134" s="110" t="str">
        <f t="shared" si="196"/>
        <v/>
      </c>
      <c r="II134" s="51"/>
      <c r="IJ134" s="108" t="str">
        <f t="shared" si="164"/>
        <v/>
      </c>
      <c r="IK134" s="109" t="str">
        <f t="shared" si="165"/>
        <v/>
      </c>
      <c r="IL134" s="109" t="str">
        <f t="shared" si="82"/>
        <v/>
      </c>
      <c r="IM134" s="110" t="str">
        <f t="shared" si="166"/>
        <v/>
      </c>
      <c r="IN134" s="51"/>
      <c r="IO134" s="108" t="str">
        <f t="shared" si="83"/>
        <v/>
      </c>
      <c r="IP134" s="109" t="str">
        <f t="shared" si="167"/>
        <v/>
      </c>
      <c r="IQ134" s="109" t="str">
        <f t="shared" si="84"/>
        <v/>
      </c>
      <c r="IR134" s="110" t="str">
        <f t="shared" si="197"/>
        <v/>
      </c>
      <c r="IS134" s="51"/>
      <c r="IT134" s="108" t="str">
        <f t="shared" si="168"/>
        <v/>
      </c>
      <c r="IU134" s="109" t="str">
        <f t="shared" si="169"/>
        <v/>
      </c>
      <c r="IV134" s="109" t="str">
        <f t="shared" si="85"/>
        <v/>
      </c>
      <c r="IW134" s="110" t="str">
        <f t="shared" si="170"/>
        <v/>
      </c>
      <c r="IX134" s="51"/>
      <c r="IY134" s="108" t="str">
        <f t="shared" si="86"/>
        <v/>
      </c>
      <c r="IZ134" s="109" t="str">
        <f t="shared" si="171"/>
        <v/>
      </c>
      <c r="JA134" s="109" t="str">
        <f t="shared" si="87"/>
        <v/>
      </c>
      <c r="JB134" s="110" t="str">
        <f t="shared" si="198"/>
        <v/>
      </c>
      <c r="JC134" s="51"/>
      <c r="JD134" s="108" t="str">
        <f t="shared" si="172"/>
        <v/>
      </c>
      <c r="JE134" s="109" t="str">
        <f t="shared" si="173"/>
        <v/>
      </c>
      <c r="JF134" s="109" t="str">
        <f t="shared" si="88"/>
        <v/>
      </c>
      <c r="JG134" s="110" t="str">
        <f t="shared" si="174"/>
        <v/>
      </c>
      <c r="JH134" s="51"/>
      <c r="JI134" s="108" t="str">
        <f t="shared" si="89"/>
        <v/>
      </c>
      <c r="JJ134" s="109" t="str">
        <f t="shared" si="175"/>
        <v/>
      </c>
      <c r="JK134" s="109" t="str">
        <f t="shared" si="90"/>
        <v/>
      </c>
      <c r="JL134" s="110" t="str">
        <f t="shared" si="199"/>
        <v/>
      </c>
      <c r="JM134" s="51"/>
      <c r="JN134" s="108" t="str">
        <f t="shared" si="176"/>
        <v/>
      </c>
      <c r="JO134" s="109" t="str">
        <f t="shared" si="177"/>
        <v/>
      </c>
      <c r="JP134" s="109" t="str">
        <f t="shared" si="91"/>
        <v/>
      </c>
      <c r="JQ134" s="110" t="str">
        <f t="shared" si="178"/>
        <v/>
      </c>
      <c r="JR134" s="51"/>
      <c r="JS134" s="108" t="str">
        <f t="shared" si="92"/>
        <v/>
      </c>
      <c r="JT134" s="109" t="str">
        <f t="shared" si="179"/>
        <v/>
      </c>
      <c r="JU134" s="109" t="str">
        <f t="shared" si="93"/>
        <v/>
      </c>
      <c r="JV134" s="110" t="str">
        <f t="shared" si="200"/>
        <v/>
      </c>
      <c r="JW134" s="51"/>
      <c r="JX134" s="108" t="str">
        <f t="shared" si="180"/>
        <v/>
      </c>
      <c r="JY134" s="109" t="str">
        <f t="shared" si="181"/>
        <v/>
      </c>
      <c r="JZ134" s="109" t="str">
        <f t="shared" si="94"/>
        <v/>
      </c>
      <c r="KA134" s="110" t="str">
        <f t="shared" si="95"/>
        <v/>
      </c>
    </row>
    <row r="135" spans="1:287" ht="12" customHeight="1">
      <c r="A135" s="105">
        <f t="array" ref="A135">MAX(IF($J$80:J134&gt;0,$C$80:C134,0))</f>
        <v>43536</v>
      </c>
      <c r="B135" s="81" t="str">
        <f t="shared" si="4"/>
        <v/>
      </c>
      <c r="C135" s="82">
        <f t="shared" si="182"/>
        <v>0</v>
      </c>
      <c r="D135" s="83" t="str">
        <f t="shared" si="5"/>
        <v/>
      </c>
      <c r="E135" s="83" t="str">
        <f t="shared" si="96"/>
        <v/>
      </c>
      <c r="F135" s="83" t="str">
        <f t="shared" si="6"/>
        <v/>
      </c>
      <c r="G135" s="83" t="str">
        <f t="shared" si="7"/>
        <v/>
      </c>
      <c r="H135" s="83" t="str">
        <f t="shared" si="8"/>
        <v/>
      </c>
      <c r="I135" s="105">
        <f t="array" ref="I135">MAX(IF($R$80:R134&gt;0,$L$80:L134,0))</f>
        <v>0</v>
      </c>
      <c r="J135" s="106"/>
      <c r="K135" s="2" t="str">
        <f t="shared" si="9"/>
        <v/>
      </c>
      <c r="L135" s="82">
        <f t="shared" si="183"/>
        <v>0</v>
      </c>
      <c r="M135" s="83" t="str">
        <f t="shared" si="97"/>
        <v/>
      </c>
      <c r="N135" s="83" t="str">
        <f t="shared" si="10"/>
        <v/>
      </c>
      <c r="O135" s="83" t="str">
        <f t="shared" si="11"/>
        <v/>
      </c>
      <c r="P135" s="83" t="str">
        <f t="shared" si="12"/>
        <v/>
      </c>
      <c r="Q135" s="83" t="str">
        <f t="shared" si="13"/>
        <v/>
      </c>
      <c r="R135" s="106"/>
      <c r="S135" s="1"/>
      <c r="U135" s="85" t="e">
        <f t="shared" si="0"/>
        <v>#NUM!</v>
      </c>
      <c r="V135" s="86" t="e">
        <f t="shared" si="98"/>
        <v>#NUM!</v>
      </c>
      <c r="W135" s="87" t="e">
        <f t="shared" si="14"/>
        <v>#NUM!</v>
      </c>
      <c r="X135" s="87" t="e">
        <f t="shared" si="15"/>
        <v>#NUM!</v>
      </c>
      <c r="Y135" s="87" t="e">
        <f t="shared" si="16"/>
        <v>#NUM!</v>
      </c>
      <c r="Z135" s="88" t="e">
        <f t="shared" si="1"/>
        <v>#NUM!</v>
      </c>
      <c r="AA135" t="s">
        <v>282</v>
      </c>
      <c r="AB135" s="89">
        <f t="shared" si="99"/>
        <v>0</v>
      </c>
      <c r="AC135" s="87">
        <f t="shared" si="100"/>
        <v>0</v>
      </c>
      <c r="AD135" s="87" t="str">
        <f t="shared" si="17"/>
        <v/>
      </c>
      <c r="AE135" s="87" t="str">
        <f t="shared" si="18"/>
        <v/>
      </c>
      <c r="AF135" s="86">
        <f t="shared" si="101"/>
        <v>0</v>
      </c>
      <c r="AG135" s="87">
        <f t="shared" si="2"/>
        <v>0</v>
      </c>
      <c r="AH135" s="87">
        <f t="shared" si="102"/>
        <v>0</v>
      </c>
      <c r="AI135" s="90"/>
      <c r="AJ135" s="87" t="e">
        <f t="shared" si="19"/>
        <v>#NUM!</v>
      </c>
      <c r="AK135" s="87" t="e">
        <f t="shared" si="103"/>
        <v>#NUM!</v>
      </c>
      <c r="AL135" s="87" t="e">
        <f t="shared" si="104"/>
        <v>#NUM!</v>
      </c>
      <c r="AM135" s="87" t="e">
        <f t="shared" si="105"/>
        <v>#NUM!</v>
      </c>
      <c r="AN135" s="86">
        <f t="shared" si="20"/>
        <v>0</v>
      </c>
      <c r="AO135" s="87">
        <f t="shared" si="21"/>
        <v>0</v>
      </c>
      <c r="AP135" s="88">
        <f t="shared" si="22"/>
        <v>0</v>
      </c>
      <c r="AR135" s="89">
        <f t="shared" si="23"/>
        <v>0</v>
      </c>
      <c r="AS135" s="87">
        <f t="shared" si="24"/>
        <v>0</v>
      </c>
      <c r="AT135" s="87" t="str">
        <f t="shared" si="25"/>
        <v/>
      </c>
      <c r="AU135" s="87" t="str">
        <f t="shared" si="26"/>
        <v/>
      </c>
      <c r="AV135" s="86">
        <f t="shared" si="106"/>
        <v>0</v>
      </c>
      <c r="AW135" s="87">
        <f t="shared" si="107"/>
        <v>0</v>
      </c>
      <c r="AX135" s="87">
        <f t="shared" si="108"/>
        <v>0</v>
      </c>
      <c r="AY135" s="93"/>
      <c r="AZ135" s="87">
        <f t="shared" si="201"/>
        <v>0</v>
      </c>
      <c r="BA135" s="87">
        <f t="shared" si="109"/>
        <v>0</v>
      </c>
      <c r="BB135" s="87">
        <f t="shared" si="110"/>
        <v>0</v>
      </c>
      <c r="BC135" s="87">
        <f t="shared" si="184"/>
        <v>0</v>
      </c>
      <c r="BD135" s="86" t="e">
        <f t="shared" si="27"/>
        <v>#NUM!</v>
      </c>
      <c r="BE135" s="87" t="e">
        <f t="shared" si="3"/>
        <v>#NUM!</v>
      </c>
      <c r="BF135" s="88">
        <f t="shared" si="111"/>
        <v>0</v>
      </c>
      <c r="BH135" s="87" t="e">
        <f t="shared" si="28"/>
        <v>#NUM!</v>
      </c>
      <c r="BK135" s="95">
        <v>40689</v>
      </c>
      <c r="BL135" s="96">
        <v>56</v>
      </c>
      <c r="BT135">
        <v>0</v>
      </c>
      <c r="BU135" s="51">
        <v>100</v>
      </c>
      <c r="BV135" s="30" t="s">
        <v>497</v>
      </c>
      <c r="BY135" s="107"/>
      <c r="BZ135" s="107"/>
      <c r="CA135" s="107"/>
      <c r="CB135" s="107"/>
      <c r="CC135" s="107"/>
      <c r="CD135" s="107"/>
      <c r="CE135" s="107"/>
      <c r="CF135" s="30" t="s">
        <v>497</v>
      </c>
      <c r="CG135" s="30" t="s">
        <v>497</v>
      </c>
      <c r="CS135" s="108" t="str">
        <f t="shared" si="29"/>
        <v/>
      </c>
      <c r="CT135" s="109" t="str">
        <f t="shared" si="30"/>
        <v/>
      </c>
      <c r="CU135" s="109" t="str">
        <f t="shared" si="31"/>
        <v/>
      </c>
      <c r="CV135" s="110" t="str">
        <f t="shared" si="225"/>
        <v/>
      </c>
      <c r="CX135" s="108" t="str">
        <f t="shared" si="33"/>
        <v/>
      </c>
      <c r="CY135" s="109" t="str">
        <f t="shared" si="113"/>
        <v/>
      </c>
      <c r="CZ135" s="109" t="str">
        <f t="shared" si="34"/>
        <v/>
      </c>
      <c r="DA135" s="110" t="str">
        <f t="shared" si="226"/>
        <v/>
      </c>
      <c r="DC135" s="108" t="str">
        <f t="shared" si="114"/>
        <v/>
      </c>
      <c r="DD135" s="109" t="str">
        <f t="shared" si="115"/>
        <v/>
      </c>
      <c r="DE135" s="109" t="str">
        <f t="shared" si="36"/>
        <v/>
      </c>
      <c r="DF135" s="110" t="str">
        <f t="shared" si="227"/>
        <v/>
      </c>
      <c r="DH135" s="108" t="str">
        <f t="shared" si="38"/>
        <v/>
      </c>
      <c r="DI135" s="109" t="str">
        <f t="shared" si="39"/>
        <v/>
      </c>
      <c r="DJ135" s="109" t="str">
        <f t="shared" si="40"/>
        <v/>
      </c>
      <c r="DK135" s="110" t="str">
        <f t="shared" si="228"/>
        <v/>
      </c>
      <c r="DM135" s="108" t="str">
        <f t="shared" si="116"/>
        <v/>
      </c>
      <c r="DN135" s="109" t="str">
        <f t="shared" si="117"/>
        <v/>
      </c>
      <c r="DO135" s="109" t="str">
        <f t="shared" si="42"/>
        <v/>
      </c>
      <c r="DP135" s="110" t="str">
        <f t="shared" si="229"/>
        <v/>
      </c>
      <c r="DR135" s="108" t="str">
        <f t="shared" si="43"/>
        <v/>
      </c>
      <c r="DS135" s="109" t="str">
        <f t="shared" si="118"/>
        <v/>
      </c>
      <c r="DT135" s="109" t="str">
        <f t="shared" si="44"/>
        <v/>
      </c>
      <c r="DU135" s="110" t="str">
        <f t="shared" si="230"/>
        <v/>
      </c>
      <c r="DW135" s="108" t="str">
        <f t="shared" si="120"/>
        <v/>
      </c>
      <c r="DX135" s="109" t="str">
        <f t="shared" si="121"/>
        <v/>
      </c>
      <c r="DY135" s="109" t="str">
        <f t="shared" si="45"/>
        <v/>
      </c>
      <c r="DZ135" s="110" t="str">
        <f t="shared" si="231"/>
        <v/>
      </c>
      <c r="EB135" s="108" t="str">
        <f t="shared" si="46"/>
        <v/>
      </c>
      <c r="EC135" s="109" t="str">
        <f t="shared" si="122"/>
        <v/>
      </c>
      <c r="ED135" s="109" t="str">
        <f t="shared" si="47"/>
        <v/>
      </c>
      <c r="EE135" s="110" t="str">
        <f t="shared" si="232"/>
        <v/>
      </c>
      <c r="EG135" s="108" t="str">
        <f t="shared" si="124"/>
        <v/>
      </c>
      <c r="EH135" s="109" t="str">
        <f t="shared" si="125"/>
        <v/>
      </c>
      <c r="EI135" s="109" t="str">
        <f t="shared" si="48"/>
        <v/>
      </c>
      <c r="EJ135" s="110" t="str">
        <f t="shared" si="233"/>
        <v/>
      </c>
      <c r="EL135" s="108" t="str">
        <f t="shared" si="49"/>
        <v/>
      </c>
      <c r="EM135" s="109" t="str">
        <f t="shared" si="126"/>
        <v/>
      </c>
      <c r="EN135" s="109" t="str">
        <f t="shared" si="50"/>
        <v/>
      </c>
      <c r="EO135" s="110" t="str">
        <f t="shared" si="234"/>
        <v/>
      </c>
      <c r="EQ135" s="108" t="str">
        <f t="shared" si="128"/>
        <v/>
      </c>
      <c r="ER135" s="109" t="str">
        <f t="shared" si="129"/>
        <v/>
      </c>
      <c r="ES135" s="109" t="str">
        <f t="shared" si="51"/>
        <v/>
      </c>
      <c r="ET135" s="110" t="str">
        <f t="shared" si="235"/>
        <v/>
      </c>
      <c r="EV135" s="108" t="str">
        <f t="shared" si="52"/>
        <v/>
      </c>
      <c r="EW135" s="109" t="str">
        <f t="shared" si="130"/>
        <v/>
      </c>
      <c r="EX135" s="109" t="str">
        <f t="shared" si="53"/>
        <v/>
      </c>
      <c r="EY135" s="110" t="str">
        <f t="shared" si="236"/>
        <v/>
      </c>
      <c r="FA135" s="108" t="str">
        <f t="shared" si="132"/>
        <v/>
      </c>
      <c r="FB135" s="109" t="str">
        <f t="shared" si="133"/>
        <v/>
      </c>
      <c r="FC135" s="109" t="str">
        <f t="shared" si="54"/>
        <v/>
      </c>
      <c r="FD135" s="110" t="str">
        <f t="shared" si="237"/>
        <v/>
      </c>
      <c r="FF135" s="108" t="str">
        <f t="shared" si="55"/>
        <v/>
      </c>
      <c r="FG135" s="109" t="str">
        <f t="shared" si="134"/>
        <v/>
      </c>
      <c r="FH135" s="109" t="str">
        <f t="shared" si="56"/>
        <v/>
      </c>
      <c r="FI135" s="110" t="str">
        <f t="shared" si="238"/>
        <v/>
      </c>
      <c r="FK135" s="108" t="str">
        <f t="shared" si="136"/>
        <v/>
      </c>
      <c r="FL135" s="109" t="str">
        <f t="shared" si="137"/>
        <v/>
      </c>
      <c r="FM135" s="109" t="str">
        <f t="shared" si="57"/>
        <v/>
      </c>
      <c r="FN135" s="110" t="str">
        <f t="shared" si="239"/>
        <v/>
      </c>
      <c r="FP135" s="108" t="str">
        <f t="shared" si="58"/>
        <v/>
      </c>
      <c r="FQ135" s="109" t="str">
        <f t="shared" si="138"/>
        <v/>
      </c>
      <c r="FR135" s="109" t="str">
        <f t="shared" si="59"/>
        <v/>
      </c>
      <c r="FS135" s="110" t="str">
        <f t="shared" si="240"/>
        <v/>
      </c>
      <c r="FU135" s="108" t="str">
        <f t="shared" si="140"/>
        <v/>
      </c>
      <c r="FV135" s="109" t="str">
        <f t="shared" si="141"/>
        <v/>
      </c>
      <c r="FW135" s="109" t="str">
        <f t="shared" si="60"/>
        <v/>
      </c>
      <c r="FX135" s="110" t="str">
        <f t="shared" si="241"/>
        <v/>
      </c>
      <c r="FZ135" s="108" t="str">
        <f t="shared" si="61"/>
        <v/>
      </c>
      <c r="GA135" s="109" t="str">
        <f t="shared" si="142"/>
        <v/>
      </c>
      <c r="GB135" s="109" t="str">
        <f t="shared" si="62"/>
        <v/>
      </c>
      <c r="GC135" s="110" t="str">
        <f t="shared" si="242"/>
        <v/>
      </c>
      <c r="GE135" s="108" t="str">
        <f t="shared" si="144"/>
        <v/>
      </c>
      <c r="GF135" s="109" t="str">
        <f t="shared" si="145"/>
        <v/>
      </c>
      <c r="GG135" s="109" t="str">
        <f t="shared" si="146"/>
        <v/>
      </c>
      <c r="GH135" s="110" t="str">
        <f t="shared" si="243"/>
        <v/>
      </c>
      <c r="GL135" s="108" t="str">
        <f t="shared" si="63"/>
        <v/>
      </c>
      <c r="GM135" s="109" t="str">
        <f t="shared" si="64"/>
        <v/>
      </c>
      <c r="GN135" s="109" t="str">
        <f t="shared" si="65"/>
        <v/>
      </c>
      <c r="GO135" s="110" t="str">
        <f t="shared" si="66"/>
        <v/>
      </c>
      <c r="GP135" s="51"/>
      <c r="GQ135" s="108" t="str">
        <f t="shared" si="67"/>
        <v/>
      </c>
      <c r="GR135" s="109" t="str">
        <f t="shared" si="147"/>
        <v/>
      </c>
      <c r="GS135" s="109" t="str">
        <f t="shared" si="68"/>
        <v/>
      </c>
      <c r="GT135" s="110" t="str">
        <f t="shared" si="69"/>
        <v/>
      </c>
      <c r="GU135" s="51"/>
      <c r="GV135" s="108" t="str">
        <f t="shared" si="148"/>
        <v/>
      </c>
      <c r="GW135" s="109" t="str">
        <f t="shared" si="149"/>
        <v/>
      </c>
      <c r="GX135" s="109" t="str">
        <f t="shared" si="70"/>
        <v/>
      </c>
      <c r="GY135" s="110" t="str">
        <f t="shared" si="150"/>
        <v/>
      </c>
      <c r="GZ135" s="51"/>
      <c r="HA135" s="108" t="str">
        <f t="shared" si="71"/>
        <v/>
      </c>
      <c r="HB135" s="109" t="str">
        <f t="shared" si="151"/>
        <v/>
      </c>
      <c r="HC135" s="109" t="str">
        <f t="shared" si="72"/>
        <v/>
      </c>
      <c r="HD135" s="110" t="str">
        <f t="shared" si="193"/>
        <v/>
      </c>
      <c r="HE135" s="51"/>
      <c r="HF135" s="108" t="str">
        <f t="shared" si="152"/>
        <v/>
      </c>
      <c r="HG135" s="109" t="str">
        <f t="shared" si="153"/>
        <v/>
      </c>
      <c r="HH135" s="109" t="str">
        <f t="shared" si="73"/>
        <v/>
      </c>
      <c r="HI135" s="110" t="str">
        <f t="shared" si="154"/>
        <v/>
      </c>
      <c r="HJ135" s="51"/>
      <c r="HK135" s="108" t="str">
        <f t="shared" si="74"/>
        <v/>
      </c>
      <c r="HL135" s="109" t="str">
        <f t="shared" si="155"/>
        <v/>
      </c>
      <c r="HM135" s="109" t="str">
        <f t="shared" si="75"/>
        <v/>
      </c>
      <c r="HN135" s="110" t="str">
        <f t="shared" si="194"/>
        <v/>
      </c>
      <c r="HO135" s="51"/>
      <c r="HP135" s="108" t="str">
        <f t="shared" si="156"/>
        <v/>
      </c>
      <c r="HQ135" s="109" t="str">
        <f t="shared" si="157"/>
        <v/>
      </c>
      <c r="HR135" s="109" t="str">
        <f t="shared" si="76"/>
        <v/>
      </c>
      <c r="HS135" s="110" t="str">
        <f t="shared" si="158"/>
        <v/>
      </c>
      <c r="HT135" s="51"/>
      <c r="HU135" s="108" t="str">
        <f t="shared" si="77"/>
        <v/>
      </c>
      <c r="HV135" s="109" t="str">
        <f t="shared" si="159"/>
        <v/>
      </c>
      <c r="HW135" s="109" t="str">
        <f t="shared" si="78"/>
        <v/>
      </c>
      <c r="HX135" s="110" t="str">
        <f t="shared" si="195"/>
        <v/>
      </c>
      <c r="HY135" s="51"/>
      <c r="HZ135" s="108" t="str">
        <f t="shared" si="160"/>
        <v/>
      </c>
      <c r="IA135" s="109" t="str">
        <f t="shared" si="161"/>
        <v/>
      </c>
      <c r="IB135" s="109" t="str">
        <f t="shared" si="79"/>
        <v/>
      </c>
      <c r="IC135" s="110" t="str">
        <f t="shared" si="162"/>
        <v/>
      </c>
      <c r="ID135" s="51"/>
      <c r="IE135" s="108" t="str">
        <f t="shared" si="80"/>
        <v/>
      </c>
      <c r="IF135" s="109" t="str">
        <f t="shared" si="163"/>
        <v/>
      </c>
      <c r="IG135" s="109" t="str">
        <f t="shared" si="81"/>
        <v/>
      </c>
      <c r="IH135" s="110" t="str">
        <f t="shared" si="196"/>
        <v/>
      </c>
      <c r="II135" s="51"/>
      <c r="IJ135" s="108" t="str">
        <f t="shared" si="164"/>
        <v/>
      </c>
      <c r="IK135" s="109" t="str">
        <f t="shared" si="165"/>
        <v/>
      </c>
      <c r="IL135" s="109" t="str">
        <f t="shared" si="82"/>
        <v/>
      </c>
      <c r="IM135" s="110" t="str">
        <f t="shared" si="166"/>
        <v/>
      </c>
      <c r="IN135" s="51"/>
      <c r="IO135" s="108" t="str">
        <f t="shared" si="83"/>
        <v/>
      </c>
      <c r="IP135" s="109" t="str">
        <f t="shared" si="167"/>
        <v/>
      </c>
      <c r="IQ135" s="109" t="str">
        <f t="shared" si="84"/>
        <v/>
      </c>
      <c r="IR135" s="110" t="str">
        <f t="shared" si="197"/>
        <v/>
      </c>
      <c r="IS135" s="51"/>
      <c r="IT135" s="108" t="str">
        <f t="shared" si="168"/>
        <v/>
      </c>
      <c r="IU135" s="109" t="str">
        <f t="shared" si="169"/>
        <v/>
      </c>
      <c r="IV135" s="109" t="str">
        <f t="shared" si="85"/>
        <v/>
      </c>
      <c r="IW135" s="110" t="str">
        <f t="shared" si="170"/>
        <v/>
      </c>
      <c r="IX135" s="51"/>
      <c r="IY135" s="108" t="str">
        <f t="shared" si="86"/>
        <v/>
      </c>
      <c r="IZ135" s="109" t="str">
        <f t="shared" si="171"/>
        <v/>
      </c>
      <c r="JA135" s="109" t="str">
        <f t="shared" si="87"/>
        <v/>
      </c>
      <c r="JB135" s="110" t="str">
        <f t="shared" si="198"/>
        <v/>
      </c>
      <c r="JC135" s="51"/>
      <c r="JD135" s="108" t="str">
        <f t="shared" si="172"/>
        <v/>
      </c>
      <c r="JE135" s="109" t="str">
        <f t="shared" si="173"/>
        <v/>
      </c>
      <c r="JF135" s="109" t="str">
        <f t="shared" si="88"/>
        <v/>
      </c>
      <c r="JG135" s="110" t="str">
        <f t="shared" si="174"/>
        <v/>
      </c>
      <c r="JH135" s="51"/>
      <c r="JI135" s="108" t="str">
        <f t="shared" si="89"/>
        <v/>
      </c>
      <c r="JJ135" s="109" t="str">
        <f t="shared" si="175"/>
        <v/>
      </c>
      <c r="JK135" s="109" t="str">
        <f t="shared" si="90"/>
        <v/>
      </c>
      <c r="JL135" s="110" t="str">
        <f t="shared" si="199"/>
        <v/>
      </c>
      <c r="JM135" s="51"/>
      <c r="JN135" s="108" t="str">
        <f t="shared" si="176"/>
        <v/>
      </c>
      <c r="JO135" s="109" t="str">
        <f t="shared" si="177"/>
        <v/>
      </c>
      <c r="JP135" s="109" t="str">
        <f t="shared" si="91"/>
        <v/>
      </c>
      <c r="JQ135" s="110" t="str">
        <f t="shared" si="178"/>
        <v/>
      </c>
      <c r="JR135" s="51"/>
      <c r="JS135" s="108" t="str">
        <f t="shared" si="92"/>
        <v/>
      </c>
      <c r="JT135" s="109" t="str">
        <f t="shared" si="179"/>
        <v/>
      </c>
      <c r="JU135" s="109" t="str">
        <f t="shared" si="93"/>
        <v/>
      </c>
      <c r="JV135" s="110" t="str">
        <f t="shared" si="200"/>
        <v/>
      </c>
      <c r="JW135" s="51"/>
      <c r="JX135" s="108" t="str">
        <f t="shared" si="180"/>
        <v/>
      </c>
      <c r="JY135" s="109" t="str">
        <f t="shared" si="181"/>
        <v/>
      </c>
      <c r="JZ135" s="109" t="str">
        <f t="shared" si="94"/>
        <v/>
      </c>
      <c r="KA135" s="110" t="str">
        <f t="shared" si="95"/>
        <v/>
      </c>
    </row>
    <row r="136" spans="1:287" ht="12" customHeight="1">
      <c r="A136" s="105">
        <f t="array" ref="A136">MAX(IF($J$80:J135&gt;0,$C$80:C135,0))</f>
        <v>43536</v>
      </c>
      <c r="B136" s="81" t="str">
        <f t="shared" si="4"/>
        <v/>
      </c>
      <c r="C136" s="82">
        <f t="shared" si="182"/>
        <v>0</v>
      </c>
      <c r="D136" s="83" t="str">
        <f t="shared" si="5"/>
        <v/>
      </c>
      <c r="E136" s="83" t="str">
        <f t="shared" si="96"/>
        <v/>
      </c>
      <c r="F136" s="83" t="str">
        <f t="shared" si="6"/>
        <v/>
      </c>
      <c r="G136" s="83" t="str">
        <f t="shared" si="7"/>
        <v/>
      </c>
      <c r="H136" s="83" t="str">
        <f t="shared" si="8"/>
        <v/>
      </c>
      <c r="I136" s="105">
        <f t="array" ref="I136">MAX(IF($R$80:R135&gt;0,$L$80:L135,0))</f>
        <v>0</v>
      </c>
      <c r="J136" s="106"/>
      <c r="K136" s="2" t="str">
        <f t="shared" si="9"/>
        <v/>
      </c>
      <c r="L136" s="82">
        <f t="shared" si="183"/>
        <v>0</v>
      </c>
      <c r="M136" s="83" t="str">
        <f t="shared" si="97"/>
        <v/>
      </c>
      <c r="N136" s="83" t="str">
        <f t="shared" si="10"/>
        <v/>
      </c>
      <c r="O136" s="83" t="str">
        <f t="shared" si="11"/>
        <v/>
      </c>
      <c r="P136" s="83" t="str">
        <f t="shared" si="12"/>
        <v/>
      </c>
      <c r="Q136" s="83" t="str">
        <f t="shared" si="13"/>
        <v/>
      </c>
      <c r="R136" s="106"/>
      <c r="S136" s="1"/>
      <c r="U136" s="85" t="e">
        <f t="shared" si="0"/>
        <v>#NUM!</v>
      </c>
      <c r="V136" s="86" t="e">
        <f t="shared" si="98"/>
        <v>#NUM!</v>
      </c>
      <c r="W136" s="87" t="e">
        <f t="shared" si="14"/>
        <v>#NUM!</v>
      </c>
      <c r="X136" s="87" t="e">
        <f t="shared" si="15"/>
        <v>#NUM!</v>
      </c>
      <c r="Y136" s="87" t="e">
        <f t="shared" si="16"/>
        <v>#NUM!</v>
      </c>
      <c r="Z136" s="88" t="e">
        <f t="shared" si="1"/>
        <v>#NUM!</v>
      </c>
      <c r="AA136" t="s">
        <v>282</v>
      </c>
      <c r="AB136" s="89">
        <f t="shared" si="99"/>
        <v>0</v>
      </c>
      <c r="AC136" s="87">
        <f t="shared" si="100"/>
        <v>0</v>
      </c>
      <c r="AD136" s="87" t="str">
        <f t="shared" si="17"/>
        <v/>
      </c>
      <c r="AE136" s="87" t="str">
        <f t="shared" si="18"/>
        <v/>
      </c>
      <c r="AF136" s="86">
        <f t="shared" si="101"/>
        <v>0</v>
      </c>
      <c r="AG136" s="87">
        <f t="shared" si="2"/>
        <v>0</v>
      </c>
      <c r="AH136" s="87">
        <f t="shared" si="102"/>
        <v>0</v>
      </c>
      <c r="AI136" s="90"/>
      <c r="AJ136" s="87" t="e">
        <f t="shared" si="19"/>
        <v>#NUM!</v>
      </c>
      <c r="AK136" s="87" t="e">
        <f t="shared" si="103"/>
        <v>#NUM!</v>
      </c>
      <c r="AL136" s="87" t="e">
        <f t="shared" si="104"/>
        <v>#NUM!</v>
      </c>
      <c r="AM136" s="87" t="e">
        <f t="shared" si="105"/>
        <v>#NUM!</v>
      </c>
      <c r="AN136" s="86">
        <f t="shared" si="20"/>
        <v>0</v>
      </c>
      <c r="AO136" s="87">
        <f t="shared" si="21"/>
        <v>0</v>
      </c>
      <c r="AP136" s="88">
        <f t="shared" si="22"/>
        <v>0</v>
      </c>
      <c r="AR136" s="89">
        <f t="shared" si="23"/>
        <v>0</v>
      </c>
      <c r="AS136" s="87">
        <f t="shared" si="24"/>
        <v>0</v>
      </c>
      <c r="AT136" s="87" t="str">
        <f t="shared" si="25"/>
        <v/>
      </c>
      <c r="AU136" s="87" t="str">
        <f t="shared" si="26"/>
        <v/>
      </c>
      <c r="AV136" s="86">
        <f t="shared" si="106"/>
        <v>0</v>
      </c>
      <c r="AW136" s="87">
        <f t="shared" si="107"/>
        <v>0</v>
      </c>
      <c r="AX136" s="87">
        <f t="shared" si="108"/>
        <v>0</v>
      </c>
      <c r="AY136" s="93"/>
      <c r="AZ136" s="87">
        <f t="shared" si="201"/>
        <v>0</v>
      </c>
      <c r="BA136" s="87">
        <f t="shared" si="109"/>
        <v>0</v>
      </c>
      <c r="BB136" s="87">
        <f t="shared" si="110"/>
        <v>0</v>
      </c>
      <c r="BC136" s="87">
        <f t="shared" si="184"/>
        <v>0</v>
      </c>
      <c r="BD136" s="86" t="e">
        <f t="shared" si="27"/>
        <v>#NUM!</v>
      </c>
      <c r="BE136" s="87" t="e">
        <f t="shared" si="3"/>
        <v>#NUM!</v>
      </c>
      <c r="BF136" s="88">
        <f t="shared" si="111"/>
        <v>0</v>
      </c>
      <c r="BH136" s="87" t="e">
        <f t="shared" si="28"/>
        <v>#NUM!</v>
      </c>
      <c r="BK136" s="95">
        <v>40783</v>
      </c>
      <c r="BL136" s="96">
        <v>57</v>
      </c>
      <c r="BT136" s="51">
        <v>100</v>
      </c>
      <c r="BU136" s="51">
        <v>3000</v>
      </c>
      <c r="BV136" s="30">
        <v>0.33</v>
      </c>
      <c r="BY136" s="107"/>
      <c r="BZ136" s="107"/>
      <c r="CA136" s="107"/>
      <c r="CB136" s="107"/>
      <c r="CC136" s="107"/>
      <c r="CD136" s="107"/>
      <c r="CE136" s="107"/>
      <c r="CF136" s="30">
        <v>0</v>
      </c>
      <c r="CG136" s="107">
        <v>6.0000000000000001E-3</v>
      </c>
      <c r="CS136" s="108" t="str">
        <f t="shared" si="29"/>
        <v/>
      </c>
      <c r="CT136" s="109" t="str">
        <f t="shared" si="30"/>
        <v/>
      </c>
      <c r="CU136" s="109" t="str">
        <f t="shared" si="31"/>
        <v/>
      </c>
      <c r="CV136" s="110" t="str">
        <f t="shared" si="225"/>
        <v/>
      </c>
      <c r="CX136" s="108" t="str">
        <f t="shared" si="33"/>
        <v/>
      </c>
      <c r="CY136" s="109" t="str">
        <f t="shared" si="113"/>
        <v/>
      </c>
      <c r="CZ136" s="109" t="str">
        <f t="shared" si="34"/>
        <v/>
      </c>
      <c r="DA136" s="110" t="str">
        <f t="shared" si="226"/>
        <v/>
      </c>
      <c r="DC136" s="108" t="str">
        <f t="shared" si="114"/>
        <v/>
      </c>
      <c r="DD136" s="109" t="str">
        <f t="shared" si="115"/>
        <v/>
      </c>
      <c r="DE136" s="109" t="str">
        <f t="shared" si="36"/>
        <v/>
      </c>
      <c r="DF136" s="110" t="str">
        <f t="shared" si="227"/>
        <v/>
      </c>
      <c r="DH136" s="108" t="str">
        <f t="shared" si="38"/>
        <v/>
      </c>
      <c r="DI136" s="109" t="str">
        <f t="shared" si="39"/>
        <v/>
      </c>
      <c r="DJ136" s="109" t="str">
        <f t="shared" si="40"/>
        <v/>
      </c>
      <c r="DK136" s="110" t="str">
        <f t="shared" si="228"/>
        <v/>
      </c>
      <c r="DM136" s="108" t="str">
        <f t="shared" si="116"/>
        <v/>
      </c>
      <c r="DN136" s="109" t="str">
        <f t="shared" si="117"/>
        <v/>
      </c>
      <c r="DO136" s="109" t="str">
        <f t="shared" si="42"/>
        <v/>
      </c>
      <c r="DP136" s="110" t="str">
        <f t="shared" si="229"/>
        <v/>
      </c>
      <c r="DR136" s="108" t="str">
        <f t="shared" si="43"/>
        <v/>
      </c>
      <c r="DS136" s="109" t="str">
        <f t="shared" si="118"/>
        <v/>
      </c>
      <c r="DT136" s="109" t="str">
        <f t="shared" si="44"/>
        <v/>
      </c>
      <c r="DU136" s="110" t="str">
        <f t="shared" si="230"/>
        <v/>
      </c>
      <c r="DW136" s="108" t="str">
        <f t="shared" si="120"/>
        <v/>
      </c>
      <c r="DX136" s="109" t="str">
        <f t="shared" si="121"/>
        <v/>
      </c>
      <c r="DY136" s="109" t="str">
        <f t="shared" si="45"/>
        <v/>
      </c>
      <c r="DZ136" s="110" t="str">
        <f t="shared" si="231"/>
        <v/>
      </c>
      <c r="EB136" s="108" t="str">
        <f t="shared" si="46"/>
        <v/>
      </c>
      <c r="EC136" s="109" t="str">
        <f t="shared" si="122"/>
        <v/>
      </c>
      <c r="ED136" s="109" t="str">
        <f t="shared" si="47"/>
        <v/>
      </c>
      <c r="EE136" s="110" t="str">
        <f t="shared" si="232"/>
        <v/>
      </c>
      <c r="EG136" s="108" t="str">
        <f t="shared" si="124"/>
        <v/>
      </c>
      <c r="EH136" s="109" t="str">
        <f t="shared" si="125"/>
        <v/>
      </c>
      <c r="EI136" s="109" t="str">
        <f t="shared" si="48"/>
        <v/>
      </c>
      <c r="EJ136" s="110" t="str">
        <f t="shared" si="233"/>
        <v/>
      </c>
      <c r="EL136" s="108" t="str">
        <f t="shared" si="49"/>
        <v/>
      </c>
      <c r="EM136" s="109" t="str">
        <f t="shared" si="126"/>
        <v/>
      </c>
      <c r="EN136" s="109" t="str">
        <f t="shared" si="50"/>
        <v/>
      </c>
      <c r="EO136" s="110" t="str">
        <f t="shared" si="234"/>
        <v/>
      </c>
      <c r="EQ136" s="108" t="str">
        <f t="shared" si="128"/>
        <v/>
      </c>
      <c r="ER136" s="109" t="str">
        <f t="shared" si="129"/>
        <v/>
      </c>
      <c r="ES136" s="109" t="str">
        <f t="shared" si="51"/>
        <v/>
      </c>
      <c r="ET136" s="110" t="str">
        <f t="shared" si="235"/>
        <v/>
      </c>
      <c r="EV136" s="108" t="str">
        <f t="shared" si="52"/>
        <v/>
      </c>
      <c r="EW136" s="109" t="str">
        <f t="shared" si="130"/>
        <v/>
      </c>
      <c r="EX136" s="109" t="str">
        <f t="shared" si="53"/>
        <v/>
      </c>
      <c r="EY136" s="110" t="str">
        <f t="shared" si="236"/>
        <v/>
      </c>
      <c r="FA136" s="108" t="str">
        <f t="shared" si="132"/>
        <v/>
      </c>
      <c r="FB136" s="109" t="str">
        <f t="shared" si="133"/>
        <v/>
      </c>
      <c r="FC136" s="109" t="str">
        <f t="shared" si="54"/>
        <v/>
      </c>
      <c r="FD136" s="110" t="str">
        <f t="shared" si="237"/>
        <v/>
      </c>
      <c r="FF136" s="108" t="str">
        <f t="shared" si="55"/>
        <v/>
      </c>
      <c r="FG136" s="109" t="str">
        <f t="shared" si="134"/>
        <v/>
      </c>
      <c r="FH136" s="109" t="str">
        <f t="shared" si="56"/>
        <v/>
      </c>
      <c r="FI136" s="110" t="str">
        <f t="shared" si="238"/>
        <v/>
      </c>
      <c r="FK136" s="108" t="str">
        <f t="shared" si="136"/>
        <v/>
      </c>
      <c r="FL136" s="109" t="str">
        <f t="shared" si="137"/>
        <v/>
      </c>
      <c r="FM136" s="109" t="str">
        <f t="shared" si="57"/>
        <v/>
      </c>
      <c r="FN136" s="110" t="str">
        <f t="shared" si="239"/>
        <v/>
      </c>
      <c r="FP136" s="108" t="str">
        <f t="shared" si="58"/>
        <v/>
      </c>
      <c r="FQ136" s="109" t="str">
        <f t="shared" si="138"/>
        <v/>
      </c>
      <c r="FR136" s="109" t="str">
        <f t="shared" si="59"/>
        <v/>
      </c>
      <c r="FS136" s="110" t="str">
        <f t="shared" si="240"/>
        <v/>
      </c>
      <c r="FU136" s="108" t="str">
        <f t="shared" si="140"/>
        <v/>
      </c>
      <c r="FV136" s="109" t="str">
        <f t="shared" si="141"/>
        <v/>
      </c>
      <c r="FW136" s="109" t="str">
        <f t="shared" si="60"/>
        <v/>
      </c>
      <c r="FX136" s="110" t="str">
        <f t="shared" si="241"/>
        <v/>
      </c>
      <c r="FZ136" s="108" t="str">
        <f t="shared" si="61"/>
        <v/>
      </c>
      <c r="GA136" s="109" t="str">
        <f t="shared" si="142"/>
        <v/>
      </c>
      <c r="GB136" s="109" t="str">
        <f t="shared" si="62"/>
        <v/>
      </c>
      <c r="GC136" s="110" t="str">
        <f t="shared" si="242"/>
        <v/>
      </c>
      <c r="GE136" s="108" t="str">
        <f t="shared" si="144"/>
        <v/>
      </c>
      <c r="GF136" s="109" t="str">
        <f t="shared" si="145"/>
        <v/>
      </c>
      <c r="GG136" s="109" t="str">
        <f t="shared" si="146"/>
        <v/>
      </c>
      <c r="GH136" s="110" t="str">
        <f t="shared" si="243"/>
        <v/>
      </c>
      <c r="GL136" s="108" t="str">
        <f t="shared" si="63"/>
        <v/>
      </c>
      <c r="GM136" s="109" t="str">
        <f t="shared" si="64"/>
        <v/>
      </c>
      <c r="GN136" s="109" t="str">
        <f t="shared" si="65"/>
        <v/>
      </c>
      <c r="GO136" s="110" t="str">
        <f t="shared" si="66"/>
        <v/>
      </c>
      <c r="GP136" s="51"/>
      <c r="GQ136" s="108" t="str">
        <f t="shared" si="67"/>
        <v/>
      </c>
      <c r="GR136" s="109" t="str">
        <f t="shared" si="147"/>
        <v/>
      </c>
      <c r="GS136" s="109" t="str">
        <f t="shared" si="68"/>
        <v/>
      </c>
      <c r="GT136" s="110" t="str">
        <f t="shared" si="69"/>
        <v/>
      </c>
      <c r="GU136" s="51"/>
      <c r="GV136" s="108" t="str">
        <f t="shared" si="148"/>
        <v/>
      </c>
      <c r="GW136" s="109" t="str">
        <f t="shared" si="149"/>
        <v/>
      </c>
      <c r="GX136" s="109" t="str">
        <f t="shared" si="70"/>
        <v/>
      </c>
      <c r="GY136" s="110" t="str">
        <f t="shared" si="150"/>
        <v/>
      </c>
      <c r="GZ136" s="51"/>
      <c r="HA136" s="108" t="str">
        <f t="shared" si="71"/>
        <v/>
      </c>
      <c r="HB136" s="109" t="str">
        <f t="shared" si="151"/>
        <v/>
      </c>
      <c r="HC136" s="109" t="str">
        <f t="shared" si="72"/>
        <v/>
      </c>
      <c r="HD136" s="110" t="str">
        <f t="shared" si="193"/>
        <v/>
      </c>
      <c r="HE136" s="51"/>
      <c r="HF136" s="108" t="str">
        <f t="shared" si="152"/>
        <v/>
      </c>
      <c r="HG136" s="109" t="str">
        <f t="shared" si="153"/>
        <v/>
      </c>
      <c r="HH136" s="109" t="str">
        <f t="shared" si="73"/>
        <v/>
      </c>
      <c r="HI136" s="110" t="str">
        <f t="shared" si="154"/>
        <v/>
      </c>
      <c r="HJ136" s="51"/>
      <c r="HK136" s="108" t="str">
        <f t="shared" si="74"/>
        <v/>
      </c>
      <c r="HL136" s="109" t="str">
        <f t="shared" si="155"/>
        <v/>
      </c>
      <c r="HM136" s="109" t="str">
        <f t="shared" si="75"/>
        <v/>
      </c>
      <c r="HN136" s="110" t="str">
        <f t="shared" si="194"/>
        <v/>
      </c>
      <c r="HO136" s="51"/>
      <c r="HP136" s="108" t="str">
        <f t="shared" si="156"/>
        <v/>
      </c>
      <c r="HQ136" s="109" t="str">
        <f t="shared" si="157"/>
        <v/>
      </c>
      <c r="HR136" s="109" t="str">
        <f t="shared" si="76"/>
        <v/>
      </c>
      <c r="HS136" s="110" t="str">
        <f t="shared" si="158"/>
        <v/>
      </c>
      <c r="HT136" s="51"/>
      <c r="HU136" s="108" t="str">
        <f t="shared" si="77"/>
        <v/>
      </c>
      <c r="HV136" s="109" t="str">
        <f t="shared" si="159"/>
        <v/>
      </c>
      <c r="HW136" s="109" t="str">
        <f t="shared" si="78"/>
        <v/>
      </c>
      <c r="HX136" s="110" t="str">
        <f t="shared" si="195"/>
        <v/>
      </c>
      <c r="HY136" s="51"/>
      <c r="HZ136" s="108" t="str">
        <f t="shared" si="160"/>
        <v/>
      </c>
      <c r="IA136" s="109" t="str">
        <f t="shared" si="161"/>
        <v/>
      </c>
      <c r="IB136" s="109" t="str">
        <f t="shared" si="79"/>
        <v/>
      </c>
      <c r="IC136" s="110" t="str">
        <f t="shared" si="162"/>
        <v/>
      </c>
      <c r="ID136" s="51"/>
      <c r="IE136" s="108" t="str">
        <f t="shared" si="80"/>
        <v/>
      </c>
      <c r="IF136" s="109" t="str">
        <f t="shared" si="163"/>
        <v/>
      </c>
      <c r="IG136" s="109" t="str">
        <f t="shared" si="81"/>
        <v/>
      </c>
      <c r="IH136" s="110" t="str">
        <f t="shared" si="196"/>
        <v/>
      </c>
      <c r="II136" s="51"/>
      <c r="IJ136" s="108" t="str">
        <f t="shared" si="164"/>
        <v/>
      </c>
      <c r="IK136" s="109" t="str">
        <f t="shared" si="165"/>
        <v/>
      </c>
      <c r="IL136" s="109" t="str">
        <f t="shared" si="82"/>
        <v/>
      </c>
      <c r="IM136" s="110" t="str">
        <f t="shared" si="166"/>
        <v/>
      </c>
      <c r="IN136" s="51"/>
      <c r="IO136" s="108" t="str">
        <f t="shared" si="83"/>
        <v/>
      </c>
      <c r="IP136" s="109" t="str">
        <f t="shared" si="167"/>
        <v/>
      </c>
      <c r="IQ136" s="109" t="str">
        <f t="shared" si="84"/>
        <v/>
      </c>
      <c r="IR136" s="110" t="str">
        <f t="shared" si="197"/>
        <v/>
      </c>
      <c r="IS136" s="51"/>
      <c r="IT136" s="108" t="str">
        <f t="shared" si="168"/>
        <v/>
      </c>
      <c r="IU136" s="109" t="str">
        <f t="shared" si="169"/>
        <v/>
      </c>
      <c r="IV136" s="109" t="str">
        <f t="shared" si="85"/>
        <v/>
      </c>
      <c r="IW136" s="110" t="str">
        <f t="shared" si="170"/>
        <v/>
      </c>
      <c r="IX136" s="51"/>
      <c r="IY136" s="108" t="str">
        <f t="shared" si="86"/>
        <v/>
      </c>
      <c r="IZ136" s="109" t="str">
        <f t="shared" si="171"/>
        <v/>
      </c>
      <c r="JA136" s="109" t="str">
        <f t="shared" si="87"/>
        <v/>
      </c>
      <c r="JB136" s="110" t="str">
        <f t="shared" si="198"/>
        <v/>
      </c>
      <c r="JC136" s="51"/>
      <c r="JD136" s="108" t="str">
        <f t="shared" si="172"/>
        <v/>
      </c>
      <c r="JE136" s="109" t="str">
        <f t="shared" si="173"/>
        <v/>
      </c>
      <c r="JF136" s="109" t="str">
        <f t="shared" si="88"/>
        <v/>
      </c>
      <c r="JG136" s="110" t="str">
        <f t="shared" si="174"/>
        <v/>
      </c>
      <c r="JH136" s="51"/>
      <c r="JI136" s="108" t="str">
        <f t="shared" si="89"/>
        <v/>
      </c>
      <c r="JJ136" s="109" t="str">
        <f t="shared" si="175"/>
        <v/>
      </c>
      <c r="JK136" s="109" t="str">
        <f t="shared" si="90"/>
        <v/>
      </c>
      <c r="JL136" s="110" t="str">
        <f t="shared" si="199"/>
        <v/>
      </c>
      <c r="JM136" s="51"/>
      <c r="JN136" s="108" t="str">
        <f t="shared" si="176"/>
        <v/>
      </c>
      <c r="JO136" s="109" t="str">
        <f t="shared" si="177"/>
        <v/>
      </c>
      <c r="JP136" s="109" t="str">
        <f t="shared" si="91"/>
        <v/>
      </c>
      <c r="JQ136" s="110" t="str">
        <f t="shared" si="178"/>
        <v/>
      </c>
      <c r="JR136" s="51"/>
      <c r="JS136" s="108" t="str">
        <f t="shared" si="92"/>
        <v/>
      </c>
      <c r="JT136" s="109" t="str">
        <f t="shared" si="179"/>
        <v/>
      </c>
      <c r="JU136" s="109" t="str">
        <f t="shared" si="93"/>
        <v/>
      </c>
      <c r="JV136" s="110" t="str">
        <f t="shared" si="200"/>
        <v/>
      </c>
      <c r="JW136" s="51"/>
      <c r="JX136" s="108" t="str">
        <f t="shared" si="180"/>
        <v/>
      </c>
      <c r="JY136" s="109" t="str">
        <f t="shared" si="181"/>
        <v/>
      </c>
      <c r="JZ136" s="109" t="str">
        <f t="shared" si="94"/>
        <v/>
      </c>
      <c r="KA136" s="110" t="str">
        <f t="shared" si="95"/>
        <v/>
      </c>
    </row>
    <row r="137" spans="1:287" ht="12" customHeight="1">
      <c r="A137" s="105">
        <f t="array" ref="A137">MAX(IF($J$80:J136&gt;0,$C$80:C136,0))</f>
        <v>43536</v>
      </c>
      <c r="B137" s="81" t="str">
        <f t="shared" si="4"/>
        <v/>
      </c>
      <c r="C137" s="82">
        <f t="shared" si="182"/>
        <v>0</v>
      </c>
      <c r="D137" s="83" t="str">
        <f t="shared" si="5"/>
        <v/>
      </c>
      <c r="E137" s="83" t="str">
        <f t="shared" si="96"/>
        <v/>
      </c>
      <c r="F137" s="83" t="str">
        <f t="shared" si="6"/>
        <v/>
      </c>
      <c r="G137" s="83" t="str">
        <f t="shared" si="7"/>
        <v/>
      </c>
      <c r="H137" s="83" t="str">
        <f t="shared" si="8"/>
        <v/>
      </c>
      <c r="I137" s="105">
        <f t="array" ref="I137">MAX(IF($R$80:R136&gt;0,$L$80:L136,0))</f>
        <v>0</v>
      </c>
      <c r="J137" s="106"/>
      <c r="K137" s="2" t="str">
        <f t="shared" si="9"/>
        <v/>
      </c>
      <c r="L137" s="82">
        <f t="shared" si="183"/>
        <v>0</v>
      </c>
      <c r="M137" s="83" t="str">
        <f t="shared" si="97"/>
        <v/>
      </c>
      <c r="N137" s="83" t="str">
        <f t="shared" si="10"/>
        <v/>
      </c>
      <c r="O137" s="83" t="str">
        <f t="shared" si="11"/>
        <v/>
      </c>
      <c r="P137" s="83" t="str">
        <f t="shared" si="12"/>
        <v/>
      </c>
      <c r="Q137" s="83" t="str">
        <f t="shared" si="13"/>
        <v/>
      </c>
      <c r="R137" s="106"/>
      <c r="S137" s="1"/>
      <c r="U137" s="85" t="e">
        <f t="shared" si="0"/>
        <v>#NUM!</v>
      </c>
      <c r="V137" s="86" t="e">
        <f t="shared" si="98"/>
        <v>#NUM!</v>
      </c>
      <c r="W137" s="87" t="e">
        <f t="shared" si="14"/>
        <v>#NUM!</v>
      </c>
      <c r="X137" s="87" t="e">
        <f t="shared" si="15"/>
        <v>#NUM!</v>
      </c>
      <c r="Y137" s="87" t="e">
        <f t="shared" si="16"/>
        <v>#NUM!</v>
      </c>
      <c r="Z137" s="88" t="e">
        <f t="shared" si="1"/>
        <v>#NUM!</v>
      </c>
      <c r="AA137" t="s">
        <v>282</v>
      </c>
      <c r="AB137" s="89">
        <f t="shared" si="99"/>
        <v>0</v>
      </c>
      <c r="AC137" s="87">
        <f t="shared" si="100"/>
        <v>0</v>
      </c>
      <c r="AD137" s="87" t="str">
        <f t="shared" si="17"/>
        <v/>
      </c>
      <c r="AE137" s="87" t="str">
        <f t="shared" si="18"/>
        <v/>
      </c>
      <c r="AF137" s="86">
        <f t="shared" si="101"/>
        <v>0</v>
      </c>
      <c r="AG137" s="87">
        <f t="shared" si="2"/>
        <v>0</v>
      </c>
      <c r="AH137" s="87">
        <f t="shared" si="102"/>
        <v>0</v>
      </c>
      <c r="AI137" s="90"/>
      <c r="AJ137" s="87" t="e">
        <f t="shared" si="19"/>
        <v>#NUM!</v>
      </c>
      <c r="AK137" s="87" t="e">
        <f t="shared" si="103"/>
        <v>#NUM!</v>
      </c>
      <c r="AL137" s="87" t="e">
        <f t="shared" si="104"/>
        <v>#NUM!</v>
      </c>
      <c r="AM137" s="87" t="e">
        <f t="shared" si="105"/>
        <v>#NUM!</v>
      </c>
      <c r="AN137" s="86">
        <f t="shared" si="20"/>
        <v>0</v>
      </c>
      <c r="AO137" s="87">
        <f t="shared" si="21"/>
        <v>0</v>
      </c>
      <c r="AP137" s="88">
        <f t="shared" si="22"/>
        <v>0</v>
      </c>
      <c r="AR137" s="89">
        <f t="shared" si="23"/>
        <v>0</v>
      </c>
      <c r="AS137" s="87">
        <f t="shared" si="24"/>
        <v>0</v>
      </c>
      <c r="AT137" s="87" t="str">
        <f t="shared" si="25"/>
        <v/>
      </c>
      <c r="AU137" s="87" t="str">
        <f t="shared" si="26"/>
        <v/>
      </c>
      <c r="AV137" s="86">
        <f t="shared" si="106"/>
        <v>0</v>
      </c>
      <c r="AW137" s="87">
        <f t="shared" si="107"/>
        <v>0</v>
      </c>
      <c r="AX137" s="87">
        <f t="shared" si="108"/>
        <v>0</v>
      </c>
      <c r="AY137" s="93"/>
      <c r="AZ137" s="87">
        <f t="shared" si="201"/>
        <v>0</v>
      </c>
      <c r="BA137" s="87">
        <f t="shared" si="109"/>
        <v>0</v>
      </c>
      <c r="BB137" s="87">
        <f t="shared" si="110"/>
        <v>0</v>
      </c>
      <c r="BC137" s="87">
        <f t="shared" si="184"/>
        <v>0</v>
      </c>
      <c r="BD137" s="86" t="e">
        <f t="shared" si="27"/>
        <v>#NUM!</v>
      </c>
      <c r="BE137" s="87" t="e">
        <f t="shared" si="3"/>
        <v>#NUM!</v>
      </c>
      <c r="BF137" s="88">
        <f t="shared" si="111"/>
        <v>0</v>
      </c>
      <c r="BH137" s="87" t="e">
        <f t="shared" si="28"/>
        <v>#NUM!</v>
      </c>
      <c r="BK137" s="95">
        <v>40830</v>
      </c>
      <c r="BL137" s="96">
        <v>58</v>
      </c>
      <c r="BT137" s="51">
        <v>3000.01</v>
      </c>
      <c r="BU137" s="51">
        <v>1000000</v>
      </c>
      <c r="BV137" s="30" t="s">
        <v>497</v>
      </c>
      <c r="BY137" s="107"/>
      <c r="BZ137" s="107"/>
      <c r="CA137" s="107"/>
      <c r="CB137" s="107"/>
      <c r="CC137" s="107"/>
      <c r="CD137" s="107"/>
      <c r="CE137" s="107"/>
      <c r="CF137" s="30" t="s">
        <v>497</v>
      </c>
      <c r="CG137" s="30" t="s">
        <v>497</v>
      </c>
      <c r="CS137" s="108" t="str">
        <f t="shared" si="29"/>
        <v/>
      </c>
      <c r="CT137" s="109" t="str">
        <f t="shared" si="30"/>
        <v/>
      </c>
      <c r="CU137" s="109" t="str">
        <f t="shared" si="31"/>
        <v/>
      </c>
      <c r="CV137" s="110" t="str">
        <f t="shared" si="225"/>
        <v/>
      </c>
      <c r="CX137" s="108" t="str">
        <f t="shared" si="33"/>
        <v/>
      </c>
      <c r="CY137" s="109" t="str">
        <f t="shared" si="113"/>
        <v/>
      </c>
      <c r="CZ137" s="109" t="str">
        <f t="shared" si="34"/>
        <v/>
      </c>
      <c r="DA137" s="110" t="str">
        <f t="shared" si="226"/>
        <v/>
      </c>
      <c r="DC137" s="108" t="str">
        <f t="shared" si="114"/>
        <v/>
      </c>
      <c r="DD137" s="109" t="str">
        <f t="shared" si="115"/>
        <v/>
      </c>
      <c r="DE137" s="109" t="str">
        <f t="shared" si="36"/>
        <v/>
      </c>
      <c r="DF137" s="110" t="str">
        <f t="shared" si="227"/>
        <v/>
      </c>
      <c r="DH137" s="108" t="str">
        <f t="shared" si="38"/>
        <v/>
      </c>
      <c r="DI137" s="109" t="str">
        <f t="shared" si="39"/>
        <v/>
      </c>
      <c r="DJ137" s="109" t="str">
        <f t="shared" si="40"/>
        <v/>
      </c>
      <c r="DK137" s="110" t="str">
        <f t="shared" si="228"/>
        <v/>
      </c>
      <c r="DM137" s="108" t="str">
        <f t="shared" si="116"/>
        <v/>
      </c>
      <c r="DN137" s="109" t="str">
        <f t="shared" si="117"/>
        <v/>
      </c>
      <c r="DO137" s="109" t="str">
        <f t="shared" si="42"/>
        <v/>
      </c>
      <c r="DP137" s="110" t="str">
        <f t="shared" si="229"/>
        <v/>
      </c>
      <c r="DR137" s="108" t="str">
        <f t="shared" si="43"/>
        <v/>
      </c>
      <c r="DS137" s="109" t="str">
        <f t="shared" si="118"/>
        <v/>
      </c>
      <c r="DT137" s="109" t="str">
        <f t="shared" si="44"/>
        <v/>
      </c>
      <c r="DU137" s="110" t="str">
        <f t="shared" si="230"/>
        <v/>
      </c>
      <c r="DW137" s="108" t="str">
        <f t="shared" si="120"/>
        <v/>
      </c>
      <c r="DX137" s="109" t="str">
        <f t="shared" si="121"/>
        <v/>
      </c>
      <c r="DY137" s="109" t="str">
        <f t="shared" si="45"/>
        <v/>
      </c>
      <c r="DZ137" s="110" t="str">
        <f t="shared" si="231"/>
        <v/>
      </c>
      <c r="EB137" s="108" t="str">
        <f t="shared" si="46"/>
        <v/>
      </c>
      <c r="EC137" s="109" t="str">
        <f t="shared" si="122"/>
        <v/>
      </c>
      <c r="ED137" s="109" t="str">
        <f t="shared" si="47"/>
        <v/>
      </c>
      <c r="EE137" s="110" t="str">
        <f t="shared" si="232"/>
        <v/>
      </c>
      <c r="EG137" s="108" t="str">
        <f t="shared" si="124"/>
        <v/>
      </c>
      <c r="EH137" s="109" t="str">
        <f t="shared" si="125"/>
        <v/>
      </c>
      <c r="EI137" s="109" t="str">
        <f t="shared" si="48"/>
        <v/>
      </c>
      <c r="EJ137" s="110" t="str">
        <f t="shared" si="233"/>
        <v/>
      </c>
      <c r="EL137" s="108" t="str">
        <f t="shared" si="49"/>
        <v/>
      </c>
      <c r="EM137" s="109" t="str">
        <f t="shared" si="126"/>
        <v/>
      </c>
      <c r="EN137" s="109" t="str">
        <f t="shared" si="50"/>
        <v/>
      </c>
      <c r="EO137" s="110" t="str">
        <f t="shared" si="234"/>
        <v/>
      </c>
      <c r="EQ137" s="108" t="str">
        <f t="shared" si="128"/>
        <v/>
      </c>
      <c r="ER137" s="109" t="str">
        <f t="shared" si="129"/>
        <v/>
      </c>
      <c r="ES137" s="109" t="str">
        <f t="shared" si="51"/>
        <v/>
      </c>
      <c r="ET137" s="110" t="str">
        <f t="shared" si="235"/>
        <v/>
      </c>
      <c r="EV137" s="108" t="str">
        <f t="shared" si="52"/>
        <v/>
      </c>
      <c r="EW137" s="109" t="str">
        <f t="shared" si="130"/>
        <v/>
      </c>
      <c r="EX137" s="109" t="str">
        <f t="shared" si="53"/>
        <v/>
      </c>
      <c r="EY137" s="110" t="str">
        <f t="shared" si="236"/>
        <v/>
      </c>
      <c r="FA137" s="108" t="str">
        <f t="shared" si="132"/>
        <v/>
      </c>
      <c r="FB137" s="109" t="str">
        <f t="shared" si="133"/>
        <v/>
      </c>
      <c r="FC137" s="109" t="str">
        <f t="shared" si="54"/>
        <v/>
      </c>
      <c r="FD137" s="110" t="str">
        <f t="shared" si="237"/>
        <v/>
      </c>
      <c r="FF137" s="108" t="str">
        <f t="shared" si="55"/>
        <v/>
      </c>
      <c r="FG137" s="109" t="str">
        <f t="shared" si="134"/>
        <v/>
      </c>
      <c r="FH137" s="109" t="str">
        <f t="shared" si="56"/>
        <v/>
      </c>
      <c r="FI137" s="110" t="str">
        <f t="shared" si="238"/>
        <v/>
      </c>
      <c r="FK137" s="108" t="str">
        <f t="shared" si="136"/>
        <v/>
      </c>
      <c r="FL137" s="109" t="str">
        <f t="shared" si="137"/>
        <v/>
      </c>
      <c r="FM137" s="109" t="str">
        <f t="shared" si="57"/>
        <v/>
      </c>
      <c r="FN137" s="110" t="str">
        <f t="shared" si="239"/>
        <v/>
      </c>
      <c r="FP137" s="108" t="str">
        <f t="shared" si="58"/>
        <v/>
      </c>
      <c r="FQ137" s="109" t="str">
        <f t="shared" si="138"/>
        <v/>
      </c>
      <c r="FR137" s="109" t="str">
        <f t="shared" si="59"/>
        <v/>
      </c>
      <c r="FS137" s="110" t="str">
        <f t="shared" si="240"/>
        <v/>
      </c>
      <c r="FU137" s="108" t="str">
        <f t="shared" si="140"/>
        <v/>
      </c>
      <c r="FV137" s="109" t="str">
        <f t="shared" si="141"/>
        <v/>
      </c>
      <c r="FW137" s="109" t="str">
        <f t="shared" si="60"/>
        <v/>
      </c>
      <c r="FX137" s="110" t="str">
        <f t="shared" si="241"/>
        <v/>
      </c>
      <c r="FZ137" s="108" t="str">
        <f t="shared" si="61"/>
        <v/>
      </c>
      <c r="GA137" s="109" t="str">
        <f t="shared" si="142"/>
        <v/>
      </c>
      <c r="GB137" s="109" t="str">
        <f t="shared" si="62"/>
        <v/>
      </c>
      <c r="GC137" s="110" t="str">
        <f t="shared" si="242"/>
        <v/>
      </c>
      <c r="GE137" s="108" t="str">
        <f t="shared" si="144"/>
        <v/>
      </c>
      <c r="GF137" s="109" t="str">
        <f t="shared" si="145"/>
        <v/>
      </c>
      <c r="GG137" s="109" t="str">
        <f t="shared" si="146"/>
        <v/>
      </c>
      <c r="GH137" s="110" t="str">
        <f t="shared" si="243"/>
        <v/>
      </c>
      <c r="GL137" s="108" t="str">
        <f t="shared" si="63"/>
        <v/>
      </c>
      <c r="GM137" s="109" t="str">
        <f t="shared" si="64"/>
        <v/>
      </c>
      <c r="GN137" s="109" t="str">
        <f t="shared" si="65"/>
        <v/>
      </c>
      <c r="GO137" s="110" t="str">
        <f t="shared" si="66"/>
        <v/>
      </c>
      <c r="GP137" s="51"/>
      <c r="GQ137" s="108" t="str">
        <f t="shared" si="67"/>
        <v/>
      </c>
      <c r="GR137" s="109" t="str">
        <f t="shared" si="147"/>
        <v/>
      </c>
      <c r="GS137" s="109" t="str">
        <f t="shared" si="68"/>
        <v/>
      </c>
      <c r="GT137" s="110" t="str">
        <f t="shared" si="69"/>
        <v/>
      </c>
      <c r="GU137" s="51"/>
      <c r="GV137" s="108" t="str">
        <f t="shared" si="148"/>
        <v/>
      </c>
      <c r="GW137" s="109" t="str">
        <f t="shared" si="149"/>
        <v/>
      </c>
      <c r="GX137" s="109" t="str">
        <f t="shared" si="70"/>
        <v/>
      </c>
      <c r="GY137" s="110" t="str">
        <f t="shared" si="150"/>
        <v/>
      </c>
      <c r="GZ137" s="51"/>
      <c r="HA137" s="108" t="str">
        <f t="shared" si="71"/>
        <v/>
      </c>
      <c r="HB137" s="109" t="str">
        <f t="shared" si="151"/>
        <v/>
      </c>
      <c r="HC137" s="109" t="str">
        <f t="shared" si="72"/>
        <v/>
      </c>
      <c r="HD137" s="110" t="str">
        <f t="shared" si="193"/>
        <v/>
      </c>
      <c r="HE137" s="51"/>
      <c r="HF137" s="108" t="str">
        <f t="shared" si="152"/>
        <v/>
      </c>
      <c r="HG137" s="109" t="str">
        <f t="shared" si="153"/>
        <v/>
      </c>
      <c r="HH137" s="109" t="str">
        <f t="shared" si="73"/>
        <v/>
      </c>
      <c r="HI137" s="110" t="str">
        <f t="shared" si="154"/>
        <v/>
      </c>
      <c r="HJ137" s="51"/>
      <c r="HK137" s="108" t="str">
        <f t="shared" si="74"/>
        <v/>
      </c>
      <c r="HL137" s="109" t="str">
        <f t="shared" si="155"/>
        <v/>
      </c>
      <c r="HM137" s="109" t="str">
        <f t="shared" si="75"/>
        <v/>
      </c>
      <c r="HN137" s="110" t="str">
        <f t="shared" si="194"/>
        <v/>
      </c>
      <c r="HO137" s="51"/>
      <c r="HP137" s="108" t="str">
        <f t="shared" si="156"/>
        <v/>
      </c>
      <c r="HQ137" s="109" t="str">
        <f t="shared" si="157"/>
        <v/>
      </c>
      <c r="HR137" s="109" t="str">
        <f t="shared" si="76"/>
        <v/>
      </c>
      <c r="HS137" s="110" t="str">
        <f t="shared" si="158"/>
        <v/>
      </c>
      <c r="HT137" s="51"/>
      <c r="HU137" s="108" t="str">
        <f t="shared" si="77"/>
        <v/>
      </c>
      <c r="HV137" s="109" t="str">
        <f t="shared" si="159"/>
        <v/>
      </c>
      <c r="HW137" s="109" t="str">
        <f t="shared" si="78"/>
        <v/>
      </c>
      <c r="HX137" s="110" t="str">
        <f t="shared" si="195"/>
        <v/>
      </c>
      <c r="HY137" s="51"/>
      <c r="HZ137" s="108" t="str">
        <f t="shared" si="160"/>
        <v/>
      </c>
      <c r="IA137" s="109" t="str">
        <f t="shared" si="161"/>
        <v/>
      </c>
      <c r="IB137" s="109" t="str">
        <f t="shared" si="79"/>
        <v/>
      </c>
      <c r="IC137" s="110" t="str">
        <f t="shared" si="162"/>
        <v/>
      </c>
      <c r="ID137" s="51"/>
      <c r="IE137" s="108" t="str">
        <f t="shared" si="80"/>
        <v/>
      </c>
      <c r="IF137" s="109" t="str">
        <f t="shared" si="163"/>
        <v/>
      </c>
      <c r="IG137" s="109" t="str">
        <f t="shared" si="81"/>
        <v/>
      </c>
      <c r="IH137" s="110" t="str">
        <f t="shared" si="196"/>
        <v/>
      </c>
      <c r="II137" s="51"/>
      <c r="IJ137" s="108" t="str">
        <f t="shared" si="164"/>
        <v/>
      </c>
      <c r="IK137" s="109" t="str">
        <f t="shared" si="165"/>
        <v/>
      </c>
      <c r="IL137" s="109" t="str">
        <f t="shared" si="82"/>
        <v/>
      </c>
      <c r="IM137" s="110" t="str">
        <f t="shared" si="166"/>
        <v/>
      </c>
      <c r="IN137" s="51"/>
      <c r="IO137" s="108" t="str">
        <f t="shared" si="83"/>
        <v/>
      </c>
      <c r="IP137" s="109" t="str">
        <f t="shared" si="167"/>
        <v/>
      </c>
      <c r="IQ137" s="109" t="str">
        <f t="shared" si="84"/>
        <v/>
      </c>
      <c r="IR137" s="110" t="str">
        <f t="shared" si="197"/>
        <v/>
      </c>
      <c r="IS137" s="51"/>
      <c r="IT137" s="108" t="str">
        <f t="shared" si="168"/>
        <v/>
      </c>
      <c r="IU137" s="109" t="str">
        <f t="shared" si="169"/>
        <v/>
      </c>
      <c r="IV137" s="109" t="str">
        <f t="shared" si="85"/>
        <v/>
      </c>
      <c r="IW137" s="110" t="str">
        <f t="shared" si="170"/>
        <v/>
      </c>
      <c r="IX137" s="51"/>
      <c r="IY137" s="108" t="str">
        <f t="shared" si="86"/>
        <v/>
      </c>
      <c r="IZ137" s="109" t="str">
        <f t="shared" si="171"/>
        <v/>
      </c>
      <c r="JA137" s="109" t="str">
        <f t="shared" si="87"/>
        <v/>
      </c>
      <c r="JB137" s="110" t="str">
        <f t="shared" si="198"/>
        <v/>
      </c>
      <c r="JC137" s="51"/>
      <c r="JD137" s="108" t="str">
        <f t="shared" si="172"/>
        <v/>
      </c>
      <c r="JE137" s="109" t="str">
        <f t="shared" si="173"/>
        <v/>
      </c>
      <c r="JF137" s="109" t="str">
        <f t="shared" si="88"/>
        <v/>
      </c>
      <c r="JG137" s="110" t="str">
        <f t="shared" si="174"/>
        <v/>
      </c>
      <c r="JH137" s="51"/>
      <c r="JI137" s="108" t="str">
        <f t="shared" si="89"/>
        <v/>
      </c>
      <c r="JJ137" s="109" t="str">
        <f t="shared" si="175"/>
        <v/>
      </c>
      <c r="JK137" s="109" t="str">
        <f t="shared" si="90"/>
        <v/>
      </c>
      <c r="JL137" s="110" t="str">
        <f t="shared" si="199"/>
        <v/>
      </c>
      <c r="JM137" s="51"/>
      <c r="JN137" s="108" t="str">
        <f t="shared" si="176"/>
        <v/>
      </c>
      <c r="JO137" s="109" t="str">
        <f t="shared" si="177"/>
        <v/>
      </c>
      <c r="JP137" s="109" t="str">
        <f t="shared" si="91"/>
        <v/>
      </c>
      <c r="JQ137" s="110" t="str">
        <f t="shared" si="178"/>
        <v/>
      </c>
      <c r="JR137" s="51"/>
      <c r="JS137" s="108" t="str">
        <f t="shared" si="92"/>
        <v/>
      </c>
      <c r="JT137" s="109" t="str">
        <f t="shared" si="179"/>
        <v/>
      </c>
      <c r="JU137" s="109" t="str">
        <f t="shared" si="93"/>
        <v/>
      </c>
      <c r="JV137" s="110" t="str">
        <f t="shared" si="200"/>
        <v/>
      </c>
      <c r="JW137" s="51"/>
      <c r="JX137" s="108" t="str">
        <f t="shared" si="180"/>
        <v/>
      </c>
      <c r="JY137" s="109" t="str">
        <f t="shared" si="181"/>
        <v/>
      </c>
      <c r="JZ137" s="109" t="str">
        <f t="shared" si="94"/>
        <v/>
      </c>
      <c r="KA137" s="110" t="str">
        <f t="shared" si="95"/>
        <v/>
      </c>
    </row>
    <row r="138" spans="1:287" ht="12" customHeight="1">
      <c r="A138" s="105">
        <f t="array" ref="A138">MAX(IF($J$80:J137&gt;0,$C$80:C137,0))</f>
        <v>43536</v>
      </c>
      <c r="B138" s="81" t="str">
        <f t="shared" si="4"/>
        <v/>
      </c>
      <c r="C138" s="82">
        <f t="shared" si="182"/>
        <v>0</v>
      </c>
      <c r="D138" s="83" t="str">
        <f t="shared" si="5"/>
        <v/>
      </c>
      <c r="E138" s="83" t="str">
        <f t="shared" si="96"/>
        <v/>
      </c>
      <c r="F138" s="83" t="str">
        <f t="shared" si="6"/>
        <v/>
      </c>
      <c r="G138" s="83" t="str">
        <f t="shared" si="7"/>
        <v/>
      </c>
      <c r="H138" s="83" t="str">
        <f t="shared" si="8"/>
        <v/>
      </c>
      <c r="I138" s="105">
        <f t="array" ref="I138">MAX(IF($R$80:R137&gt;0,$L$80:L137,0))</f>
        <v>0</v>
      </c>
      <c r="J138" s="106"/>
      <c r="K138" s="2" t="str">
        <f t="shared" si="9"/>
        <v/>
      </c>
      <c r="L138" s="82">
        <f t="shared" si="183"/>
        <v>0</v>
      </c>
      <c r="M138" s="83" t="str">
        <f t="shared" si="97"/>
        <v/>
      </c>
      <c r="N138" s="83" t="str">
        <f t="shared" si="10"/>
        <v/>
      </c>
      <c r="O138" s="83" t="str">
        <f t="shared" si="11"/>
        <v/>
      </c>
      <c r="P138" s="83" t="str">
        <f t="shared" si="12"/>
        <v/>
      </c>
      <c r="Q138" s="83" t="str">
        <f t="shared" si="13"/>
        <v/>
      </c>
      <c r="R138" s="106"/>
      <c r="S138" s="1"/>
      <c r="U138" s="85" t="e">
        <f t="shared" si="0"/>
        <v>#NUM!</v>
      </c>
      <c r="V138" s="86" t="e">
        <f t="shared" si="98"/>
        <v>#NUM!</v>
      </c>
      <c r="W138" s="87" t="e">
        <f t="shared" si="14"/>
        <v>#NUM!</v>
      </c>
      <c r="X138" s="87" t="e">
        <f t="shared" si="15"/>
        <v>#NUM!</v>
      </c>
      <c r="Y138" s="87" t="e">
        <f t="shared" si="16"/>
        <v>#NUM!</v>
      </c>
      <c r="Z138" s="88" t="e">
        <f t="shared" si="1"/>
        <v>#NUM!</v>
      </c>
      <c r="AA138" t="s">
        <v>282</v>
      </c>
      <c r="AB138" s="89">
        <f t="shared" si="99"/>
        <v>0</v>
      </c>
      <c r="AC138" s="87">
        <f t="shared" si="100"/>
        <v>0</v>
      </c>
      <c r="AD138" s="87" t="str">
        <f t="shared" si="17"/>
        <v/>
      </c>
      <c r="AE138" s="87" t="str">
        <f t="shared" si="18"/>
        <v/>
      </c>
      <c r="AF138" s="86">
        <f t="shared" si="101"/>
        <v>0</v>
      </c>
      <c r="AG138" s="87">
        <f t="shared" si="2"/>
        <v>0</v>
      </c>
      <c r="AH138" s="87">
        <f t="shared" si="102"/>
        <v>0</v>
      </c>
      <c r="AI138" s="90"/>
      <c r="AJ138" s="87" t="e">
        <f t="shared" si="19"/>
        <v>#NUM!</v>
      </c>
      <c r="AK138" s="87" t="e">
        <f t="shared" si="103"/>
        <v>#NUM!</v>
      </c>
      <c r="AL138" s="87" t="e">
        <f t="shared" si="104"/>
        <v>#NUM!</v>
      </c>
      <c r="AM138" s="87" t="e">
        <f t="shared" si="105"/>
        <v>#NUM!</v>
      </c>
      <c r="AN138" s="86">
        <f t="shared" si="20"/>
        <v>0</v>
      </c>
      <c r="AO138" s="87">
        <f t="shared" si="21"/>
        <v>0</v>
      </c>
      <c r="AP138" s="88">
        <f t="shared" si="22"/>
        <v>0</v>
      </c>
      <c r="AR138" s="89">
        <f t="shared" si="23"/>
        <v>0</v>
      </c>
      <c r="AS138" s="87">
        <f t="shared" si="24"/>
        <v>0</v>
      </c>
      <c r="AT138" s="87" t="str">
        <f t="shared" si="25"/>
        <v/>
      </c>
      <c r="AU138" s="87" t="str">
        <f t="shared" si="26"/>
        <v/>
      </c>
      <c r="AV138" s="86">
        <f t="shared" si="106"/>
        <v>0</v>
      </c>
      <c r="AW138" s="87">
        <f t="shared" si="107"/>
        <v>0</v>
      </c>
      <c r="AX138" s="87">
        <f t="shared" si="108"/>
        <v>0</v>
      </c>
      <c r="AY138" s="93"/>
      <c r="AZ138" s="87">
        <f t="shared" si="201"/>
        <v>0</v>
      </c>
      <c r="BA138" s="87">
        <f t="shared" si="109"/>
        <v>0</v>
      </c>
      <c r="BB138" s="87">
        <f t="shared" si="110"/>
        <v>0</v>
      </c>
      <c r="BC138" s="87">
        <f t="shared" si="184"/>
        <v>0</v>
      </c>
      <c r="BD138" s="86" t="e">
        <f t="shared" si="27"/>
        <v>#NUM!</v>
      </c>
      <c r="BE138" s="87" t="e">
        <f t="shared" si="3"/>
        <v>#NUM!</v>
      </c>
      <c r="BF138" s="88">
        <f t="shared" si="111"/>
        <v>0</v>
      </c>
      <c r="BH138" s="87" t="e">
        <f t="shared" si="28"/>
        <v>#NUM!</v>
      </c>
      <c r="BK138" s="95">
        <v>40870</v>
      </c>
      <c r="BL138" s="96">
        <v>59</v>
      </c>
      <c r="BY138" s="107"/>
      <c r="BZ138" s="107"/>
      <c r="CA138" s="107"/>
      <c r="CB138" s="107"/>
      <c r="CC138" s="107"/>
      <c r="CD138" s="107"/>
      <c r="CE138" s="107"/>
      <c r="CF138" s="107"/>
      <c r="CG138" s="107"/>
      <c r="CS138" s="108" t="str">
        <f t="shared" si="29"/>
        <v/>
      </c>
      <c r="CT138" s="109" t="str">
        <f t="shared" si="30"/>
        <v/>
      </c>
      <c r="CU138" s="109" t="str">
        <f t="shared" si="31"/>
        <v/>
      </c>
      <c r="CV138" s="110" t="str">
        <f t="shared" si="225"/>
        <v/>
      </c>
      <c r="CX138" s="108" t="str">
        <f t="shared" si="33"/>
        <v/>
      </c>
      <c r="CY138" s="109" t="str">
        <f t="shared" si="113"/>
        <v/>
      </c>
      <c r="CZ138" s="109" t="str">
        <f t="shared" si="34"/>
        <v/>
      </c>
      <c r="DA138" s="110" t="str">
        <f t="shared" si="226"/>
        <v/>
      </c>
      <c r="DC138" s="108" t="str">
        <f t="shared" si="114"/>
        <v/>
      </c>
      <c r="DD138" s="109" t="str">
        <f t="shared" si="115"/>
        <v/>
      </c>
      <c r="DE138" s="109" t="str">
        <f t="shared" si="36"/>
        <v/>
      </c>
      <c r="DF138" s="110" t="str">
        <f t="shared" si="227"/>
        <v/>
      </c>
      <c r="DH138" s="108" t="str">
        <f t="shared" si="38"/>
        <v/>
      </c>
      <c r="DI138" s="109" t="str">
        <f t="shared" si="39"/>
        <v/>
      </c>
      <c r="DJ138" s="109" t="str">
        <f t="shared" si="40"/>
        <v/>
      </c>
      <c r="DK138" s="110" t="str">
        <f t="shared" si="228"/>
        <v/>
      </c>
      <c r="DM138" s="108" t="str">
        <f t="shared" si="116"/>
        <v/>
      </c>
      <c r="DN138" s="109" t="str">
        <f t="shared" si="117"/>
        <v/>
      </c>
      <c r="DO138" s="109" t="str">
        <f t="shared" si="42"/>
        <v/>
      </c>
      <c r="DP138" s="110" t="str">
        <f t="shared" si="229"/>
        <v/>
      </c>
      <c r="DR138" s="108" t="str">
        <f t="shared" si="43"/>
        <v/>
      </c>
      <c r="DS138" s="109" t="str">
        <f t="shared" si="118"/>
        <v/>
      </c>
      <c r="DT138" s="109" t="str">
        <f t="shared" si="44"/>
        <v/>
      </c>
      <c r="DU138" s="110" t="str">
        <f t="shared" si="230"/>
        <v/>
      </c>
      <c r="DW138" s="108" t="str">
        <f t="shared" si="120"/>
        <v/>
      </c>
      <c r="DX138" s="109" t="str">
        <f t="shared" si="121"/>
        <v/>
      </c>
      <c r="DY138" s="109" t="str">
        <f t="shared" si="45"/>
        <v/>
      </c>
      <c r="DZ138" s="110" t="str">
        <f t="shared" si="231"/>
        <v/>
      </c>
      <c r="EB138" s="108" t="str">
        <f t="shared" si="46"/>
        <v/>
      </c>
      <c r="EC138" s="109" t="str">
        <f t="shared" si="122"/>
        <v/>
      </c>
      <c r="ED138" s="109" t="str">
        <f t="shared" si="47"/>
        <v/>
      </c>
      <c r="EE138" s="110" t="str">
        <f t="shared" si="232"/>
        <v/>
      </c>
      <c r="EG138" s="108" t="str">
        <f t="shared" si="124"/>
        <v/>
      </c>
      <c r="EH138" s="109" t="str">
        <f t="shared" si="125"/>
        <v/>
      </c>
      <c r="EI138" s="109" t="str">
        <f t="shared" si="48"/>
        <v/>
      </c>
      <c r="EJ138" s="110" t="str">
        <f t="shared" si="233"/>
        <v/>
      </c>
      <c r="EL138" s="108" t="str">
        <f t="shared" si="49"/>
        <v/>
      </c>
      <c r="EM138" s="109" t="str">
        <f t="shared" si="126"/>
        <v/>
      </c>
      <c r="EN138" s="109" t="str">
        <f t="shared" si="50"/>
        <v/>
      </c>
      <c r="EO138" s="110" t="str">
        <f t="shared" si="234"/>
        <v/>
      </c>
      <c r="EQ138" s="108" t="str">
        <f t="shared" si="128"/>
        <v/>
      </c>
      <c r="ER138" s="109" t="str">
        <f t="shared" si="129"/>
        <v/>
      </c>
      <c r="ES138" s="109" t="str">
        <f t="shared" si="51"/>
        <v/>
      </c>
      <c r="ET138" s="110" t="str">
        <f t="shared" si="235"/>
        <v/>
      </c>
      <c r="EV138" s="108" t="str">
        <f t="shared" si="52"/>
        <v/>
      </c>
      <c r="EW138" s="109" t="str">
        <f t="shared" si="130"/>
        <v/>
      </c>
      <c r="EX138" s="109" t="str">
        <f t="shared" si="53"/>
        <v/>
      </c>
      <c r="EY138" s="110" t="str">
        <f t="shared" si="236"/>
        <v/>
      </c>
      <c r="FA138" s="108" t="str">
        <f t="shared" si="132"/>
        <v/>
      </c>
      <c r="FB138" s="109" t="str">
        <f t="shared" si="133"/>
        <v/>
      </c>
      <c r="FC138" s="109" t="str">
        <f t="shared" si="54"/>
        <v/>
      </c>
      <c r="FD138" s="110" t="str">
        <f t="shared" si="237"/>
        <v/>
      </c>
      <c r="FF138" s="108" t="str">
        <f t="shared" si="55"/>
        <v/>
      </c>
      <c r="FG138" s="109" t="str">
        <f t="shared" si="134"/>
        <v/>
      </c>
      <c r="FH138" s="109" t="str">
        <f t="shared" si="56"/>
        <v/>
      </c>
      <c r="FI138" s="110" t="str">
        <f t="shared" si="238"/>
        <v/>
      </c>
      <c r="FK138" s="108" t="str">
        <f t="shared" si="136"/>
        <v/>
      </c>
      <c r="FL138" s="109" t="str">
        <f t="shared" si="137"/>
        <v/>
      </c>
      <c r="FM138" s="109" t="str">
        <f t="shared" si="57"/>
        <v/>
      </c>
      <c r="FN138" s="110" t="str">
        <f t="shared" si="239"/>
        <v/>
      </c>
      <c r="FP138" s="108" t="str">
        <f t="shared" si="58"/>
        <v/>
      </c>
      <c r="FQ138" s="109" t="str">
        <f t="shared" si="138"/>
        <v/>
      </c>
      <c r="FR138" s="109" t="str">
        <f t="shared" si="59"/>
        <v/>
      </c>
      <c r="FS138" s="110" t="str">
        <f t="shared" si="240"/>
        <v/>
      </c>
      <c r="FU138" s="108" t="str">
        <f t="shared" si="140"/>
        <v/>
      </c>
      <c r="FV138" s="109" t="str">
        <f t="shared" si="141"/>
        <v/>
      </c>
      <c r="FW138" s="109" t="str">
        <f t="shared" si="60"/>
        <v/>
      </c>
      <c r="FX138" s="110" t="str">
        <f t="shared" si="241"/>
        <v/>
      </c>
      <c r="FZ138" s="108" t="str">
        <f t="shared" si="61"/>
        <v/>
      </c>
      <c r="GA138" s="109" t="str">
        <f t="shared" si="142"/>
        <v/>
      </c>
      <c r="GB138" s="109" t="str">
        <f t="shared" si="62"/>
        <v/>
      </c>
      <c r="GC138" s="110" t="str">
        <f t="shared" si="242"/>
        <v/>
      </c>
      <c r="GE138" s="108" t="str">
        <f t="shared" si="144"/>
        <v/>
      </c>
      <c r="GF138" s="109" t="str">
        <f t="shared" si="145"/>
        <v/>
      </c>
      <c r="GG138" s="109" t="str">
        <f t="shared" si="146"/>
        <v/>
      </c>
      <c r="GH138" s="110" t="str">
        <f t="shared" si="243"/>
        <v/>
      </c>
      <c r="GL138" s="108" t="str">
        <f t="shared" si="63"/>
        <v/>
      </c>
      <c r="GM138" s="109" t="str">
        <f t="shared" si="64"/>
        <v/>
      </c>
      <c r="GN138" s="109" t="str">
        <f t="shared" si="65"/>
        <v/>
      </c>
      <c r="GO138" s="110" t="str">
        <f t="shared" si="66"/>
        <v/>
      </c>
      <c r="GP138" s="51"/>
      <c r="GQ138" s="108" t="str">
        <f t="shared" si="67"/>
        <v/>
      </c>
      <c r="GR138" s="109" t="str">
        <f t="shared" si="147"/>
        <v/>
      </c>
      <c r="GS138" s="109" t="str">
        <f t="shared" si="68"/>
        <v/>
      </c>
      <c r="GT138" s="110" t="str">
        <f t="shared" si="69"/>
        <v/>
      </c>
      <c r="GU138" s="51"/>
      <c r="GV138" s="108" t="str">
        <f t="shared" si="148"/>
        <v/>
      </c>
      <c r="GW138" s="109" t="str">
        <f t="shared" si="149"/>
        <v/>
      </c>
      <c r="GX138" s="109" t="str">
        <f t="shared" si="70"/>
        <v/>
      </c>
      <c r="GY138" s="110" t="str">
        <f t="shared" si="150"/>
        <v/>
      </c>
      <c r="GZ138" s="51"/>
      <c r="HA138" s="108" t="str">
        <f t="shared" si="71"/>
        <v/>
      </c>
      <c r="HB138" s="109" t="str">
        <f t="shared" si="151"/>
        <v/>
      </c>
      <c r="HC138" s="109" t="str">
        <f t="shared" si="72"/>
        <v/>
      </c>
      <c r="HD138" s="110" t="str">
        <f t="shared" si="193"/>
        <v/>
      </c>
      <c r="HE138" s="51"/>
      <c r="HF138" s="108" t="str">
        <f t="shared" si="152"/>
        <v/>
      </c>
      <c r="HG138" s="109" t="str">
        <f t="shared" si="153"/>
        <v/>
      </c>
      <c r="HH138" s="109" t="str">
        <f t="shared" si="73"/>
        <v/>
      </c>
      <c r="HI138" s="110" t="str">
        <f t="shared" si="154"/>
        <v/>
      </c>
      <c r="HJ138" s="51"/>
      <c r="HK138" s="108" t="str">
        <f t="shared" si="74"/>
        <v/>
      </c>
      <c r="HL138" s="109" t="str">
        <f t="shared" si="155"/>
        <v/>
      </c>
      <c r="HM138" s="109" t="str">
        <f t="shared" si="75"/>
        <v/>
      </c>
      <c r="HN138" s="110" t="str">
        <f t="shared" si="194"/>
        <v/>
      </c>
      <c r="HO138" s="51"/>
      <c r="HP138" s="108" t="str">
        <f t="shared" si="156"/>
        <v/>
      </c>
      <c r="HQ138" s="109" t="str">
        <f t="shared" si="157"/>
        <v/>
      </c>
      <c r="HR138" s="109" t="str">
        <f t="shared" si="76"/>
        <v/>
      </c>
      <c r="HS138" s="110" t="str">
        <f t="shared" si="158"/>
        <v/>
      </c>
      <c r="HT138" s="51"/>
      <c r="HU138" s="108" t="str">
        <f t="shared" si="77"/>
        <v/>
      </c>
      <c r="HV138" s="109" t="str">
        <f t="shared" si="159"/>
        <v/>
      </c>
      <c r="HW138" s="109" t="str">
        <f t="shared" si="78"/>
        <v/>
      </c>
      <c r="HX138" s="110" t="str">
        <f t="shared" si="195"/>
        <v/>
      </c>
      <c r="HY138" s="51"/>
      <c r="HZ138" s="108" t="str">
        <f t="shared" si="160"/>
        <v/>
      </c>
      <c r="IA138" s="109" t="str">
        <f t="shared" si="161"/>
        <v/>
      </c>
      <c r="IB138" s="109" t="str">
        <f t="shared" si="79"/>
        <v/>
      </c>
      <c r="IC138" s="110" t="str">
        <f t="shared" si="162"/>
        <v/>
      </c>
      <c r="ID138" s="51"/>
      <c r="IE138" s="108" t="str">
        <f t="shared" si="80"/>
        <v/>
      </c>
      <c r="IF138" s="109" t="str">
        <f t="shared" si="163"/>
        <v/>
      </c>
      <c r="IG138" s="109" t="str">
        <f t="shared" si="81"/>
        <v/>
      </c>
      <c r="IH138" s="110" t="str">
        <f t="shared" si="196"/>
        <v/>
      </c>
      <c r="II138" s="51"/>
      <c r="IJ138" s="108" t="str">
        <f t="shared" si="164"/>
        <v/>
      </c>
      <c r="IK138" s="109" t="str">
        <f t="shared" si="165"/>
        <v/>
      </c>
      <c r="IL138" s="109" t="str">
        <f t="shared" si="82"/>
        <v/>
      </c>
      <c r="IM138" s="110" t="str">
        <f t="shared" si="166"/>
        <v/>
      </c>
      <c r="IN138" s="51"/>
      <c r="IO138" s="108" t="str">
        <f t="shared" si="83"/>
        <v/>
      </c>
      <c r="IP138" s="109" t="str">
        <f t="shared" si="167"/>
        <v/>
      </c>
      <c r="IQ138" s="109" t="str">
        <f t="shared" si="84"/>
        <v/>
      </c>
      <c r="IR138" s="110" t="str">
        <f t="shared" si="197"/>
        <v/>
      </c>
      <c r="IS138" s="51"/>
      <c r="IT138" s="108" t="str">
        <f t="shared" si="168"/>
        <v/>
      </c>
      <c r="IU138" s="109" t="str">
        <f t="shared" si="169"/>
        <v/>
      </c>
      <c r="IV138" s="109" t="str">
        <f t="shared" si="85"/>
        <v/>
      </c>
      <c r="IW138" s="110" t="str">
        <f t="shared" si="170"/>
        <v/>
      </c>
      <c r="IX138" s="51"/>
      <c r="IY138" s="108" t="str">
        <f t="shared" si="86"/>
        <v/>
      </c>
      <c r="IZ138" s="109" t="str">
        <f t="shared" si="171"/>
        <v/>
      </c>
      <c r="JA138" s="109" t="str">
        <f t="shared" si="87"/>
        <v/>
      </c>
      <c r="JB138" s="110" t="str">
        <f t="shared" si="198"/>
        <v/>
      </c>
      <c r="JC138" s="51"/>
      <c r="JD138" s="108" t="str">
        <f t="shared" si="172"/>
        <v/>
      </c>
      <c r="JE138" s="109" t="str">
        <f t="shared" si="173"/>
        <v/>
      </c>
      <c r="JF138" s="109" t="str">
        <f t="shared" si="88"/>
        <v/>
      </c>
      <c r="JG138" s="110" t="str">
        <f t="shared" si="174"/>
        <v/>
      </c>
      <c r="JH138" s="51"/>
      <c r="JI138" s="108" t="str">
        <f t="shared" si="89"/>
        <v/>
      </c>
      <c r="JJ138" s="109" t="str">
        <f t="shared" si="175"/>
        <v/>
      </c>
      <c r="JK138" s="109" t="str">
        <f t="shared" si="90"/>
        <v/>
      </c>
      <c r="JL138" s="110" t="str">
        <f t="shared" si="199"/>
        <v/>
      </c>
      <c r="JM138" s="51"/>
      <c r="JN138" s="108" t="str">
        <f t="shared" si="176"/>
        <v/>
      </c>
      <c r="JO138" s="109" t="str">
        <f t="shared" si="177"/>
        <v/>
      </c>
      <c r="JP138" s="109" t="str">
        <f t="shared" si="91"/>
        <v/>
      </c>
      <c r="JQ138" s="110" t="str">
        <f t="shared" si="178"/>
        <v/>
      </c>
      <c r="JR138" s="51"/>
      <c r="JS138" s="108" t="str">
        <f t="shared" si="92"/>
        <v/>
      </c>
      <c r="JT138" s="109" t="str">
        <f t="shared" si="179"/>
        <v/>
      </c>
      <c r="JU138" s="109" t="str">
        <f t="shared" si="93"/>
        <v/>
      </c>
      <c r="JV138" s="110" t="str">
        <f t="shared" si="200"/>
        <v/>
      </c>
      <c r="JW138" s="51"/>
      <c r="JX138" s="108" t="str">
        <f t="shared" si="180"/>
        <v/>
      </c>
      <c r="JY138" s="109" t="str">
        <f t="shared" si="181"/>
        <v/>
      </c>
      <c r="JZ138" s="109" t="str">
        <f t="shared" si="94"/>
        <v/>
      </c>
      <c r="KA138" s="110" t="str">
        <f t="shared" si="95"/>
        <v/>
      </c>
    </row>
    <row r="139" spans="1:287" ht="12" customHeight="1">
      <c r="A139" s="105">
        <f t="array" ref="A139">MAX(IF($J$80:J138&gt;0,$C$80:C138,0))</f>
        <v>43536</v>
      </c>
      <c r="B139" s="81" t="str">
        <f t="shared" si="4"/>
        <v/>
      </c>
      <c r="C139" s="82">
        <f t="shared" si="182"/>
        <v>0</v>
      </c>
      <c r="D139" s="83" t="str">
        <f t="shared" si="5"/>
        <v/>
      </c>
      <c r="E139" s="83" t="str">
        <f t="shared" si="96"/>
        <v/>
      </c>
      <c r="F139" s="83" t="str">
        <f t="shared" si="6"/>
        <v/>
      </c>
      <c r="G139" s="83" t="str">
        <f t="shared" si="7"/>
        <v/>
      </c>
      <c r="H139" s="83" t="str">
        <f t="shared" si="8"/>
        <v/>
      </c>
      <c r="I139" s="105">
        <f t="array" ref="I139">MAX(IF($R$80:R138&gt;0,$L$80:L138,0))</f>
        <v>0</v>
      </c>
      <c r="J139" s="106"/>
      <c r="K139" s="2" t="str">
        <f t="shared" si="9"/>
        <v/>
      </c>
      <c r="L139" s="82">
        <f t="shared" si="183"/>
        <v>0</v>
      </c>
      <c r="M139" s="83" t="str">
        <f t="shared" si="97"/>
        <v/>
      </c>
      <c r="N139" s="83" t="str">
        <f t="shared" si="10"/>
        <v/>
      </c>
      <c r="O139" s="83" t="str">
        <f t="shared" si="11"/>
        <v/>
      </c>
      <c r="P139" s="83" t="str">
        <f t="shared" si="12"/>
        <v/>
      </c>
      <c r="Q139" s="83" t="str">
        <f t="shared" si="13"/>
        <v/>
      </c>
      <c r="R139" s="106"/>
      <c r="S139" s="1"/>
      <c r="U139" s="85" t="e">
        <f t="shared" si="0"/>
        <v>#NUM!</v>
      </c>
      <c r="V139" s="86" t="e">
        <f t="shared" si="98"/>
        <v>#NUM!</v>
      </c>
      <c r="W139" s="87" t="e">
        <f t="shared" si="14"/>
        <v>#NUM!</v>
      </c>
      <c r="X139" s="87" t="e">
        <f t="shared" si="15"/>
        <v>#NUM!</v>
      </c>
      <c r="Y139" s="87" t="e">
        <f t="shared" si="16"/>
        <v>#NUM!</v>
      </c>
      <c r="Z139" s="88" t="e">
        <f t="shared" si="1"/>
        <v>#NUM!</v>
      </c>
      <c r="AA139" t="s">
        <v>282</v>
      </c>
      <c r="AB139" s="89">
        <f t="shared" si="99"/>
        <v>0</v>
      </c>
      <c r="AC139" s="87">
        <f t="shared" si="100"/>
        <v>0</v>
      </c>
      <c r="AD139" s="87" t="str">
        <f t="shared" si="17"/>
        <v/>
      </c>
      <c r="AE139" s="87" t="str">
        <f t="shared" si="18"/>
        <v/>
      </c>
      <c r="AF139" s="86">
        <f t="shared" si="101"/>
        <v>0</v>
      </c>
      <c r="AG139" s="87">
        <f t="shared" si="2"/>
        <v>0</v>
      </c>
      <c r="AH139" s="87">
        <f t="shared" si="102"/>
        <v>0</v>
      </c>
      <c r="AI139" s="90"/>
      <c r="AJ139" s="87" t="e">
        <f t="shared" si="19"/>
        <v>#NUM!</v>
      </c>
      <c r="AK139" s="87" t="e">
        <f t="shared" si="103"/>
        <v>#NUM!</v>
      </c>
      <c r="AL139" s="87" t="e">
        <f t="shared" si="104"/>
        <v>#NUM!</v>
      </c>
      <c r="AM139" s="87" t="e">
        <f t="shared" si="105"/>
        <v>#NUM!</v>
      </c>
      <c r="AN139" s="86">
        <f t="shared" si="20"/>
        <v>0</v>
      </c>
      <c r="AO139" s="87">
        <f t="shared" si="21"/>
        <v>0</v>
      </c>
      <c r="AP139" s="88">
        <f t="shared" si="22"/>
        <v>0</v>
      </c>
      <c r="AR139" s="89">
        <f t="shared" si="23"/>
        <v>0</v>
      </c>
      <c r="AS139" s="87">
        <f t="shared" si="24"/>
        <v>0</v>
      </c>
      <c r="AT139" s="87" t="str">
        <f t="shared" si="25"/>
        <v/>
      </c>
      <c r="AU139" s="87" t="str">
        <f t="shared" si="26"/>
        <v/>
      </c>
      <c r="AV139" s="86">
        <f t="shared" si="106"/>
        <v>0</v>
      </c>
      <c r="AW139" s="87">
        <f t="shared" si="107"/>
        <v>0</v>
      </c>
      <c r="AX139" s="87">
        <f t="shared" si="108"/>
        <v>0</v>
      </c>
      <c r="AY139" s="93"/>
      <c r="AZ139" s="87">
        <f t="shared" si="201"/>
        <v>0</v>
      </c>
      <c r="BA139" s="87">
        <f t="shared" si="109"/>
        <v>0</v>
      </c>
      <c r="BB139" s="87">
        <f t="shared" si="110"/>
        <v>0</v>
      </c>
      <c r="BC139" s="87">
        <f t="shared" si="184"/>
        <v>0</v>
      </c>
      <c r="BD139" s="86" t="e">
        <f t="shared" si="27"/>
        <v>#NUM!</v>
      </c>
      <c r="BE139" s="87" t="e">
        <f t="shared" si="3"/>
        <v>#NUM!</v>
      </c>
      <c r="BF139" s="88">
        <f t="shared" si="111"/>
        <v>0</v>
      </c>
      <c r="BH139" s="87" t="e">
        <f t="shared" si="28"/>
        <v>#NUM!</v>
      </c>
      <c r="BK139" s="95">
        <v>40909</v>
      </c>
      <c r="BL139" s="96">
        <v>60</v>
      </c>
      <c r="BT139" s="117" t="s">
        <v>283</v>
      </c>
      <c r="BY139" s="107"/>
      <c r="BZ139" s="107"/>
      <c r="CA139" s="107"/>
      <c r="CB139" s="107"/>
      <c r="CC139" s="107"/>
      <c r="CD139" s="107"/>
      <c r="CE139" s="107"/>
      <c r="CF139" s="107"/>
      <c r="CG139" s="107"/>
      <c r="CS139" s="108" t="str">
        <f t="shared" si="29"/>
        <v/>
      </c>
      <c r="CT139" s="109" t="str">
        <f t="shared" si="30"/>
        <v/>
      </c>
      <c r="CU139" s="109" t="str">
        <f t="shared" si="31"/>
        <v/>
      </c>
      <c r="CV139" s="110" t="str">
        <f t="shared" si="225"/>
        <v/>
      </c>
      <c r="CX139" s="108" t="str">
        <f t="shared" si="33"/>
        <v/>
      </c>
      <c r="CY139" s="109" t="str">
        <f t="shared" si="113"/>
        <v/>
      </c>
      <c r="CZ139" s="109" t="str">
        <f t="shared" si="34"/>
        <v/>
      </c>
      <c r="DA139" s="110" t="str">
        <f t="shared" si="226"/>
        <v/>
      </c>
      <c r="DC139" s="108" t="str">
        <f t="shared" si="114"/>
        <v/>
      </c>
      <c r="DD139" s="109" t="str">
        <f t="shared" si="115"/>
        <v/>
      </c>
      <c r="DE139" s="109" t="str">
        <f t="shared" si="36"/>
        <v/>
      </c>
      <c r="DF139" s="110" t="str">
        <f t="shared" si="227"/>
        <v/>
      </c>
      <c r="DH139" s="108" t="str">
        <f t="shared" si="38"/>
        <v/>
      </c>
      <c r="DI139" s="109" t="str">
        <f t="shared" si="39"/>
        <v/>
      </c>
      <c r="DJ139" s="109" t="str">
        <f t="shared" si="40"/>
        <v/>
      </c>
      <c r="DK139" s="110" t="str">
        <f t="shared" si="228"/>
        <v/>
      </c>
      <c r="DM139" s="108" t="str">
        <f t="shared" si="116"/>
        <v/>
      </c>
      <c r="DN139" s="109" t="str">
        <f t="shared" si="117"/>
        <v/>
      </c>
      <c r="DO139" s="109" t="str">
        <f t="shared" si="42"/>
        <v/>
      </c>
      <c r="DP139" s="110" t="str">
        <f t="shared" si="229"/>
        <v/>
      </c>
      <c r="DR139" s="108" t="str">
        <f t="shared" si="43"/>
        <v/>
      </c>
      <c r="DS139" s="109" t="str">
        <f t="shared" si="118"/>
        <v/>
      </c>
      <c r="DT139" s="109" t="str">
        <f t="shared" si="44"/>
        <v/>
      </c>
      <c r="DU139" s="110" t="str">
        <f t="shared" si="230"/>
        <v/>
      </c>
      <c r="DW139" s="108" t="str">
        <f t="shared" si="120"/>
        <v/>
      </c>
      <c r="DX139" s="109" t="str">
        <f t="shared" si="121"/>
        <v/>
      </c>
      <c r="DY139" s="109" t="str">
        <f t="shared" si="45"/>
        <v/>
      </c>
      <c r="DZ139" s="110" t="str">
        <f t="shared" si="231"/>
        <v/>
      </c>
      <c r="EB139" s="108" t="str">
        <f t="shared" si="46"/>
        <v/>
      </c>
      <c r="EC139" s="109" t="str">
        <f t="shared" si="122"/>
        <v/>
      </c>
      <c r="ED139" s="109" t="str">
        <f t="shared" si="47"/>
        <v/>
      </c>
      <c r="EE139" s="110" t="str">
        <f t="shared" si="232"/>
        <v/>
      </c>
      <c r="EG139" s="108" t="str">
        <f t="shared" si="124"/>
        <v/>
      </c>
      <c r="EH139" s="109" t="str">
        <f t="shared" si="125"/>
        <v/>
      </c>
      <c r="EI139" s="109" t="str">
        <f t="shared" si="48"/>
        <v/>
      </c>
      <c r="EJ139" s="110" t="str">
        <f t="shared" si="233"/>
        <v/>
      </c>
      <c r="EL139" s="108" t="str">
        <f t="shared" si="49"/>
        <v/>
      </c>
      <c r="EM139" s="109" t="str">
        <f t="shared" si="126"/>
        <v/>
      </c>
      <c r="EN139" s="109" t="str">
        <f t="shared" si="50"/>
        <v/>
      </c>
      <c r="EO139" s="110" t="str">
        <f t="shared" si="234"/>
        <v/>
      </c>
      <c r="EQ139" s="108" t="str">
        <f t="shared" si="128"/>
        <v/>
      </c>
      <c r="ER139" s="109" t="str">
        <f t="shared" si="129"/>
        <v/>
      </c>
      <c r="ES139" s="109" t="str">
        <f t="shared" si="51"/>
        <v/>
      </c>
      <c r="ET139" s="110" t="str">
        <f t="shared" si="235"/>
        <v/>
      </c>
      <c r="EV139" s="108" t="str">
        <f t="shared" si="52"/>
        <v/>
      </c>
      <c r="EW139" s="109" t="str">
        <f t="shared" si="130"/>
        <v/>
      </c>
      <c r="EX139" s="109" t="str">
        <f t="shared" si="53"/>
        <v/>
      </c>
      <c r="EY139" s="110" t="str">
        <f t="shared" si="236"/>
        <v/>
      </c>
      <c r="FA139" s="108" t="str">
        <f t="shared" si="132"/>
        <v/>
      </c>
      <c r="FB139" s="109" t="str">
        <f t="shared" si="133"/>
        <v/>
      </c>
      <c r="FC139" s="109" t="str">
        <f t="shared" si="54"/>
        <v/>
      </c>
      <c r="FD139" s="110" t="str">
        <f t="shared" si="237"/>
        <v/>
      </c>
      <c r="FF139" s="108" t="str">
        <f t="shared" si="55"/>
        <v/>
      </c>
      <c r="FG139" s="109" t="str">
        <f t="shared" si="134"/>
        <v/>
      </c>
      <c r="FH139" s="109" t="str">
        <f t="shared" si="56"/>
        <v/>
      </c>
      <c r="FI139" s="110" t="str">
        <f t="shared" si="238"/>
        <v/>
      </c>
      <c r="FK139" s="108" t="str">
        <f t="shared" si="136"/>
        <v/>
      </c>
      <c r="FL139" s="109" t="str">
        <f t="shared" si="137"/>
        <v/>
      </c>
      <c r="FM139" s="109" t="str">
        <f t="shared" si="57"/>
        <v/>
      </c>
      <c r="FN139" s="110" t="str">
        <f t="shared" si="239"/>
        <v/>
      </c>
      <c r="FP139" s="108" t="str">
        <f t="shared" si="58"/>
        <v/>
      </c>
      <c r="FQ139" s="109" t="str">
        <f t="shared" si="138"/>
        <v/>
      </c>
      <c r="FR139" s="109" t="str">
        <f t="shared" si="59"/>
        <v/>
      </c>
      <c r="FS139" s="110" t="str">
        <f t="shared" si="240"/>
        <v/>
      </c>
      <c r="FU139" s="108" t="str">
        <f t="shared" si="140"/>
        <v/>
      </c>
      <c r="FV139" s="109" t="str">
        <f t="shared" si="141"/>
        <v/>
      </c>
      <c r="FW139" s="109" t="str">
        <f t="shared" si="60"/>
        <v/>
      </c>
      <c r="FX139" s="110" t="str">
        <f t="shared" si="241"/>
        <v/>
      </c>
      <c r="FZ139" s="108" t="str">
        <f t="shared" si="61"/>
        <v/>
      </c>
      <c r="GA139" s="109" t="str">
        <f t="shared" si="142"/>
        <v/>
      </c>
      <c r="GB139" s="109" t="str">
        <f t="shared" si="62"/>
        <v/>
      </c>
      <c r="GC139" s="110" t="str">
        <f t="shared" si="242"/>
        <v/>
      </c>
      <c r="GE139" s="108" t="str">
        <f t="shared" si="144"/>
        <v/>
      </c>
      <c r="GF139" s="109" t="str">
        <f t="shared" si="145"/>
        <v/>
      </c>
      <c r="GG139" s="109" t="str">
        <f t="shared" si="146"/>
        <v/>
      </c>
      <c r="GH139" s="110" t="str">
        <f t="shared" si="243"/>
        <v/>
      </c>
      <c r="GL139" s="108" t="str">
        <f t="shared" si="63"/>
        <v/>
      </c>
      <c r="GM139" s="109" t="str">
        <f t="shared" si="64"/>
        <v/>
      </c>
      <c r="GN139" s="109" t="str">
        <f t="shared" si="65"/>
        <v/>
      </c>
      <c r="GO139" s="110" t="str">
        <f t="shared" si="66"/>
        <v/>
      </c>
      <c r="GP139" s="51"/>
      <c r="GQ139" s="108" t="str">
        <f t="shared" si="67"/>
        <v/>
      </c>
      <c r="GR139" s="109" t="str">
        <f t="shared" si="147"/>
        <v/>
      </c>
      <c r="GS139" s="109" t="str">
        <f t="shared" si="68"/>
        <v/>
      </c>
      <c r="GT139" s="110" t="str">
        <f t="shared" si="69"/>
        <v/>
      </c>
      <c r="GU139" s="51"/>
      <c r="GV139" s="108" t="str">
        <f t="shared" si="148"/>
        <v/>
      </c>
      <c r="GW139" s="109" t="str">
        <f t="shared" si="149"/>
        <v/>
      </c>
      <c r="GX139" s="109" t="str">
        <f t="shared" si="70"/>
        <v/>
      </c>
      <c r="GY139" s="110" t="str">
        <f t="shared" si="150"/>
        <v/>
      </c>
      <c r="GZ139" s="51"/>
      <c r="HA139" s="108" t="str">
        <f t="shared" si="71"/>
        <v/>
      </c>
      <c r="HB139" s="109" t="str">
        <f t="shared" si="151"/>
        <v/>
      </c>
      <c r="HC139" s="109" t="str">
        <f t="shared" si="72"/>
        <v/>
      </c>
      <c r="HD139" s="110" t="str">
        <f t="shared" si="193"/>
        <v/>
      </c>
      <c r="HE139" s="51"/>
      <c r="HF139" s="108" t="str">
        <f t="shared" si="152"/>
        <v/>
      </c>
      <c r="HG139" s="109" t="str">
        <f t="shared" si="153"/>
        <v/>
      </c>
      <c r="HH139" s="109" t="str">
        <f t="shared" si="73"/>
        <v/>
      </c>
      <c r="HI139" s="110" t="str">
        <f t="shared" si="154"/>
        <v/>
      </c>
      <c r="HJ139" s="51"/>
      <c r="HK139" s="108" t="str">
        <f t="shared" si="74"/>
        <v/>
      </c>
      <c r="HL139" s="109" t="str">
        <f t="shared" si="155"/>
        <v/>
      </c>
      <c r="HM139" s="109" t="str">
        <f t="shared" si="75"/>
        <v/>
      </c>
      <c r="HN139" s="110" t="str">
        <f t="shared" si="194"/>
        <v/>
      </c>
      <c r="HO139" s="51"/>
      <c r="HP139" s="108" t="str">
        <f t="shared" si="156"/>
        <v/>
      </c>
      <c r="HQ139" s="109" t="str">
        <f t="shared" si="157"/>
        <v/>
      </c>
      <c r="HR139" s="109" t="str">
        <f t="shared" si="76"/>
        <v/>
      </c>
      <c r="HS139" s="110" t="str">
        <f t="shared" si="158"/>
        <v/>
      </c>
      <c r="HT139" s="51"/>
      <c r="HU139" s="108" t="str">
        <f t="shared" si="77"/>
        <v/>
      </c>
      <c r="HV139" s="109" t="str">
        <f t="shared" si="159"/>
        <v/>
      </c>
      <c r="HW139" s="109" t="str">
        <f t="shared" si="78"/>
        <v/>
      </c>
      <c r="HX139" s="110" t="str">
        <f t="shared" si="195"/>
        <v/>
      </c>
      <c r="HY139" s="51"/>
      <c r="HZ139" s="108" t="str">
        <f t="shared" si="160"/>
        <v/>
      </c>
      <c r="IA139" s="109" t="str">
        <f t="shared" si="161"/>
        <v/>
      </c>
      <c r="IB139" s="109" t="str">
        <f t="shared" si="79"/>
        <v/>
      </c>
      <c r="IC139" s="110" t="str">
        <f t="shared" si="162"/>
        <v/>
      </c>
      <c r="ID139" s="51"/>
      <c r="IE139" s="108" t="str">
        <f t="shared" si="80"/>
        <v/>
      </c>
      <c r="IF139" s="109" t="str">
        <f t="shared" si="163"/>
        <v/>
      </c>
      <c r="IG139" s="109" t="str">
        <f t="shared" si="81"/>
        <v/>
      </c>
      <c r="IH139" s="110" t="str">
        <f t="shared" si="196"/>
        <v/>
      </c>
      <c r="II139" s="51"/>
      <c r="IJ139" s="108" t="str">
        <f t="shared" si="164"/>
        <v/>
      </c>
      <c r="IK139" s="109" t="str">
        <f t="shared" si="165"/>
        <v/>
      </c>
      <c r="IL139" s="109" t="str">
        <f t="shared" si="82"/>
        <v/>
      </c>
      <c r="IM139" s="110" t="str">
        <f t="shared" si="166"/>
        <v/>
      </c>
      <c r="IN139" s="51"/>
      <c r="IO139" s="108" t="str">
        <f t="shared" si="83"/>
        <v/>
      </c>
      <c r="IP139" s="109" t="str">
        <f t="shared" si="167"/>
        <v/>
      </c>
      <c r="IQ139" s="109" t="str">
        <f t="shared" si="84"/>
        <v/>
      </c>
      <c r="IR139" s="110" t="str">
        <f t="shared" si="197"/>
        <v/>
      </c>
      <c r="IS139" s="51"/>
      <c r="IT139" s="108" t="str">
        <f t="shared" si="168"/>
        <v/>
      </c>
      <c r="IU139" s="109" t="str">
        <f t="shared" si="169"/>
        <v/>
      </c>
      <c r="IV139" s="109" t="str">
        <f t="shared" si="85"/>
        <v/>
      </c>
      <c r="IW139" s="110" t="str">
        <f t="shared" si="170"/>
        <v/>
      </c>
      <c r="IX139" s="51"/>
      <c r="IY139" s="108" t="str">
        <f t="shared" si="86"/>
        <v/>
      </c>
      <c r="IZ139" s="109" t="str">
        <f t="shared" si="171"/>
        <v/>
      </c>
      <c r="JA139" s="109" t="str">
        <f t="shared" si="87"/>
        <v/>
      </c>
      <c r="JB139" s="110" t="str">
        <f t="shared" si="198"/>
        <v/>
      </c>
      <c r="JC139" s="51"/>
      <c r="JD139" s="108" t="str">
        <f t="shared" si="172"/>
        <v/>
      </c>
      <c r="JE139" s="109" t="str">
        <f t="shared" si="173"/>
        <v/>
      </c>
      <c r="JF139" s="109" t="str">
        <f t="shared" si="88"/>
        <v/>
      </c>
      <c r="JG139" s="110" t="str">
        <f t="shared" si="174"/>
        <v/>
      </c>
      <c r="JH139" s="51"/>
      <c r="JI139" s="108" t="str">
        <f t="shared" si="89"/>
        <v/>
      </c>
      <c r="JJ139" s="109" t="str">
        <f t="shared" si="175"/>
        <v/>
      </c>
      <c r="JK139" s="109" t="str">
        <f t="shared" si="90"/>
        <v/>
      </c>
      <c r="JL139" s="110" t="str">
        <f t="shared" si="199"/>
        <v/>
      </c>
      <c r="JM139" s="51"/>
      <c r="JN139" s="108" t="str">
        <f t="shared" si="176"/>
        <v/>
      </c>
      <c r="JO139" s="109" t="str">
        <f t="shared" si="177"/>
        <v/>
      </c>
      <c r="JP139" s="109" t="str">
        <f t="shared" si="91"/>
        <v/>
      </c>
      <c r="JQ139" s="110" t="str">
        <f t="shared" si="178"/>
        <v/>
      </c>
      <c r="JR139" s="51"/>
      <c r="JS139" s="108" t="str">
        <f t="shared" si="92"/>
        <v/>
      </c>
      <c r="JT139" s="109" t="str">
        <f t="shared" si="179"/>
        <v/>
      </c>
      <c r="JU139" s="109" t="str">
        <f t="shared" si="93"/>
        <v/>
      </c>
      <c r="JV139" s="110" t="str">
        <f t="shared" si="200"/>
        <v/>
      </c>
      <c r="JW139" s="51"/>
      <c r="JX139" s="108" t="str">
        <f t="shared" si="180"/>
        <v/>
      </c>
      <c r="JY139" s="109" t="str">
        <f t="shared" si="181"/>
        <v/>
      </c>
      <c r="JZ139" s="109" t="str">
        <f t="shared" si="94"/>
        <v/>
      </c>
      <c r="KA139" s="110" t="str">
        <f t="shared" si="95"/>
        <v/>
      </c>
    </row>
    <row r="140" spans="1:287" ht="12" customHeight="1">
      <c r="A140" s="105">
        <f t="array" ref="A140">MAX(IF($J$80:J139&gt;0,$C$80:C139,0))</f>
        <v>43536</v>
      </c>
      <c r="B140" s="81" t="str">
        <f t="shared" si="4"/>
        <v/>
      </c>
      <c r="C140" s="82">
        <f t="shared" si="182"/>
        <v>0</v>
      </c>
      <c r="D140" s="83" t="str">
        <f t="shared" si="5"/>
        <v/>
      </c>
      <c r="E140" s="83" t="str">
        <f t="shared" si="96"/>
        <v/>
      </c>
      <c r="F140" s="83" t="str">
        <f t="shared" si="6"/>
        <v/>
      </c>
      <c r="G140" s="83" t="str">
        <f t="shared" si="7"/>
        <v/>
      </c>
      <c r="H140" s="83" t="str">
        <f t="shared" si="8"/>
        <v/>
      </c>
      <c r="I140" s="105">
        <f t="array" ref="I140">MAX(IF($R$80:R139&gt;0,$L$80:L139,0))</f>
        <v>0</v>
      </c>
      <c r="J140" s="106"/>
      <c r="K140" s="2" t="str">
        <f t="shared" si="9"/>
        <v/>
      </c>
      <c r="L140" s="82">
        <f t="shared" si="183"/>
        <v>0</v>
      </c>
      <c r="M140" s="83" t="str">
        <f t="shared" si="97"/>
        <v/>
      </c>
      <c r="N140" s="83" t="str">
        <f t="shared" si="10"/>
        <v/>
      </c>
      <c r="O140" s="83" t="str">
        <f t="shared" si="11"/>
        <v/>
      </c>
      <c r="P140" s="83" t="str">
        <f t="shared" si="12"/>
        <v/>
      </c>
      <c r="Q140" s="83" t="str">
        <f t="shared" si="13"/>
        <v/>
      </c>
      <c r="R140" s="106"/>
      <c r="S140" s="1"/>
      <c r="U140" s="85" t="e">
        <f t="shared" si="0"/>
        <v>#NUM!</v>
      </c>
      <c r="V140" s="86" t="e">
        <f t="shared" si="98"/>
        <v>#NUM!</v>
      </c>
      <c r="W140" s="87" t="e">
        <f t="shared" si="14"/>
        <v>#NUM!</v>
      </c>
      <c r="X140" s="87" t="e">
        <f t="shared" si="15"/>
        <v>#NUM!</v>
      </c>
      <c r="Y140" s="87" t="e">
        <f t="shared" si="16"/>
        <v>#NUM!</v>
      </c>
      <c r="Z140" s="88" t="e">
        <f t="shared" si="1"/>
        <v>#NUM!</v>
      </c>
      <c r="AA140" t="s">
        <v>282</v>
      </c>
      <c r="AB140" s="89">
        <f t="shared" si="99"/>
        <v>0</v>
      </c>
      <c r="AC140" s="87">
        <f t="shared" si="100"/>
        <v>0</v>
      </c>
      <c r="AD140" s="87" t="str">
        <f t="shared" si="17"/>
        <v/>
      </c>
      <c r="AE140" s="87" t="str">
        <f t="shared" si="18"/>
        <v/>
      </c>
      <c r="AF140" s="86">
        <f t="shared" si="101"/>
        <v>0</v>
      </c>
      <c r="AG140" s="87">
        <f t="shared" si="2"/>
        <v>0</v>
      </c>
      <c r="AH140" s="87">
        <f t="shared" si="102"/>
        <v>0</v>
      </c>
      <c r="AI140" s="90"/>
      <c r="AJ140" s="87" t="e">
        <f t="shared" si="19"/>
        <v>#NUM!</v>
      </c>
      <c r="AK140" s="87" t="e">
        <f t="shared" si="103"/>
        <v>#NUM!</v>
      </c>
      <c r="AL140" s="87" t="e">
        <f t="shared" si="104"/>
        <v>#NUM!</v>
      </c>
      <c r="AM140" s="87" t="e">
        <f t="shared" si="105"/>
        <v>#NUM!</v>
      </c>
      <c r="AN140" s="86">
        <f t="shared" si="20"/>
        <v>0</v>
      </c>
      <c r="AO140" s="87">
        <f t="shared" si="21"/>
        <v>0</v>
      </c>
      <c r="AP140" s="88">
        <f t="shared" si="22"/>
        <v>0</v>
      </c>
      <c r="AR140" s="89">
        <f t="shared" si="23"/>
        <v>0</v>
      </c>
      <c r="AS140" s="87">
        <f t="shared" si="24"/>
        <v>0</v>
      </c>
      <c r="AT140" s="87" t="str">
        <f t="shared" si="25"/>
        <v/>
      </c>
      <c r="AU140" s="87" t="str">
        <f t="shared" si="26"/>
        <v/>
      </c>
      <c r="AV140" s="86">
        <f t="shared" si="106"/>
        <v>0</v>
      </c>
      <c r="AW140" s="87">
        <f t="shared" si="107"/>
        <v>0</v>
      </c>
      <c r="AX140" s="87">
        <f t="shared" si="108"/>
        <v>0</v>
      </c>
      <c r="AY140" s="93"/>
      <c r="AZ140" s="87">
        <f t="shared" si="201"/>
        <v>0</v>
      </c>
      <c r="BA140" s="87">
        <f t="shared" si="109"/>
        <v>0</v>
      </c>
      <c r="BB140" s="87">
        <f t="shared" si="110"/>
        <v>0</v>
      </c>
      <c r="BC140" s="87">
        <f t="shared" si="184"/>
        <v>0</v>
      </c>
      <c r="BD140" s="86" t="e">
        <f t="shared" si="27"/>
        <v>#NUM!</v>
      </c>
      <c r="BE140" s="87" t="e">
        <f t="shared" si="3"/>
        <v>#NUM!</v>
      </c>
      <c r="BF140" s="88">
        <f t="shared" si="111"/>
        <v>0</v>
      </c>
      <c r="BH140" s="87" t="e">
        <f t="shared" si="28"/>
        <v>#NUM!</v>
      </c>
      <c r="BK140" s="95">
        <v>40910</v>
      </c>
      <c r="BL140" s="96">
        <v>61</v>
      </c>
      <c r="BT140" s="100" t="s">
        <v>144</v>
      </c>
      <c r="BV140" s="41">
        <v>0</v>
      </c>
      <c r="BW140" s="30" t="s">
        <v>497</v>
      </c>
      <c r="BX140" s="30" t="s">
        <v>497</v>
      </c>
      <c r="BY140" s="30" t="s">
        <v>497</v>
      </c>
      <c r="BZ140" s="30" t="s">
        <v>497</v>
      </c>
      <c r="CA140" s="30" t="s">
        <v>497</v>
      </c>
      <c r="CB140" s="30" t="s">
        <v>497</v>
      </c>
      <c r="CC140" s="30" t="s">
        <v>497</v>
      </c>
      <c r="CD140" s="30" t="s">
        <v>497</v>
      </c>
      <c r="CE140" s="30" t="s">
        <v>497</v>
      </c>
      <c r="CF140" s="41">
        <v>0</v>
      </c>
      <c r="CG140" s="41">
        <v>0</v>
      </c>
      <c r="CS140" s="108" t="str">
        <f t="shared" si="29"/>
        <v/>
      </c>
      <c r="CT140" s="109" t="str">
        <f t="shared" si="30"/>
        <v/>
      </c>
      <c r="CU140" s="109" t="str">
        <f t="shared" si="31"/>
        <v/>
      </c>
      <c r="CV140" s="110" t="str">
        <f t="shared" si="225"/>
        <v/>
      </c>
      <c r="CX140" s="108" t="str">
        <f t="shared" si="33"/>
        <v/>
      </c>
      <c r="CY140" s="109" t="str">
        <f t="shared" si="113"/>
        <v/>
      </c>
      <c r="CZ140" s="109" t="str">
        <f t="shared" si="34"/>
        <v/>
      </c>
      <c r="DA140" s="110" t="str">
        <f t="shared" si="226"/>
        <v/>
      </c>
      <c r="DC140" s="108" t="str">
        <f t="shared" si="114"/>
        <v/>
      </c>
      <c r="DD140" s="109" t="str">
        <f t="shared" si="115"/>
        <v/>
      </c>
      <c r="DE140" s="109" t="str">
        <f t="shared" si="36"/>
        <v/>
      </c>
      <c r="DF140" s="110" t="str">
        <f t="shared" si="227"/>
        <v/>
      </c>
      <c r="DH140" s="108" t="str">
        <f t="shared" si="38"/>
        <v/>
      </c>
      <c r="DI140" s="109" t="str">
        <f t="shared" si="39"/>
        <v/>
      </c>
      <c r="DJ140" s="109" t="str">
        <f t="shared" si="40"/>
        <v/>
      </c>
      <c r="DK140" s="110" t="str">
        <f t="shared" si="228"/>
        <v/>
      </c>
      <c r="DM140" s="108" t="str">
        <f t="shared" si="116"/>
        <v/>
      </c>
      <c r="DN140" s="109" t="str">
        <f t="shared" si="117"/>
        <v/>
      </c>
      <c r="DO140" s="109" t="str">
        <f t="shared" si="42"/>
        <v/>
      </c>
      <c r="DP140" s="110" t="str">
        <f t="shared" si="229"/>
        <v/>
      </c>
      <c r="DR140" s="108" t="str">
        <f t="shared" si="43"/>
        <v/>
      </c>
      <c r="DS140" s="109" t="str">
        <f t="shared" si="118"/>
        <v/>
      </c>
      <c r="DT140" s="109" t="str">
        <f t="shared" si="44"/>
        <v/>
      </c>
      <c r="DU140" s="110" t="str">
        <f t="shared" si="230"/>
        <v/>
      </c>
      <c r="DW140" s="108" t="str">
        <f t="shared" si="120"/>
        <v/>
      </c>
      <c r="DX140" s="109" t="str">
        <f t="shared" si="121"/>
        <v/>
      </c>
      <c r="DY140" s="109" t="str">
        <f t="shared" si="45"/>
        <v/>
      </c>
      <c r="DZ140" s="110" t="str">
        <f t="shared" si="231"/>
        <v/>
      </c>
      <c r="EB140" s="108" t="str">
        <f t="shared" si="46"/>
        <v/>
      </c>
      <c r="EC140" s="109" t="str">
        <f t="shared" si="122"/>
        <v/>
      </c>
      <c r="ED140" s="109" t="str">
        <f t="shared" si="47"/>
        <v/>
      </c>
      <c r="EE140" s="110" t="str">
        <f t="shared" si="232"/>
        <v/>
      </c>
      <c r="EG140" s="108" t="str">
        <f t="shared" si="124"/>
        <v/>
      </c>
      <c r="EH140" s="109" t="str">
        <f t="shared" si="125"/>
        <v/>
      </c>
      <c r="EI140" s="109" t="str">
        <f t="shared" si="48"/>
        <v/>
      </c>
      <c r="EJ140" s="110" t="str">
        <f t="shared" si="233"/>
        <v/>
      </c>
      <c r="EL140" s="108" t="str">
        <f t="shared" si="49"/>
        <v/>
      </c>
      <c r="EM140" s="109" t="str">
        <f t="shared" si="126"/>
        <v/>
      </c>
      <c r="EN140" s="109" t="str">
        <f t="shared" si="50"/>
        <v/>
      </c>
      <c r="EO140" s="110" t="str">
        <f t="shared" si="234"/>
        <v/>
      </c>
      <c r="EQ140" s="108" t="str">
        <f t="shared" si="128"/>
        <v/>
      </c>
      <c r="ER140" s="109" t="str">
        <f t="shared" si="129"/>
        <v/>
      </c>
      <c r="ES140" s="109" t="str">
        <f t="shared" si="51"/>
        <v/>
      </c>
      <c r="ET140" s="110" t="str">
        <f t="shared" si="235"/>
        <v/>
      </c>
      <c r="EV140" s="108" t="str">
        <f t="shared" si="52"/>
        <v/>
      </c>
      <c r="EW140" s="109" t="str">
        <f t="shared" si="130"/>
        <v/>
      </c>
      <c r="EX140" s="109" t="str">
        <f t="shared" si="53"/>
        <v/>
      </c>
      <c r="EY140" s="110" t="str">
        <f t="shared" si="236"/>
        <v/>
      </c>
      <c r="FA140" s="108" t="str">
        <f t="shared" si="132"/>
        <v/>
      </c>
      <c r="FB140" s="109" t="str">
        <f t="shared" si="133"/>
        <v/>
      </c>
      <c r="FC140" s="109" t="str">
        <f t="shared" si="54"/>
        <v/>
      </c>
      <c r="FD140" s="110" t="str">
        <f t="shared" si="237"/>
        <v/>
      </c>
      <c r="FF140" s="108" t="str">
        <f t="shared" si="55"/>
        <v/>
      </c>
      <c r="FG140" s="109" t="str">
        <f t="shared" si="134"/>
        <v/>
      </c>
      <c r="FH140" s="109" t="str">
        <f t="shared" si="56"/>
        <v/>
      </c>
      <c r="FI140" s="110" t="str">
        <f t="shared" si="238"/>
        <v/>
      </c>
      <c r="FK140" s="108" t="str">
        <f t="shared" si="136"/>
        <v/>
      </c>
      <c r="FL140" s="109" t="str">
        <f t="shared" si="137"/>
        <v/>
      </c>
      <c r="FM140" s="109" t="str">
        <f t="shared" si="57"/>
        <v/>
      </c>
      <c r="FN140" s="110" t="str">
        <f t="shared" si="239"/>
        <v/>
      </c>
      <c r="FP140" s="108" t="str">
        <f t="shared" si="58"/>
        <v/>
      </c>
      <c r="FQ140" s="109" t="str">
        <f t="shared" si="138"/>
        <v/>
      </c>
      <c r="FR140" s="109" t="str">
        <f t="shared" si="59"/>
        <v/>
      </c>
      <c r="FS140" s="110" t="str">
        <f t="shared" si="240"/>
        <v/>
      </c>
      <c r="FU140" s="108" t="str">
        <f t="shared" si="140"/>
        <v/>
      </c>
      <c r="FV140" s="109" t="str">
        <f t="shared" si="141"/>
        <v/>
      </c>
      <c r="FW140" s="109" t="str">
        <f t="shared" si="60"/>
        <v/>
      </c>
      <c r="FX140" s="110" t="str">
        <f t="shared" si="241"/>
        <v/>
      </c>
      <c r="FZ140" s="108" t="str">
        <f t="shared" si="61"/>
        <v/>
      </c>
      <c r="GA140" s="109" t="str">
        <f t="shared" si="142"/>
        <v/>
      </c>
      <c r="GB140" s="109" t="str">
        <f t="shared" si="62"/>
        <v/>
      </c>
      <c r="GC140" s="110" t="str">
        <f t="shared" si="242"/>
        <v/>
      </c>
      <c r="GE140" s="108" t="str">
        <f t="shared" si="144"/>
        <v/>
      </c>
      <c r="GF140" s="109" t="str">
        <f t="shared" si="145"/>
        <v/>
      </c>
      <c r="GG140" s="109" t="str">
        <f t="shared" si="146"/>
        <v/>
      </c>
      <c r="GH140" s="110" t="str">
        <f t="shared" si="243"/>
        <v/>
      </c>
      <c r="GL140" s="108" t="str">
        <f t="shared" si="63"/>
        <v/>
      </c>
      <c r="GM140" s="109" t="str">
        <f t="shared" si="64"/>
        <v/>
      </c>
      <c r="GN140" s="109" t="str">
        <f t="shared" si="65"/>
        <v/>
      </c>
      <c r="GO140" s="110" t="str">
        <f t="shared" si="66"/>
        <v/>
      </c>
      <c r="GP140" s="51"/>
      <c r="GQ140" s="108" t="str">
        <f t="shared" si="67"/>
        <v/>
      </c>
      <c r="GR140" s="109" t="str">
        <f t="shared" si="147"/>
        <v/>
      </c>
      <c r="GS140" s="109" t="str">
        <f t="shared" si="68"/>
        <v/>
      </c>
      <c r="GT140" s="110" t="str">
        <f t="shared" si="69"/>
        <v/>
      </c>
      <c r="GU140" s="51"/>
      <c r="GV140" s="108" t="str">
        <f t="shared" si="148"/>
        <v/>
      </c>
      <c r="GW140" s="109" t="str">
        <f t="shared" si="149"/>
        <v/>
      </c>
      <c r="GX140" s="109" t="str">
        <f t="shared" si="70"/>
        <v/>
      </c>
      <c r="GY140" s="110" t="str">
        <f t="shared" si="150"/>
        <v/>
      </c>
      <c r="GZ140" s="51"/>
      <c r="HA140" s="108" t="str">
        <f t="shared" si="71"/>
        <v/>
      </c>
      <c r="HB140" s="109" t="str">
        <f t="shared" si="151"/>
        <v/>
      </c>
      <c r="HC140" s="109" t="str">
        <f t="shared" si="72"/>
        <v/>
      </c>
      <c r="HD140" s="110" t="str">
        <f t="shared" si="193"/>
        <v/>
      </c>
      <c r="HE140" s="51"/>
      <c r="HF140" s="108" t="str">
        <f t="shared" si="152"/>
        <v/>
      </c>
      <c r="HG140" s="109" t="str">
        <f t="shared" si="153"/>
        <v/>
      </c>
      <c r="HH140" s="109" t="str">
        <f t="shared" si="73"/>
        <v/>
      </c>
      <c r="HI140" s="110" t="str">
        <f t="shared" si="154"/>
        <v/>
      </c>
      <c r="HJ140" s="51"/>
      <c r="HK140" s="108" t="str">
        <f t="shared" si="74"/>
        <v/>
      </c>
      <c r="HL140" s="109" t="str">
        <f t="shared" si="155"/>
        <v/>
      </c>
      <c r="HM140" s="109" t="str">
        <f t="shared" si="75"/>
        <v/>
      </c>
      <c r="HN140" s="110" t="str">
        <f t="shared" si="194"/>
        <v/>
      </c>
      <c r="HO140" s="51"/>
      <c r="HP140" s="108" t="str">
        <f t="shared" si="156"/>
        <v/>
      </c>
      <c r="HQ140" s="109" t="str">
        <f t="shared" si="157"/>
        <v/>
      </c>
      <c r="HR140" s="109" t="str">
        <f t="shared" si="76"/>
        <v/>
      </c>
      <c r="HS140" s="110" t="str">
        <f t="shared" si="158"/>
        <v/>
      </c>
      <c r="HT140" s="51"/>
      <c r="HU140" s="108" t="str">
        <f t="shared" si="77"/>
        <v/>
      </c>
      <c r="HV140" s="109" t="str">
        <f t="shared" si="159"/>
        <v/>
      </c>
      <c r="HW140" s="109" t="str">
        <f t="shared" si="78"/>
        <v/>
      </c>
      <c r="HX140" s="110" t="str">
        <f t="shared" si="195"/>
        <v/>
      </c>
      <c r="HY140" s="51"/>
      <c r="HZ140" s="108" t="str">
        <f t="shared" si="160"/>
        <v/>
      </c>
      <c r="IA140" s="109" t="str">
        <f t="shared" si="161"/>
        <v/>
      </c>
      <c r="IB140" s="109" t="str">
        <f t="shared" si="79"/>
        <v/>
      </c>
      <c r="IC140" s="110" t="str">
        <f t="shared" si="162"/>
        <v/>
      </c>
      <c r="ID140" s="51"/>
      <c r="IE140" s="108" t="str">
        <f t="shared" si="80"/>
        <v/>
      </c>
      <c r="IF140" s="109" t="str">
        <f t="shared" si="163"/>
        <v/>
      </c>
      <c r="IG140" s="109" t="str">
        <f t="shared" si="81"/>
        <v/>
      </c>
      <c r="IH140" s="110" t="str">
        <f t="shared" si="196"/>
        <v/>
      </c>
      <c r="II140" s="51"/>
      <c r="IJ140" s="108" t="str">
        <f t="shared" si="164"/>
        <v/>
      </c>
      <c r="IK140" s="109" t="str">
        <f t="shared" si="165"/>
        <v/>
      </c>
      <c r="IL140" s="109" t="str">
        <f t="shared" si="82"/>
        <v/>
      </c>
      <c r="IM140" s="110" t="str">
        <f t="shared" si="166"/>
        <v/>
      </c>
      <c r="IN140" s="51"/>
      <c r="IO140" s="108" t="str">
        <f t="shared" si="83"/>
        <v/>
      </c>
      <c r="IP140" s="109" t="str">
        <f t="shared" si="167"/>
        <v/>
      </c>
      <c r="IQ140" s="109" t="str">
        <f t="shared" si="84"/>
        <v/>
      </c>
      <c r="IR140" s="110" t="str">
        <f t="shared" si="197"/>
        <v/>
      </c>
      <c r="IS140" s="51"/>
      <c r="IT140" s="108" t="str">
        <f t="shared" si="168"/>
        <v/>
      </c>
      <c r="IU140" s="109" t="str">
        <f t="shared" si="169"/>
        <v/>
      </c>
      <c r="IV140" s="109" t="str">
        <f t="shared" si="85"/>
        <v/>
      </c>
      <c r="IW140" s="110" t="str">
        <f t="shared" si="170"/>
        <v/>
      </c>
      <c r="IX140" s="51"/>
      <c r="IY140" s="108" t="str">
        <f t="shared" si="86"/>
        <v/>
      </c>
      <c r="IZ140" s="109" t="str">
        <f t="shared" si="171"/>
        <v/>
      </c>
      <c r="JA140" s="109" t="str">
        <f t="shared" si="87"/>
        <v/>
      </c>
      <c r="JB140" s="110" t="str">
        <f t="shared" si="198"/>
        <v/>
      </c>
      <c r="JC140" s="51"/>
      <c r="JD140" s="108" t="str">
        <f t="shared" si="172"/>
        <v/>
      </c>
      <c r="JE140" s="109" t="str">
        <f t="shared" si="173"/>
        <v/>
      </c>
      <c r="JF140" s="109" t="str">
        <f t="shared" si="88"/>
        <v/>
      </c>
      <c r="JG140" s="110" t="str">
        <f t="shared" si="174"/>
        <v/>
      </c>
      <c r="JH140" s="51"/>
      <c r="JI140" s="108" t="str">
        <f t="shared" si="89"/>
        <v/>
      </c>
      <c r="JJ140" s="109" t="str">
        <f t="shared" si="175"/>
        <v/>
      </c>
      <c r="JK140" s="109" t="str">
        <f t="shared" si="90"/>
        <v/>
      </c>
      <c r="JL140" s="110" t="str">
        <f t="shared" si="199"/>
        <v/>
      </c>
      <c r="JM140" s="51"/>
      <c r="JN140" s="108" t="str">
        <f t="shared" si="176"/>
        <v/>
      </c>
      <c r="JO140" s="109" t="str">
        <f t="shared" si="177"/>
        <v/>
      </c>
      <c r="JP140" s="109" t="str">
        <f t="shared" si="91"/>
        <v/>
      </c>
      <c r="JQ140" s="110" t="str">
        <f t="shared" si="178"/>
        <v/>
      </c>
      <c r="JR140" s="51"/>
      <c r="JS140" s="108" t="str">
        <f t="shared" si="92"/>
        <v/>
      </c>
      <c r="JT140" s="109" t="str">
        <f t="shared" si="179"/>
        <v/>
      </c>
      <c r="JU140" s="109" t="str">
        <f t="shared" si="93"/>
        <v/>
      </c>
      <c r="JV140" s="110" t="str">
        <f t="shared" si="200"/>
        <v/>
      </c>
      <c r="JW140" s="51"/>
      <c r="JX140" s="108" t="str">
        <f t="shared" si="180"/>
        <v/>
      </c>
      <c r="JY140" s="109" t="str">
        <f t="shared" si="181"/>
        <v/>
      </c>
      <c r="JZ140" s="109" t="str">
        <f t="shared" si="94"/>
        <v/>
      </c>
      <c r="KA140" s="110" t="str">
        <f t="shared" si="95"/>
        <v/>
      </c>
    </row>
    <row r="141" spans="1:287" ht="12" customHeight="1">
      <c r="A141" s="105">
        <f t="array" ref="A141">MAX(IF($J$80:J140&gt;0,$C$80:C140,0))</f>
        <v>43536</v>
      </c>
      <c r="B141" s="81" t="str">
        <f t="shared" si="4"/>
        <v/>
      </c>
      <c r="C141" s="82">
        <f t="shared" si="182"/>
        <v>0</v>
      </c>
      <c r="D141" s="83" t="str">
        <f t="shared" si="5"/>
        <v/>
      </c>
      <c r="E141" s="83" t="str">
        <f t="shared" si="96"/>
        <v/>
      </c>
      <c r="F141" s="83" t="str">
        <f t="shared" si="6"/>
        <v/>
      </c>
      <c r="G141" s="83" t="str">
        <f t="shared" si="7"/>
        <v/>
      </c>
      <c r="H141" s="83" t="str">
        <f t="shared" si="8"/>
        <v/>
      </c>
      <c r="I141" s="105">
        <f t="array" ref="I141">MAX(IF($R$80:R140&gt;0,$L$80:L140,0))</f>
        <v>0</v>
      </c>
      <c r="J141" s="106"/>
      <c r="K141" s="2" t="str">
        <f t="shared" si="9"/>
        <v/>
      </c>
      <c r="L141" s="82">
        <f t="shared" si="183"/>
        <v>0</v>
      </c>
      <c r="M141" s="83" t="str">
        <f t="shared" si="97"/>
        <v/>
      </c>
      <c r="N141" s="83" t="str">
        <f t="shared" si="10"/>
        <v/>
      </c>
      <c r="O141" s="83" t="str">
        <f t="shared" si="11"/>
        <v/>
      </c>
      <c r="P141" s="83" t="str">
        <f t="shared" si="12"/>
        <v/>
      </c>
      <c r="Q141" s="83" t="str">
        <f t="shared" si="13"/>
        <v/>
      </c>
      <c r="R141" s="106"/>
      <c r="S141" s="1"/>
      <c r="U141" s="85" t="e">
        <f t="shared" si="0"/>
        <v>#NUM!</v>
      </c>
      <c r="V141" s="86" t="e">
        <f t="shared" si="98"/>
        <v>#NUM!</v>
      </c>
      <c r="W141" s="87" t="e">
        <f t="shared" si="14"/>
        <v>#NUM!</v>
      </c>
      <c r="X141" s="87" t="e">
        <f t="shared" si="15"/>
        <v>#NUM!</v>
      </c>
      <c r="Y141" s="87" t="e">
        <f t="shared" si="16"/>
        <v>#NUM!</v>
      </c>
      <c r="Z141" s="88" t="e">
        <f t="shared" si="1"/>
        <v>#NUM!</v>
      </c>
      <c r="AA141" t="s">
        <v>282</v>
      </c>
      <c r="AB141" s="89">
        <f t="shared" si="99"/>
        <v>0</v>
      </c>
      <c r="AC141" s="87">
        <f t="shared" si="100"/>
        <v>0</v>
      </c>
      <c r="AD141" s="87" t="str">
        <f t="shared" si="17"/>
        <v/>
      </c>
      <c r="AE141" s="87" t="str">
        <f t="shared" si="18"/>
        <v/>
      </c>
      <c r="AF141" s="86">
        <f t="shared" si="101"/>
        <v>0</v>
      </c>
      <c r="AG141" s="87">
        <f t="shared" si="2"/>
        <v>0</v>
      </c>
      <c r="AH141" s="87">
        <f t="shared" si="102"/>
        <v>0</v>
      </c>
      <c r="AI141" s="90"/>
      <c r="AJ141" s="87" t="e">
        <f t="shared" si="19"/>
        <v>#NUM!</v>
      </c>
      <c r="AK141" s="87" t="e">
        <f t="shared" si="103"/>
        <v>#NUM!</v>
      </c>
      <c r="AL141" s="87" t="e">
        <f t="shared" si="104"/>
        <v>#NUM!</v>
      </c>
      <c r="AM141" s="87" t="e">
        <f t="shared" si="105"/>
        <v>#NUM!</v>
      </c>
      <c r="AN141" s="86">
        <f t="shared" si="20"/>
        <v>0</v>
      </c>
      <c r="AO141" s="87">
        <f t="shared" si="21"/>
        <v>0</v>
      </c>
      <c r="AP141" s="88">
        <f t="shared" si="22"/>
        <v>0</v>
      </c>
      <c r="AR141" s="89">
        <f t="shared" si="23"/>
        <v>0</v>
      </c>
      <c r="AS141" s="87">
        <f t="shared" si="24"/>
        <v>0</v>
      </c>
      <c r="AT141" s="87" t="str">
        <f t="shared" si="25"/>
        <v/>
      </c>
      <c r="AU141" s="87" t="str">
        <f t="shared" si="26"/>
        <v/>
      </c>
      <c r="AV141" s="86">
        <f t="shared" si="106"/>
        <v>0</v>
      </c>
      <c r="AW141" s="87">
        <f t="shared" si="107"/>
        <v>0</v>
      </c>
      <c r="AX141" s="87">
        <f t="shared" si="108"/>
        <v>0</v>
      </c>
      <c r="AY141" s="93"/>
      <c r="AZ141" s="87">
        <f t="shared" si="201"/>
        <v>0</v>
      </c>
      <c r="BA141" s="87">
        <f t="shared" si="109"/>
        <v>0</v>
      </c>
      <c r="BB141" s="87">
        <f t="shared" si="110"/>
        <v>0</v>
      </c>
      <c r="BC141" s="87">
        <f t="shared" si="184"/>
        <v>0</v>
      </c>
      <c r="BD141" s="86" t="e">
        <f t="shared" si="27"/>
        <v>#NUM!</v>
      </c>
      <c r="BE141" s="87" t="e">
        <f t="shared" si="3"/>
        <v>#NUM!</v>
      </c>
      <c r="BF141" s="88">
        <f t="shared" si="111"/>
        <v>0</v>
      </c>
      <c r="BH141" s="87" t="e">
        <f t="shared" si="28"/>
        <v>#NUM!</v>
      </c>
      <c r="BK141" s="95">
        <v>40915</v>
      </c>
      <c r="BL141" s="96">
        <v>62</v>
      </c>
      <c r="BT141" s="100" t="s">
        <v>183</v>
      </c>
      <c r="BV141" s="41">
        <v>0</v>
      </c>
      <c r="BW141" s="30" t="s">
        <v>497</v>
      </c>
      <c r="BX141" s="30" t="s">
        <v>497</v>
      </c>
      <c r="BY141" s="30" t="s">
        <v>497</v>
      </c>
      <c r="BZ141" s="30" t="s">
        <v>497</v>
      </c>
      <c r="CA141" s="30" t="s">
        <v>497</v>
      </c>
      <c r="CB141" s="30" t="s">
        <v>497</v>
      </c>
      <c r="CC141" s="30" t="s">
        <v>497</v>
      </c>
      <c r="CD141" s="30" t="s">
        <v>497</v>
      </c>
      <c r="CE141" s="30" t="s">
        <v>497</v>
      </c>
      <c r="CF141" s="41">
        <v>0</v>
      </c>
      <c r="CG141" s="41">
        <v>0</v>
      </c>
      <c r="CS141" s="108" t="str">
        <f t="shared" si="29"/>
        <v/>
      </c>
      <c r="CT141" s="109" t="str">
        <f t="shared" si="30"/>
        <v/>
      </c>
      <c r="CU141" s="109" t="str">
        <f t="shared" si="31"/>
        <v/>
      </c>
      <c r="CV141" s="110" t="str">
        <f t="shared" si="225"/>
        <v/>
      </c>
      <c r="CX141" s="108" t="str">
        <f t="shared" si="33"/>
        <v/>
      </c>
      <c r="CY141" s="109" t="str">
        <f t="shared" si="113"/>
        <v/>
      </c>
      <c r="CZ141" s="109" t="str">
        <f t="shared" si="34"/>
        <v/>
      </c>
      <c r="DA141" s="110" t="str">
        <f t="shared" si="226"/>
        <v/>
      </c>
      <c r="DC141" s="108" t="str">
        <f t="shared" si="114"/>
        <v/>
      </c>
      <c r="DD141" s="109" t="str">
        <f t="shared" si="115"/>
        <v/>
      </c>
      <c r="DE141" s="109" t="str">
        <f t="shared" si="36"/>
        <v/>
      </c>
      <c r="DF141" s="110" t="str">
        <f t="shared" si="227"/>
        <v/>
      </c>
      <c r="DH141" s="108" t="str">
        <f t="shared" si="38"/>
        <v/>
      </c>
      <c r="DI141" s="109" t="str">
        <f t="shared" si="39"/>
        <v/>
      </c>
      <c r="DJ141" s="109" t="str">
        <f t="shared" si="40"/>
        <v/>
      </c>
      <c r="DK141" s="110" t="str">
        <f t="shared" si="228"/>
        <v/>
      </c>
      <c r="DM141" s="108" t="str">
        <f t="shared" si="116"/>
        <v/>
      </c>
      <c r="DN141" s="109" t="str">
        <f t="shared" si="117"/>
        <v/>
      </c>
      <c r="DO141" s="109" t="str">
        <f t="shared" si="42"/>
        <v/>
      </c>
      <c r="DP141" s="110" t="str">
        <f t="shared" si="229"/>
        <v/>
      </c>
      <c r="DR141" s="108" t="str">
        <f t="shared" si="43"/>
        <v/>
      </c>
      <c r="DS141" s="109" t="str">
        <f t="shared" si="118"/>
        <v/>
      </c>
      <c r="DT141" s="109" t="str">
        <f t="shared" si="44"/>
        <v/>
      </c>
      <c r="DU141" s="110" t="str">
        <f t="shared" si="230"/>
        <v/>
      </c>
      <c r="DW141" s="108" t="str">
        <f t="shared" si="120"/>
        <v/>
      </c>
      <c r="DX141" s="109" t="str">
        <f t="shared" si="121"/>
        <v/>
      </c>
      <c r="DY141" s="109" t="str">
        <f t="shared" si="45"/>
        <v/>
      </c>
      <c r="DZ141" s="110" t="str">
        <f t="shared" si="231"/>
        <v/>
      </c>
      <c r="EB141" s="108" t="str">
        <f t="shared" si="46"/>
        <v/>
      </c>
      <c r="EC141" s="109" t="str">
        <f t="shared" si="122"/>
        <v/>
      </c>
      <c r="ED141" s="109" t="str">
        <f t="shared" si="47"/>
        <v/>
      </c>
      <c r="EE141" s="110" t="str">
        <f t="shared" si="232"/>
        <v/>
      </c>
      <c r="EG141" s="108" t="str">
        <f t="shared" si="124"/>
        <v/>
      </c>
      <c r="EH141" s="109" t="str">
        <f t="shared" si="125"/>
        <v/>
      </c>
      <c r="EI141" s="109" t="str">
        <f t="shared" si="48"/>
        <v/>
      </c>
      <c r="EJ141" s="110" t="str">
        <f t="shared" si="233"/>
        <v/>
      </c>
      <c r="EL141" s="108" t="str">
        <f t="shared" si="49"/>
        <v/>
      </c>
      <c r="EM141" s="109" t="str">
        <f t="shared" si="126"/>
        <v/>
      </c>
      <c r="EN141" s="109" t="str">
        <f t="shared" si="50"/>
        <v/>
      </c>
      <c r="EO141" s="110" t="str">
        <f t="shared" si="234"/>
        <v/>
      </c>
      <c r="EQ141" s="108" t="str">
        <f t="shared" si="128"/>
        <v/>
      </c>
      <c r="ER141" s="109" t="str">
        <f t="shared" si="129"/>
        <v/>
      </c>
      <c r="ES141" s="109" t="str">
        <f t="shared" si="51"/>
        <v/>
      </c>
      <c r="ET141" s="110" t="str">
        <f t="shared" si="235"/>
        <v/>
      </c>
      <c r="EV141" s="108" t="str">
        <f t="shared" si="52"/>
        <v/>
      </c>
      <c r="EW141" s="109" t="str">
        <f t="shared" si="130"/>
        <v/>
      </c>
      <c r="EX141" s="109" t="str">
        <f t="shared" si="53"/>
        <v/>
      </c>
      <c r="EY141" s="110" t="str">
        <f t="shared" si="236"/>
        <v/>
      </c>
      <c r="FA141" s="108" t="str">
        <f t="shared" si="132"/>
        <v/>
      </c>
      <c r="FB141" s="109" t="str">
        <f t="shared" si="133"/>
        <v/>
      </c>
      <c r="FC141" s="109" t="str">
        <f t="shared" si="54"/>
        <v/>
      </c>
      <c r="FD141" s="110" t="str">
        <f t="shared" si="237"/>
        <v/>
      </c>
      <c r="FF141" s="108" t="str">
        <f t="shared" si="55"/>
        <v/>
      </c>
      <c r="FG141" s="109" t="str">
        <f t="shared" si="134"/>
        <v/>
      </c>
      <c r="FH141" s="109" t="str">
        <f t="shared" si="56"/>
        <v/>
      </c>
      <c r="FI141" s="110" t="str">
        <f t="shared" si="238"/>
        <v/>
      </c>
      <c r="FK141" s="108" t="str">
        <f t="shared" si="136"/>
        <v/>
      </c>
      <c r="FL141" s="109" t="str">
        <f t="shared" si="137"/>
        <v/>
      </c>
      <c r="FM141" s="109" t="str">
        <f t="shared" si="57"/>
        <v/>
      </c>
      <c r="FN141" s="110" t="str">
        <f t="shared" si="239"/>
        <v/>
      </c>
      <c r="FP141" s="108" t="str">
        <f t="shared" si="58"/>
        <v/>
      </c>
      <c r="FQ141" s="109" t="str">
        <f t="shared" si="138"/>
        <v/>
      </c>
      <c r="FR141" s="109" t="str">
        <f t="shared" si="59"/>
        <v/>
      </c>
      <c r="FS141" s="110" t="str">
        <f t="shared" si="240"/>
        <v/>
      </c>
      <c r="FU141" s="108" t="str">
        <f t="shared" si="140"/>
        <v/>
      </c>
      <c r="FV141" s="109" t="str">
        <f t="shared" si="141"/>
        <v/>
      </c>
      <c r="FW141" s="109" t="str">
        <f t="shared" si="60"/>
        <v/>
      </c>
      <c r="FX141" s="110" t="str">
        <f t="shared" si="241"/>
        <v/>
      </c>
      <c r="FZ141" s="108" t="str">
        <f t="shared" si="61"/>
        <v/>
      </c>
      <c r="GA141" s="109" t="str">
        <f t="shared" si="142"/>
        <v/>
      </c>
      <c r="GB141" s="109" t="str">
        <f t="shared" si="62"/>
        <v/>
      </c>
      <c r="GC141" s="110" t="str">
        <f t="shared" si="242"/>
        <v/>
      </c>
      <c r="GE141" s="108" t="str">
        <f t="shared" si="144"/>
        <v/>
      </c>
      <c r="GF141" s="109" t="str">
        <f t="shared" si="145"/>
        <v/>
      </c>
      <c r="GG141" s="109" t="str">
        <f t="shared" si="146"/>
        <v/>
      </c>
      <c r="GH141" s="110" t="str">
        <f t="shared" si="243"/>
        <v/>
      </c>
      <c r="GL141" s="108" t="str">
        <f t="shared" si="63"/>
        <v/>
      </c>
      <c r="GM141" s="109" t="str">
        <f t="shared" si="64"/>
        <v/>
      </c>
      <c r="GN141" s="109" t="str">
        <f t="shared" si="65"/>
        <v/>
      </c>
      <c r="GO141" s="110" t="str">
        <f t="shared" si="66"/>
        <v/>
      </c>
      <c r="GP141" s="51"/>
      <c r="GQ141" s="108" t="str">
        <f t="shared" si="67"/>
        <v/>
      </c>
      <c r="GR141" s="109" t="str">
        <f t="shared" si="147"/>
        <v/>
      </c>
      <c r="GS141" s="109" t="str">
        <f t="shared" si="68"/>
        <v/>
      </c>
      <c r="GT141" s="110" t="str">
        <f t="shared" si="69"/>
        <v/>
      </c>
      <c r="GU141" s="51"/>
      <c r="GV141" s="108" t="str">
        <f t="shared" si="148"/>
        <v/>
      </c>
      <c r="GW141" s="109" t="str">
        <f t="shared" si="149"/>
        <v/>
      </c>
      <c r="GX141" s="109" t="str">
        <f t="shared" si="70"/>
        <v/>
      </c>
      <c r="GY141" s="110" t="str">
        <f t="shared" si="150"/>
        <v/>
      </c>
      <c r="GZ141" s="51"/>
      <c r="HA141" s="108" t="str">
        <f t="shared" si="71"/>
        <v/>
      </c>
      <c r="HB141" s="109" t="str">
        <f t="shared" si="151"/>
        <v/>
      </c>
      <c r="HC141" s="109" t="str">
        <f t="shared" si="72"/>
        <v/>
      </c>
      <c r="HD141" s="110" t="str">
        <f t="shared" si="193"/>
        <v/>
      </c>
      <c r="HE141" s="51"/>
      <c r="HF141" s="108" t="str">
        <f t="shared" si="152"/>
        <v/>
      </c>
      <c r="HG141" s="109" t="str">
        <f t="shared" si="153"/>
        <v/>
      </c>
      <c r="HH141" s="109" t="str">
        <f t="shared" si="73"/>
        <v/>
      </c>
      <c r="HI141" s="110" t="str">
        <f t="shared" si="154"/>
        <v/>
      </c>
      <c r="HJ141" s="51"/>
      <c r="HK141" s="108" t="str">
        <f t="shared" si="74"/>
        <v/>
      </c>
      <c r="HL141" s="109" t="str">
        <f t="shared" si="155"/>
        <v/>
      </c>
      <c r="HM141" s="109" t="str">
        <f t="shared" si="75"/>
        <v/>
      </c>
      <c r="HN141" s="110" t="str">
        <f t="shared" si="194"/>
        <v/>
      </c>
      <c r="HO141" s="51"/>
      <c r="HP141" s="108" t="str">
        <f t="shared" si="156"/>
        <v/>
      </c>
      <c r="HQ141" s="109" t="str">
        <f t="shared" si="157"/>
        <v/>
      </c>
      <c r="HR141" s="109" t="str">
        <f t="shared" si="76"/>
        <v/>
      </c>
      <c r="HS141" s="110" t="str">
        <f t="shared" si="158"/>
        <v/>
      </c>
      <c r="HT141" s="51"/>
      <c r="HU141" s="108" t="str">
        <f t="shared" si="77"/>
        <v/>
      </c>
      <c r="HV141" s="109" t="str">
        <f t="shared" si="159"/>
        <v/>
      </c>
      <c r="HW141" s="109" t="str">
        <f t="shared" si="78"/>
        <v/>
      </c>
      <c r="HX141" s="110" t="str">
        <f t="shared" si="195"/>
        <v/>
      </c>
      <c r="HY141" s="51"/>
      <c r="HZ141" s="108" t="str">
        <f t="shared" si="160"/>
        <v/>
      </c>
      <c r="IA141" s="109" t="str">
        <f t="shared" si="161"/>
        <v/>
      </c>
      <c r="IB141" s="109" t="str">
        <f t="shared" si="79"/>
        <v/>
      </c>
      <c r="IC141" s="110" t="str">
        <f t="shared" si="162"/>
        <v/>
      </c>
      <c r="ID141" s="51"/>
      <c r="IE141" s="108" t="str">
        <f t="shared" si="80"/>
        <v/>
      </c>
      <c r="IF141" s="109" t="str">
        <f t="shared" si="163"/>
        <v/>
      </c>
      <c r="IG141" s="109" t="str">
        <f t="shared" si="81"/>
        <v/>
      </c>
      <c r="IH141" s="110" t="str">
        <f t="shared" si="196"/>
        <v/>
      </c>
      <c r="II141" s="51"/>
      <c r="IJ141" s="108" t="str">
        <f t="shared" si="164"/>
        <v/>
      </c>
      <c r="IK141" s="109" t="str">
        <f t="shared" si="165"/>
        <v/>
      </c>
      <c r="IL141" s="109" t="str">
        <f t="shared" si="82"/>
        <v/>
      </c>
      <c r="IM141" s="110" t="str">
        <f t="shared" si="166"/>
        <v/>
      </c>
      <c r="IN141" s="51"/>
      <c r="IO141" s="108" t="str">
        <f t="shared" si="83"/>
        <v/>
      </c>
      <c r="IP141" s="109" t="str">
        <f t="shared" si="167"/>
        <v/>
      </c>
      <c r="IQ141" s="109" t="str">
        <f t="shared" si="84"/>
        <v/>
      </c>
      <c r="IR141" s="110" t="str">
        <f t="shared" si="197"/>
        <v/>
      </c>
      <c r="IS141" s="51"/>
      <c r="IT141" s="108" t="str">
        <f t="shared" si="168"/>
        <v/>
      </c>
      <c r="IU141" s="109" t="str">
        <f t="shared" si="169"/>
        <v/>
      </c>
      <c r="IV141" s="109" t="str">
        <f t="shared" si="85"/>
        <v/>
      </c>
      <c r="IW141" s="110" t="str">
        <f t="shared" si="170"/>
        <v/>
      </c>
      <c r="IX141" s="51"/>
      <c r="IY141" s="108" t="str">
        <f t="shared" si="86"/>
        <v/>
      </c>
      <c r="IZ141" s="109" t="str">
        <f t="shared" si="171"/>
        <v/>
      </c>
      <c r="JA141" s="109" t="str">
        <f t="shared" si="87"/>
        <v/>
      </c>
      <c r="JB141" s="110" t="str">
        <f t="shared" si="198"/>
        <v/>
      </c>
      <c r="JC141" s="51"/>
      <c r="JD141" s="108" t="str">
        <f t="shared" si="172"/>
        <v/>
      </c>
      <c r="JE141" s="109" t="str">
        <f t="shared" si="173"/>
        <v/>
      </c>
      <c r="JF141" s="109" t="str">
        <f t="shared" si="88"/>
        <v/>
      </c>
      <c r="JG141" s="110" t="str">
        <f t="shared" si="174"/>
        <v/>
      </c>
      <c r="JH141" s="51"/>
      <c r="JI141" s="108" t="str">
        <f t="shared" si="89"/>
        <v/>
      </c>
      <c r="JJ141" s="109" t="str">
        <f t="shared" si="175"/>
        <v/>
      </c>
      <c r="JK141" s="109" t="str">
        <f t="shared" si="90"/>
        <v/>
      </c>
      <c r="JL141" s="110" t="str">
        <f t="shared" si="199"/>
        <v/>
      </c>
      <c r="JM141" s="51"/>
      <c r="JN141" s="108" t="str">
        <f t="shared" si="176"/>
        <v/>
      </c>
      <c r="JO141" s="109" t="str">
        <f t="shared" si="177"/>
        <v/>
      </c>
      <c r="JP141" s="109" t="str">
        <f t="shared" si="91"/>
        <v/>
      </c>
      <c r="JQ141" s="110" t="str">
        <f t="shared" si="178"/>
        <v/>
      </c>
      <c r="JR141" s="51"/>
      <c r="JS141" s="108" t="str">
        <f t="shared" si="92"/>
        <v/>
      </c>
      <c r="JT141" s="109" t="str">
        <f t="shared" si="179"/>
        <v/>
      </c>
      <c r="JU141" s="109" t="str">
        <f t="shared" si="93"/>
        <v/>
      </c>
      <c r="JV141" s="110" t="str">
        <f t="shared" si="200"/>
        <v/>
      </c>
      <c r="JW141" s="51"/>
      <c r="JX141" s="108" t="str">
        <f t="shared" si="180"/>
        <v/>
      </c>
      <c r="JY141" s="109" t="str">
        <f t="shared" si="181"/>
        <v/>
      </c>
      <c r="JZ141" s="109" t="str">
        <f t="shared" si="94"/>
        <v/>
      </c>
      <c r="KA141" s="110" t="str">
        <f t="shared" si="95"/>
        <v/>
      </c>
    </row>
    <row r="142" spans="1:287" ht="12" customHeight="1">
      <c r="A142" s="105">
        <f t="array" ref="A142">MAX(IF($J$80:J141&gt;0,$C$80:C141,0))</f>
        <v>43536</v>
      </c>
      <c r="B142" s="81" t="str">
        <f t="shared" si="4"/>
        <v/>
      </c>
      <c r="C142" s="82">
        <f t="shared" si="182"/>
        <v>0</v>
      </c>
      <c r="D142" s="83" t="str">
        <f t="shared" si="5"/>
        <v/>
      </c>
      <c r="E142" s="83" t="str">
        <f t="shared" si="96"/>
        <v/>
      </c>
      <c r="F142" s="83" t="str">
        <f t="shared" si="6"/>
        <v/>
      </c>
      <c r="G142" s="83" t="str">
        <f t="shared" si="7"/>
        <v/>
      </c>
      <c r="H142" s="83" t="str">
        <f t="shared" si="8"/>
        <v/>
      </c>
      <c r="I142" s="105">
        <f t="array" ref="I142">MAX(IF($R$80:R141&gt;0,$L$80:L141,0))</f>
        <v>0</v>
      </c>
      <c r="J142" s="106"/>
      <c r="K142" s="2" t="str">
        <f t="shared" si="9"/>
        <v/>
      </c>
      <c r="L142" s="82">
        <f t="shared" si="183"/>
        <v>0</v>
      </c>
      <c r="M142" s="83" t="str">
        <f t="shared" si="97"/>
        <v/>
      </c>
      <c r="N142" s="83" t="str">
        <f t="shared" si="10"/>
        <v/>
      </c>
      <c r="O142" s="83" t="str">
        <f t="shared" si="11"/>
        <v/>
      </c>
      <c r="P142" s="83" t="str">
        <f t="shared" si="12"/>
        <v/>
      </c>
      <c r="Q142" s="83" t="str">
        <f t="shared" si="13"/>
        <v/>
      </c>
      <c r="R142" s="106"/>
      <c r="S142" s="1"/>
      <c r="U142" s="85" t="e">
        <f t="shared" si="0"/>
        <v>#NUM!</v>
      </c>
      <c r="V142" s="86" t="e">
        <f t="shared" si="98"/>
        <v>#NUM!</v>
      </c>
      <c r="W142" s="87" t="e">
        <f t="shared" si="14"/>
        <v>#NUM!</v>
      </c>
      <c r="X142" s="87" t="e">
        <f t="shared" si="15"/>
        <v>#NUM!</v>
      </c>
      <c r="Y142" s="87" t="e">
        <f t="shared" si="16"/>
        <v>#NUM!</v>
      </c>
      <c r="Z142" s="88" t="e">
        <f t="shared" si="1"/>
        <v>#NUM!</v>
      </c>
      <c r="AA142" t="s">
        <v>282</v>
      </c>
      <c r="AB142" s="89">
        <f t="shared" si="99"/>
        <v>0</v>
      </c>
      <c r="AC142" s="87">
        <f t="shared" si="100"/>
        <v>0</v>
      </c>
      <c r="AD142" s="87" t="str">
        <f t="shared" si="17"/>
        <v/>
      </c>
      <c r="AE142" s="87" t="str">
        <f t="shared" si="18"/>
        <v/>
      </c>
      <c r="AF142" s="86">
        <f t="shared" si="101"/>
        <v>0</v>
      </c>
      <c r="AG142" s="87">
        <f t="shared" si="2"/>
        <v>0</v>
      </c>
      <c r="AH142" s="87">
        <f t="shared" si="102"/>
        <v>0</v>
      </c>
      <c r="AI142" s="90"/>
      <c r="AJ142" s="87" t="e">
        <f t="shared" si="19"/>
        <v>#NUM!</v>
      </c>
      <c r="AK142" s="87" t="e">
        <f t="shared" si="103"/>
        <v>#NUM!</v>
      </c>
      <c r="AL142" s="87" t="e">
        <f t="shared" si="104"/>
        <v>#NUM!</v>
      </c>
      <c r="AM142" s="87" t="e">
        <f t="shared" si="105"/>
        <v>#NUM!</v>
      </c>
      <c r="AN142" s="86">
        <f t="shared" si="20"/>
        <v>0</v>
      </c>
      <c r="AO142" s="87">
        <f t="shared" si="21"/>
        <v>0</v>
      </c>
      <c r="AP142" s="88">
        <f t="shared" si="22"/>
        <v>0</v>
      </c>
      <c r="AR142" s="89">
        <f t="shared" si="23"/>
        <v>0</v>
      </c>
      <c r="AS142" s="87">
        <f t="shared" si="24"/>
        <v>0</v>
      </c>
      <c r="AT142" s="87" t="str">
        <f t="shared" si="25"/>
        <v/>
      </c>
      <c r="AU142" s="87" t="str">
        <f t="shared" si="26"/>
        <v/>
      </c>
      <c r="AV142" s="86">
        <f t="shared" si="106"/>
        <v>0</v>
      </c>
      <c r="AW142" s="87">
        <f t="shared" si="107"/>
        <v>0</v>
      </c>
      <c r="AX142" s="87">
        <f t="shared" si="108"/>
        <v>0</v>
      </c>
      <c r="AY142" s="93"/>
      <c r="AZ142" s="87">
        <f t="shared" si="201"/>
        <v>0</v>
      </c>
      <c r="BA142" s="87">
        <f t="shared" si="109"/>
        <v>0</v>
      </c>
      <c r="BB142" s="87">
        <f t="shared" si="110"/>
        <v>0</v>
      </c>
      <c r="BC142" s="87">
        <f t="shared" si="184"/>
        <v>0</v>
      </c>
      <c r="BD142" s="86" t="e">
        <f t="shared" si="27"/>
        <v>#NUM!</v>
      </c>
      <c r="BE142" s="87" t="e">
        <f t="shared" si="3"/>
        <v>#NUM!</v>
      </c>
      <c r="BF142" s="88">
        <f t="shared" si="111"/>
        <v>0</v>
      </c>
      <c r="BH142" s="87" t="e">
        <f t="shared" si="28"/>
        <v>#NUM!</v>
      </c>
      <c r="BK142" s="95">
        <v>40927</v>
      </c>
      <c r="BL142" s="96">
        <v>63</v>
      </c>
      <c r="CS142" s="108" t="str">
        <f t="shared" si="29"/>
        <v/>
      </c>
      <c r="CT142" s="109" t="str">
        <f t="shared" si="30"/>
        <v/>
      </c>
      <c r="CU142" s="109" t="str">
        <f t="shared" si="31"/>
        <v/>
      </c>
      <c r="CV142" s="110" t="str">
        <f t="shared" si="225"/>
        <v/>
      </c>
      <c r="CX142" s="108" t="str">
        <f t="shared" si="33"/>
        <v/>
      </c>
      <c r="CY142" s="109" t="str">
        <f t="shared" si="113"/>
        <v/>
      </c>
      <c r="CZ142" s="109" t="str">
        <f t="shared" si="34"/>
        <v/>
      </c>
      <c r="DA142" s="110" t="str">
        <f t="shared" si="226"/>
        <v/>
      </c>
      <c r="DC142" s="108" t="str">
        <f t="shared" si="114"/>
        <v/>
      </c>
      <c r="DD142" s="109" t="str">
        <f t="shared" si="115"/>
        <v/>
      </c>
      <c r="DE142" s="109" t="str">
        <f t="shared" si="36"/>
        <v/>
      </c>
      <c r="DF142" s="110" t="str">
        <f t="shared" si="227"/>
        <v/>
      </c>
      <c r="DH142" s="108" t="str">
        <f t="shared" si="38"/>
        <v/>
      </c>
      <c r="DI142" s="109" t="str">
        <f t="shared" si="39"/>
        <v/>
      </c>
      <c r="DJ142" s="109" t="str">
        <f t="shared" si="40"/>
        <v/>
      </c>
      <c r="DK142" s="110" t="str">
        <f t="shared" si="228"/>
        <v/>
      </c>
      <c r="DM142" s="108" t="str">
        <f t="shared" si="116"/>
        <v/>
      </c>
      <c r="DN142" s="109" t="str">
        <f t="shared" si="117"/>
        <v/>
      </c>
      <c r="DO142" s="109" t="str">
        <f t="shared" si="42"/>
        <v/>
      </c>
      <c r="DP142" s="110" t="str">
        <f t="shared" si="229"/>
        <v/>
      </c>
      <c r="DR142" s="108" t="str">
        <f t="shared" si="43"/>
        <v/>
      </c>
      <c r="DS142" s="109" t="str">
        <f t="shared" si="118"/>
        <v/>
      </c>
      <c r="DT142" s="109" t="str">
        <f t="shared" si="44"/>
        <v/>
      </c>
      <c r="DU142" s="110" t="str">
        <f t="shared" si="230"/>
        <v/>
      </c>
      <c r="DW142" s="108" t="str">
        <f t="shared" si="120"/>
        <v/>
      </c>
      <c r="DX142" s="109" t="str">
        <f t="shared" si="121"/>
        <v/>
      </c>
      <c r="DY142" s="109" t="str">
        <f t="shared" si="45"/>
        <v/>
      </c>
      <c r="DZ142" s="110" t="str">
        <f t="shared" si="231"/>
        <v/>
      </c>
      <c r="EB142" s="108" t="str">
        <f t="shared" si="46"/>
        <v/>
      </c>
      <c r="EC142" s="109" t="str">
        <f t="shared" si="122"/>
        <v/>
      </c>
      <c r="ED142" s="109" t="str">
        <f t="shared" si="47"/>
        <v/>
      </c>
      <c r="EE142" s="110" t="str">
        <f t="shared" si="232"/>
        <v/>
      </c>
      <c r="EG142" s="108" t="str">
        <f t="shared" si="124"/>
        <v/>
      </c>
      <c r="EH142" s="109" t="str">
        <f t="shared" si="125"/>
        <v/>
      </c>
      <c r="EI142" s="109" t="str">
        <f t="shared" si="48"/>
        <v/>
      </c>
      <c r="EJ142" s="110" t="str">
        <f t="shared" si="233"/>
        <v/>
      </c>
      <c r="EL142" s="108" t="str">
        <f t="shared" si="49"/>
        <v/>
      </c>
      <c r="EM142" s="109" t="str">
        <f t="shared" si="126"/>
        <v/>
      </c>
      <c r="EN142" s="109" t="str">
        <f t="shared" si="50"/>
        <v/>
      </c>
      <c r="EO142" s="110" t="str">
        <f t="shared" si="234"/>
        <v/>
      </c>
      <c r="EQ142" s="108" t="str">
        <f t="shared" si="128"/>
        <v/>
      </c>
      <c r="ER142" s="109" t="str">
        <f t="shared" si="129"/>
        <v/>
      </c>
      <c r="ES142" s="109" t="str">
        <f t="shared" si="51"/>
        <v/>
      </c>
      <c r="ET142" s="110" t="str">
        <f t="shared" si="235"/>
        <v/>
      </c>
      <c r="EV142" s="108" t="str">
        <f t="shared" si="52"/>
        <v/>
      </c>
      <c r="EW142" s="109" t="str">
        <f t="shared" si="130"/>
        <v/>
      </c>
      <c r="EX142" s="109" t="str">
        <f t="shared" si="53"/>
        <v/>
      </c>
      <c r="EY142" s="110" t="str">
        <f t="shared" si="236"/>
        <v/>
      </c>
      <c r="FA142" s="108" t="str">
        <f t="shared" si="132"/>
        <v/>
      </c>
      <c r="FB142" s="109" t="str">
        <f t="shared" si="133"/>
        <v/>
      </c>
      <c r="FC142" s="109" t="str">
        <f t="shared" si="54"/>
        <v/>
      </c>
      <c r="FD142" s="110" t="str">
        <f t="shared" si="237"/>
        <v/>
      </c>
      <c r="FF142" s="108" t="str">
        <f t="shared" si="55"/>
        <v/>
      </c>
      <c r="FG142" s="109" t="str">
        <f t="shared" si="134"/>
        <v/>
      </c>
      <c r="FH142" s="109" t="str">
        <f t="shared" si="56"/>
        <v/>
      </c>
      <c r="FI142" s="110" t="str">
        <f t="shared" si="238"/>
        <v/>
      </c>
      <c r="FK142" s="108" t="str">
        <f t="shared" si="136"/>
        <v/>
      </c>
      <c r="FL142" s="109" t="str">
        <f t="shared" si="137"/>
        <v/>
      </c>
      <c r="FM142" s="109" t="str">
        <f t="shared" si="57"/>
        <v/>
      </c>
      <c r="FN142" s="110" t="str">
        <f t="shared" si="239"/>
        <v/>
      </c>
      <c r="FP142" s="108" t="str">
        <f t="shared" si="58"/>
        <v/>
      </c>
      <c r="FQ142" s="109" t="str">
        <f t="shared" si="138"/>
        <v/>
      </c>
      <c r="FR142" s="109" t="str">
        <f t="shared" si="59"/>
        <v/>
      </c>
      <c r="FS142" s="110" t="str">
        <f t="shared" si="240"/>
        <v/>
      </c>
      <c r="FU142" s="108" t="str">
        <f t="shared" si="140"/>
        <v/>
      </c>
      <c r="FV142" s="109" t="str">
        <f t="shared" si="141"/>
        <v/>
      </c>
      <c r="FW142" s="109" t="str">
        <f t="shared" si="60"/>
        <v/>
      </c>
      <c r="FX142" s="110" t="str">
        <f t="shared" si="241"/>
        <v/>
      </c>
      <c r="FZ142" s="108" t="str">
        <f t="shared" si="61"/>
        <v/>
      </c>
      <c r="GA142" s="109" t="str">
        <f t="shared" si="142"/>
        <v/>
      </c>
      <c r="GB142" s="109" t="str">
        <f t="shared" si="62"/>
        <v/>
      </c>
      <c r="GC142" s="110" t="str">
        <f t="shared" si="242"/>
        <v/>
      </c>
      <c r="GE142" s="108" t="str">
        <f t="shared" si="144"/>
        <v/>
      </c>
      <c r="GF142" s="109" t="str">
        <f t="shared" si="145"/>
        <v/>
      </c>
      <c r="GG142" s="109" t="str">
        <f t="shared" si="146"/>
        <v/>
      </c>
      <c r="GH142" s="110" t="str">
        <f t="shared" si="243"/>
        <v/>
      </c>
      <c r="GL142" s="108" t="str">
        <f t="shared" si="63"/>
        <v/>
      </c>
      <c r="GM142" s="109" t="str">
        <f t="shared" si="64"/>
        <v/>
      </c>
      <c r="GN142" s="109" t="str">
        <f t="shared" si="65"/>
        <v/>
      </c>
      <c r="GO142" s="110" t="str">
        <f t="shared" si="66"/>
        <v/>
      </c>
      <c r="GP142" s="51"/>
      <c r="GQ142" s="108" t="str">
        <f t="shared" si="67"/>
        <v/>
      </c>
      <c r="GR142" s="109" t="str">
        <f t="shared" si="147"/>
        <v/>
      </c>
      <c r="GS142" s="109" t="str">
        <f t="shared" si="68"/>
        <v/>
      </c>
      <c r="GT142" s="110" t="str">
        <f t="shared" si="69"/>
        <v/>
      </c>
      <c r="GU142" s="51"/>
      <c r="GV142" s="108" t="str">
        <f t="shared" si="148"/>
        <v/>
      </c>
      <c r="GW142" s="109" t="str">
        <f t="shared" si="149"/>
        <v/>
      </c>
      <c r="GX142" s="109" t="str">
        <f t="shared" si="70"/>
        <v/>
      </c>
      <c r="GY142" s="110" t="str">
        <f t="shared" si="150"/>
        <v/>
      </c>
      <c r="GZ142" s="51"/>
      <c r="HA142" s="108" t="str">
        <f t="shared" si="71"/>
        <v/>
      </c>
      <c r="HB142" s="109" t="str">
        <f t="shared" si="151"/>
        <v/>
      </c>
      <c r="HC142" s="109" t="str">
        <f t="shared" si="72"/>
        <v/>
      </c>
      <c r="HD142" s="110" t="str">
        <f t="shared" si="193"/>
        <v/>
      </c>
      <c r="HE142" s="51"/>
      <c r="HF142" s="108" t="str">
        <f t="shared" si="152"/>
        <v/>
      </c>
      <c r="HG142" s="109" t="str">
        <f t="shared" si="153"/>
        <v/>
      </c>
      <c r="HH142" s="109" t="str">
        <f t="shared" si="73"/>
        <v/>
      </c>
      <c r="HI142" s="110" t="str">
        <f t="shared" si="154"/>
        <v/>
      </c>
      <c r="HJ142" s="51"/>
      <c r="HK142" s="108" t="str">
        <f t="shared" si="74"/>
        <v/>
      </c>
      <c r="HL142" s="109" t="str">
        <f t="shared" si="155"/>
        <v/>
      </c>
      <c r="HM142" s="109" t="str">
        <f t="shared" si="75"/>
        <v/>
      </c>
      <c r="HN142" s="110" t="str">
        <f t="shared" si="194"/>
        <v/>
      </c>
      <c r="HO142" s="51"/>
      <c r="HP142" s="108" t="str">
        <f t="shared" si="156"/>
        <v/>
      </c>
      <c r="HQ142" s="109" t="str">
        <f t="shared" si="157"/>
        <v/>
      </c>
      <c r="HR142" s="109" t="str">
        <f t="shared" si="76"/>
        <v/>
      </c>
      <c r="HS142" s="110" t="str">
        <f t="shared" si="158"/>
        <v/>
      </c>
      <c r="HT142" s="51"/>
      <c r="HU142" s="108" t="str">
        <f t="shared" si="77"/>
        <v/>
      </c>
      <c r="HV142" s="109" t="str">
        <f t="shared" si="159"/>
        <v/>
      </c>
      <c r="HW142" s="109" t="str">
        <f t="shared" si="78"/>
        <v/>
      </c>
      <c r="HX142" s="110" t="str">
        <f t="shared" si="195"/>
        <v/>
      </c>
      <c r="HY142" s="51"/>
      <c r="HZ142" s="108" t="str">
        <f t="shared" si="160"/>
        <v/>
      </c>
      <c r="IA142" s="109" t="str">
        <f t="shared" si="161"/>
        <v/>
      </c>
      <c r="IB142" s="109" t="str">
        <f t="shared" si="79"/>
        <v/>
      </c>
      <c r="IC142" s="110" t="str">
        <f t="shared" si="162"/>
        <v/>
      </c>
      <c r="ID142" s="51"/>
      <c r="IE142" s="108" t="str">
        <f t="shared" si="80"/>
        <v/>
      </c>
      <c r="IF142" s="109" t="str">
        <f t="shared" si="163"/>
        <v/>
      </c>
      <c r="IG142" s="109" t="str">
        <f t="shared" si="81"/>
        <v/>
      </c>
      <c r="IH142" s="110" t="str">
        <f t="shared" si="196"/>
        <v/>
      </c>
      <c r="II142" s="51"/>
      <c r="IJ142" s="108" t="str">
        <f t="shared" si="164"/>
        <v/>
      </c>
      <c r="IK142" s="109" t="str">
        <f t="shared" si="165"/>
        <v/>
      </c>
      <c r="IL142" s="109" t="str">
        <f t="shared" si="82"/>
        <v/>
      </c>
      <c r="IM142" s="110" t="str">
        <f t="shared" si="166"/>
        <v/>
      </c>
      <c r="IN142" s="51"/>
      <c r="IO142" s="108" t="str">
        <f t="shared" si="83"/>
        <v/>
      </c>
      <c r="IP142" s="109" t="str">
        <f t="shared" si="167"/>
        <v/>
      </c>
      <c r="IQ142" s="109" t="str">
        <f t="shared" si="84"/>
        <v/>
      </c>
      <c r="IR142" s="110" t="str">
        <f t="shared" si="197"/>
        <v/>
      </c>
      <c r="IS142" s="51"/>
      <c r="IT142" s="108" t="str">
        <f t="shared" si="168"/>
        <v/>
      </c>
      <c r="IU142" s="109" t="str">
        <f t="shared" si="169"/>
        <v/>
      </c>
      <c r="IV142" s="109" t="str">
        <f t="shared" si="85"/>
        <v/>
      </c>
      <c r="IW142" s="110" t="str">
        <f t="shared" si="170"/>
        <v/>
      </c>
      <c r="IX142" s="51"/>
      <c r="IY142" s="108" t="str">
        <f t="shared" si="86"/>
        <v/>
      </c>
      <c r="IZ142" s="109" t="str">
        <f t="shared" si="171"/>
        <v/>
      </c>
      <c r="JA142" s="109" t="str">
        <f t="shared" si="87"/>
        <v/>
      </c>
      <c r="JB142" s="110" t="str">
        <f t="shared" si="198"/>
        <v/>
      </c>
      <c r="JC142" s="51"/>
      <c r="JD142" s="108" t="str">
        <f t="shared" si="172"/>
        <v/>
      </c>
      <c r="JE142" s="109" t="str">
        <f t="shared" si="173"/>
        <v/>
      </c>
      <c r="JF142" s="109" t="str">
        <f t="shared" si="88"/>
        <v/>
      </c>
      <c r="JG142" s="110" t="str">
        <f t="shared" si="174"/>
        <v/>
      </c>
      <c r="JH142" s="51"/>
      <c r="JI142" s="108" t="str">
        <f t="shared" si="89"/>
        <v/>
      </c>
      <c r="JJ142" s="109" t="str">
        <f t="shared" si="175"/>
        <v/>
      </c>
      <c r="JK142" s="109" t="str">
        <f t="shared" si="90"/>
        <v/>
      </c>
      <c r="JL142" s="110" t="str">
        <f t="shared" si="199"/>
        <v/>
      </c>
      <c r="JM142" s="51"/>
      <c r="JN142" s="108" t="str">
        <f t="shared" si="176"/>
        <v/>
      </c>
      <c r="JO142" s="109" t="str">
        <f t="shared" si="177"/>
        <v/>
      </c>
      <c r="JP142" s="109" t="str">
        <f t="shared" si="91"/>
        <v/>
      </c>
      <c r="JQ142" s="110" t="str">
        <f t="shared" si="178"/>
        <v/>
      </c>
      <c r="JR142" s="51"/>
      <c r="JS142" s="108" t="str">
        <f t="shared" si="92"/>
        <v/>
      </c>
      <c r="JT142" s="109" t="str">
        <f t="shared" si="179"/>
        <v/>
      </c>
      <c r="JU142" s="109" t="str">
        <f t="shared" si="93"/>
        <v/>
      </c>
      <c r="JV142" s="110" t="str">
        <f t="shared" si="200"/>
        <v/>
      </c>
      <c r="JW142" s="51"/>
      <c r="JX142" s="108" t="str">
        <f t="shared" si="180"/>
        <v/>
      </c>
      <c r="JY142" s="109" t="str">
        <f t="shared" si="181"/>
        <v/>
      </c>
      <c r="JZ142" s="109" t="str">
        <f t="shared" si="94"/>
        <v/>
      </c>
      <c r="KA142" s="110" t="str">
        <f t="shared" si="95"/>
        <v/>
      </c>
    </row>
    <row r="143" spans="1:287" ht="12" customHeight="1">
      <c r="A143" s="105">
        <f t="array" ref="A143">MAX(IF($J$80:J142&gt;0,$C$80:C142,0))</f>
        <v>43536</v>
      </c>
      <c r="B143" s="81" t="str">
        <f t="shared" si="4"/>
        <v/>
      </c>
      <c r="C143" s="82">
        <f t="shared" si="182"/>
        <v>0</v>
      </c>
      <c r="D143" s="83" t="str">
        <f t="shared" si="5"/>
        <v/>
      </c>
      <c r="E143" s="83" t="str">
        <f t="shared" si="96"/>
        <v/>
      </c>
      <c r="F143" s="83" t="str">
        <f t="shared" si="6"/>
        <v/>
      </c>
      <c r="G143" s="83" t="str">
        <f t="shared" si="7"/>
        <v/>
      </c>
      <c r="H143" s="83" t="str">
        <f t="shared" si="8"/>
        <v/>
      </c>
      <c r="I143" s="105">
        <f t="array" ref="I143">MAX(IF($R$80:R142&gt;0,$L$80:L142,0))</f>
        <v>0</v>
      </c>
      <c r="J143" s="106"/>
      <c r="K143" s="2" t="str">
        <f t="shared" si="9"/>
        <v/>
      </c>
      <c r="L143" s="82">
        <f t="shared" si="183"/>
        <v>0</v>
      </c>
      <c r="M143" s="83" t="str">
        <f t="shared" si="97"/>
        <v/>
      </c>
      <c r="N143" s="83" t="str">
        <f t="shared" si="10"/>
        <v/>
      </c>
      <c r="O143" s="83" t="str">
        <f t="shared" si="11"/>
        <v/>
      </c>
      <c r="P143" s="83" t="str">
        <f t="shared" si="12"/>
        <v/>
      </c>
      <c r="Q143" s="83" t="str">
        <f t="shared" si="13"/>
        <v/>
      </c>
      <c r="R143" s="106"/>
      <c r="S143" s="1"/>
      <c r="U143" s="85" t="e">
        <f t="shared" si="0"/>
        <v>#NUM!</v>
      </c>
      <c r="V143" s="86" t="e">
        <f t="shared" si="98"/>
        <v>#NUM!</v>
      </c>
      <c r="W143" s="87" t="e">
        <f t="shared" si="14"/>
        <v>#NUM!</v>
      </c>
      <c r="X143" s="87" t="e">
        <f t="shared" si="15"/>
        <v>#NUM!</v>
      </c>
      <c r="Y143" s="87" t="e">
        <f t="shared" si="16"/>
        <v>#NUM!</v>
      </c>
      <c r="Z143" s="88" t="e">
        <f t="shared" si="1"/>
        <v>#NUM!</v>
      </c>
      <c r="AA143" t="s">
        <v>282</v>
      </c>
      <c r="AB143" s="89">
        <f t="shared" si="99"/>
        <v>0</v>
      </c>
      <c r="AC143" s="87">
        <f t="shared" si="100"/>
        <v>0</v>
      </c>
      <c r="AD143" s="87" t="str">
        <f t="shared" si="17"/>
        <v/>
      </c>
      <c r="AE143" s="87" t="str">
        <f t="shared" si="18"/>
        <v/>
      </c>
      <c r="AF143" s="86">
        <f t="shared" si="101"/>
        <v>0</v>
      </c>
      <c r="AG143" s="87">
        <f t="shared" si="2"/>
        <v>0</v>
      </c>
      <c r="AH143" s="87">
        <f t="shared" si="102"/>
        <v>0</v>
      </c>
      <c r="AI143" s="90"/>
      <c r="AJ143" s="87" t="e">
        <f t="shared" si="19"/>
        <v>#NUM!</v>
      </c>
      <c r="AK143" s="87" t="e">
        <f t="shared" si="103"/>
        <v>#NUM!</v>
      </c>
      <c r="AL143" s="87" t="e">
        <f t="shared" si="104"/>
        <v>#NUM!</v>
      </c>
      <c r="AM143" s="87" t="e">
        <f t="shared" si="105"/>
        <v>#NUM!</v>
      </c>
      <c r="AN143" s="86">
        <f t="shared" si="20"/>
        <v>0</v>
      </c>
      <c r="AO143" s="87">
        <f t="shared" si="21"/>
        <v>0</v>
      </c>
      <c r="AP143" s="88">
        <f t="shared" si="22"/>
        <v>0</v>
      </c>
      <c r="AR143" s="89">
        <f t="shared" si="23"/>
        <v>0</v>
      </c>
      <c r="AS143" s="87">
        <f t="shared" si="24"/>
        <v>0</v>
      </c>
      <c r="AT143" s="87" t="str">
        <f t="shared" si="25"/>
        <v/>
      </c>
      <c r="AU143" s="87" t="str">
        <f t="shared" si="26"/>
        <v/>
      </c>
      <c r="AV143" s="86">
        <f t="shared" si="106"/>
        <v>0</v>
      </c>
      <c r="AW143" s="87">
        <f t="shared" si="107"/>
        <v>0</v>
      </c>
      <c r="AX143" s="87">
        <f t="shared" si="108"/>
        <v>0</v>
      </c>
      <c r="AY143" s="93"/>
      <c r="AZ143" s="87">
        <f t="shared" si="201"/>
        <v>0</v>
      </c>
      <c r="BA143" s="87">
        <f t="shared" si="109"/>
        <v>0</v>
      </c>
      <c r="BB143" s="87">
        <f t="shared" si="110"/>
        <v>0</v>
      </c>
      <c r="BC143" s="87">
        <f t="shared" si="184"/>
        <v>0</v>
      </c>
      <c r="BD143" s="86" t="e">
        <f t="shared" si="27"/>
        <v>#NUM!</v>
      </c>
      <c r="BE143" s="87" t="e">
        <f t="shared" si="3"/>
        <v>#NUM!</v>
      </c>
      <c r="BF143" s="88">
        <f t="shared" si="111"/>
        <v>0</v>
      </c>
      <c r="BH143" s="87" t="e">
        <f t="shared" si="28"/>
        <v>#NUM!</v>
      </c>
      <c r="BK143" s="95">
        <v>40971</v>
      </c>
      <c r="BL143" s="96">
        <v>64</v>
      </c>
      <c r="CS143" s="108" t="str">
        <f t="shared" si="29"/>
        <v/>
      </c>
      <c r="CT143" s="109" t="str">
        <f t="shared" si="30"/>
        <v/>
      </c>
      <c r="CU143" s="109" t="str">
        <f t="shared" si="31"/>
        <v/>
      </c>
      <c r="CV143" s="110" t="str">
        <f t="shared" si="225"/>
        <v/>
      </c>
      <c r="CX143" s="108" t="str">
        <f t="shared" si="33"/>
        <v/>
      </c>
      <c r="CY143" s="109" t="str">
        <f t="shared" si="113"/>
        <v/>
      </c>
      <c r="CZ143" s="109" t="str">
        <f t="shared" si="34"/>
        <v/>
      </c>
      <c r="DA143" s="110" t="str">
        <f t="shared" si="226"/>
        <v/>
      </c>
      <c r="DC143" s="108" t="str">
        <f t="shared" si="114"/>
        <v/>
      </c>
      <c r="DD143" s="109" t="str">
        <f t="shared" si="115"/>
        <v/>
      </c>
      <c r="DE143" s="109" t="str">
        <f t="shared" si="36"/>
        <v/>
      </c>
      <c r="DF143" s="110" t="str">
        <f t="shared" si="227"/>
        <v/>
      </c>
      <c r="DH143" s="108" t="str">
        <f t="shared" si="38"/>
        <v/>
      </c>
      <c r="DI143" s="109" t="str">
        <f t="shared" si="39"/>
        <v/>
      </c>
      <c r="DJ143" s="109" t="str">
        <f t="shared" si="40"/>
        <v/>
      </c>
      <c r="DK143" s="110" t="str">
        <f t="shared" si="228"/>
        <v/>
      </c>
      <c r="DM143" s="108" t="str">
        <f t="shared" si="116"/>
        <v/>
      </c>
      <c r="DN143" s="109" t="str">
        <f t="shared" si="117"/>
        <v/>
      </c>
      <c r="DO143" s="109" t="str">
        <f t="shared" si="42"/>
        <v/>
      </c>
      <c r="DP143" s="110" t="str">
        <f t="shared" si="229"/>
        <v/>
      </c>
      <c r="DR143" s="108" t="str">
        <f t="shared" si="43"/>
        <v/>
      </c>
      <c r="DS143" s="109" t="str">
        <f t="shared" si="118"/>
        <v/>
      </c>
      <c r="DT143" s="109" t="str">
        <f t="shared" si="44"/>
        <v/>
      </c>
      <c r="DU143" s="110" t="str">
        <f t="shared" si="230"/>
        <v/>
      </c>
      <c r="DW143" s="108" t="str">
        <f t="shared" si="120"/>
        <v/>
      </c>
      <c r="DX143" s="109" t="str">
        <f t="shared" si="121"/>
        <v/>
      </c>
      <c r="DY143" s="109" t="str">
        <f t="shared" si="45"/>
        <v/>
      </c>
      <c r="DZ143" s="110" t="str">
        <f t="shared" si="231"/>
        <v/>
      </c>
      <c r="EB143" s="108" t="str">
        <f t="shared" si="46"/>
        <v/>
      </c>
      <c r="EC143" s="109" t="str">
        <f t="shared" si="122"/>
        <v/>
      </c>
      <c r="ED143" s="109" t="str">
        <f t="shared" si="47"/>
        <v/>
      </c>
      <c r="EE143" s="110" t="str">
        <f t="shared" si="232"/>
        <v/>
      </c>
      <c r="EG143" s="108" t="str">
        <f t="shared" si="124"/>
        <v/>
      </c>
      <c r="EH143" s="109" t="str">
        <f t="shared" si="125"/>
        <v/>
      </c>
      <c r="EI143" s="109" t="str">
        <f t="shared" si="48"/>
        <v/>
      </c>
      <c r="EJ143" s="110" t="str">
        <f t="shared" si="233"/>
        <v/>
      </c>
      <c r="EL143" s="108" t="str">
        <f t="shared" si="49"/>
        <v/>
      </c>
      <c r="EM143" s="109" t="str">
        <f t="shared" si="126"/>
        <v/>
      </c>
      <c r="EN143" s="109" t="str">
        <f t="shared" si="50"/>
        <v/>
      </c>
      <c r="EO143" s="110" t="str">
        <f t="shared" si="234"/>
        <v/>
      </c>
      <c r="EQ143" s="108" t="str">
        <f t="shared" si="128"/>
        <v/>
      </c>
      <c r="ER143" s="109" t="str">
        <f t="shared" si="129"/>
        <v/>
      </c>
      <c r="ES143" s="109" t="str">
        <f t="shared" si="51"/>
        <v/>
      </c>
      <c r="ET143" s="110" t="str">
        <f t="shared" si="235"/>
        <v/>
      </c>
      <c r="EV143" s="108" t="str">
        <f t="shared" si="52"/>
        <v/>
      </c>
      <c r="EW143" s="109" t="str">
        <f t="shared" si="130"/>
        <v/>
      </c>
      <c r="EX143" s="109" t="str">
        <f t="shared" si="53"/>
        <v/>
      </c>
      <c r="EY143" s="110" t="str">
        <f t="shared" si="236"/>
        <v/>
      </c>
      <c r="FA143" s="108" t="str">
        <f t="shared" si="132"/>
        <v/>
      </c>
      <c r="FB143" s="109" t="str">
        <f t="shared" si="133"/>
        <v/>
      </c>
      <c r="FC143" s="109" t="str">
        <f t="shared" si="54"/>
        <v/>
      </c>
      <c r="FD143" s="110" t="str">
        <f t="shared" si="237"/>
        <v/>
      </c>
      <c r="FF143" s="108" t="str">
        <f t="shared" si="55"/>
        <v/>
      </c>
      <c r="FG143" s="109" t="str">
        <f t="shared" si="134"/>
        <v/>
      </c>
      <c r="FH143" s="109" t="str">
        <f t="shared" si="56"/>
        <v/>
      </c>
      <c r="FI143" s="110" t="str">
        <f t="shared" si="238"/>
        <v/>
      </c>
      <c r="FK143" s="108" t="str">
        <f t="shared" si="136"/>
        <v/>
      </c>
      <c r="FL143" s="109" t="str">
        <f t="shared" si="137"/>
        <v/>
      </c>
      <c r="FM143" s="109" t="str">
        <f t="shared" si="57"/>
        <v/>
      </c>
      <c r="FN143" s="110" t="str">
        <f t="shared" si="239"/>
        <v/>
      </c>
      <c r="FP143" s="108" t="str">
        <f t="shared" si="58"/>
        <v/>
      </c>
      <c r="FQ143" s="109" t="str">
        <f t="shared" si="138"/>
        <v/>
      </c>
      <c r="FR143" s="109" t="str">
        <f t="shared" si="59"/>
        <v/>
      </c>
      <c r="FS143" s="110" t="str">
        <f t="shared" si="240"/>
        <v/>
      </c>
      <c r="FU143" s="108" t="str">
        <f t="shared" si="140"/>
        <v/>
      </c>
      <c r="FV143" s="109" t="str">
        <f t="shared" si="141"/>
        <v/>
      </c>
      <c r="FW143" s="109" t="str">
        <f t="shared" si="60"/>
        <v/>
      </c>
      <c r="FX143" s="110" t="str">
        <f t="shared" si="241"/>
        <v/>
      </c>
      <c r="FZ143" s="108" t="str">
        <f t="shared" si="61"/>
        <v/>
      </c>
      <c r="GA143" s="109" t="str">
        <f t="shared" si="142"/>
        <v/>
      </c>
      <c r="GB143" s="109" t="str">
        <f t="shared" si="62"/>
        <v/>
      </c>
      <c r="GC143" s="110" t="str">
        <f t="shared" si="242"/>
        <v/>
      </c>
      <c r="GE143" s="108" t="str">
        <f t="shared" si="144"/>
        <v/>
      </c>
      <c r="GF143" s="109" t="str">
        <f t="shared" si="145"/>
        <v/>
      </c>
      <c r="GG143" s="109" t="str">
        <f t="shared" si="146"/>
        <v/>
      </c>
      <c r="GH143" s="110" t="str">
        <f t="shared" si="243"/>
        <v/>
      </c>
      <c r="GL143" s="108" t="str">
        <f t="shared" si="63"/>
        <v/>
      </c>
      <c r="GM143" s="109" t="str">
        <f t="shared" si="64"/>
        <v/>
      </c>
      <c r="GN143" s="109" t="str">
        <f t="shared" si="65"/>
        <v/>
      </c>
      <c r="GO143" s="110" t="str">
        <f t="shared" si="66"/>
        <v/>
      </c>
      <c r="GP143" s="51"/>
      <c r="GQ143" s="108" t="str">
        <f t="shared" si="67"/>
        <v/>
      </c>
      <c r="GR143" s="109" t="str">
        <f t="shared" si="147"/>
        <v/>
      </c>
      <c r="GS143" s="109" t="str">
        <f t="shared" si="68"/>
        <v/>
      </c>
      <c r="GT143" s="110" t="str">
        <f t="shared" si="69"/>
        <v/>
      </c>
      <c r="GU143" s="51"/>
      <c r="GV143" s="108" t="str">
        <f t="shared" si="148"/>
        <v/>
      </c>
      <c r="GW143" s="109" t="str">
        <f t="shared" si="149"/>
        <v/>
      </c>
      <c r="GX143" s="109" t="str">
        <f t="shared" si="70"/>
        <v/>
      </c>
      <c r="GY143" s="110" t="str">
        <f t="shared" si="150"/>
        <v/>
      </c>
      <c r="GZ143" s="51"/>
      <c r="HA143" s="108" t="str">
        <f t="shared" si="71"/>
        <v/>
      </c>
      <c r="HB143" s="109" t="str">
        <f t="shared" si="151"/>
        <v/>
      </c>
      <c r="HC143" s="109" t="str">
        <f t="shared" si="72"/>
        <v/>
      </c>
      <c r="HD143" s="110" t="str">
        <f t="shared" si="193"/>
        <v/>
      </c>
      <c r="HE143" s="51"/>
      <c r="HF143" s="108" t="str">
        <f t="shared" si="152"/>
        <v/>
      </c>
      <c r="HG143" s="109" t="str">
        <f t="shared" si="153"/>
        <v/>
      </c>
      <c r="HH143" s="109" t="str">
        <f t="shared" si="73"/>
        <v/>
      </c>
      <c r="HI143" s="110" t="str">
        <f t="shared" si="154"/>
        <v/>
      </c>
      <c r="HJ143" s="51"/>
      <c r="HK143" s="108" t="str">
        <f t="shared" si="74"/>
        <v/>
      </c>
      <c r="HL143" s="109" t="str">
        <f t="shared" si="155"/>
        <v/>
      </c>
      <c r="HM143" s="109" t="str">
        <f t="shared" si="75"/>
        <v/>
      </c>
      <c r="HN143" s="110" t="str">
        <f t="shared" si="194"/>
        <v/>
      </c>
      <c r="HO143" s="51"/>
      <c r="HP143" s="108" t="str">
        <f t="shared" si="156"/>
        <v/>
      </c>
      <c r="HQ143" s="109" t="str">
        <f t="shared" si="157"/>
        <v/>
      </c>
      <c r="HR143" s="109" t="str">
        <f t="shared" si="76"/>
        <v/>
      </c>
      <c r="HS143" s="110" t="str">
        <f t="shared" si="158"/>
        <v/>
      </c>
      <c r="HT143" s="51"/>
      <c r="HU143" s="108" t="str">
        <f t="shared" si="77"/>
        <v/>
      </c>
      <c r="HV143" s="109" t="str">
        <f t="shared" si="159"/>
        <v/>
      </c>
      <c r="HW143" s="109" t="str">
        <f t="shared" si="78"/>
        <v/>
      </c>
      <c r="HX143" s="110" t="str">
        <f t="shared" si="195"/>
        <v/>
      </c>
      <c r="HY143" s="51"/>
      <c r="HZ143" s="108" t="str">
        <f t="shared" si="160"/>
        <v/>
      </c>
      <c r="IA143" s="109" t="str">
        <f t="shared" si="161"/>
        <v/>
      </c>
      <c r="IB143" s="109" t="str">
        <f t="shared" si="79"/>
        <v/>
      </c>
      <c r="IC143" s="110" t="str">
        <f t="shared" si="162"/>
        <v/>
      </c>
      <c r="ID143" s="51"/>
      <c r="IE143" s="108" t="str">
        <f t="shared" si="80"/>
        <v/>
      </c>
      <c r="IF143" s="109" t="str">
        <f t="shared" si="163"/>
        <v/>
      </c>
      <c r="IG143" s="109" t="str">
        <f t="shared" si="81"/>
        <v/>
      </c>
      <c r="IH143" s="110" t="str">
        <f t="shared" si="196"/>
        <v/>
      </c>
      <c r="II143" s="51"/>
      <c r="IJ143" s="108" t="str">
        <f t="shared" si="164"/>
        <v/>
      </c>
      <c r="IK143" s="109" t="str">
        <f t="shared" si="165"/>
        <v/>
      </c>
      <c r="IL143" s="109" t="str">
        <f t="shared" si="82"/>
        <v/>
      </c>
      <c r="IM143" s="110" t="str">
        <f t="shared" si="166"/>
        <v/>
      </c>
      <c r="IN143" s="51"/>
      <c r="IO143" s="108" t="str">
        <f t="shared" si="83"/>
        <v/>
      </c>
      <c r="IP143" s="109" t="str">
        <f t="shared" si="167"/>
        <v/>
      </c>
      <c r="IQ143" s="109" t="str">
        <f t="shared" si="84"/>
        <v/>
      </c>
      <c r="IR143" s="110" t="str">
        <f t="shared" si="197"/>
        <v/>
      </c>
      <c r="IS143" s="51"/>
      <c r="IT143" s="108" t="str">
        <f t="shared" si="168"/>
        <v/>
      </c>
      <c r="IU143" s="109" t="str">
        <f t="shared" si="169"/>
        <v/>
      </c>
      <c r="IV143" s="109" t="str">
        <f t="shared" si="85"/>
        <v/>
      </c>
      <c r="IW143" s="110" t="str">
        <f t="shared" si="170"/>
        <v/>
      </c>
      <c r="IX143" s="51"/>
      <c r="IY143" s="108" t="str">
        <f t="shared" si="86"/>
        <v/>
      </c>
      <c r="IZ143" s="109" t="str">
        <f t="shared" si="171"/>
        <v/>
      </c>
      <c r="JA143" s="109" t="str">
        <f t="shared" si="87"/>
        <v/>
      </c>
      <c r="JB143" s="110" t="str">
        <f t="shared" si="198"/>
        <v/>
      </c>
      <c r="JC143" s="51"/>
      <c r="JD143" s="108" t="str">
        <f t="shared" si="172"/>
        <v/>
      </c>
      <c r="JE143" s="109" t="str">
        <f t="shared" si="173"/>
        <v/>
      </c>
      <c r="JF143" s="109" t="str">
        <f t="shared" si="88"/>
        <v/>
      </c>
      <c r="JG143" s="110" t="str">
        <f t="shared" si="174"/>
        <v/>
      </c>
      <c r="JH143" s="51"/>
      <c r="JI143" s="108" t="str">
        <f t="shared" si="89"/>
        <v/>
      </c>
      <c r="JJ143" s="109" t="str">
        <f t="shared" si="175"/>
        <v/>
      </c>
      <c r="JK143" s="109" t="str">
        <f t="shared" si="90"/>
        <v/>
      </c>
      <c r="JL143" s="110" t="str">
        <f t="shared" si="199"/>
        <v/>
      </c>
      <c r="JM143" s="51"/>
      <c r="JN143" s="108" t="str">
        <f t="shared" si="176"/>
        <v/>
      </c>
      <c r="JO143" s="109" t="str">
        <f t="shared" si="177"/>
        <v/>
      </c>
      <c r="JP143" s="109" t="str">
        <f t="shared" si="91"/>
        <v/>
      </c>
      <c r="JQ143" s="110" t="str">
        <f t="shared" si="178"/>
        <v/>
      </c>
      <c r="JR143" s="51"/>
      <c r="JS143" s="108" t="str">
        <f t="shared" si="92"/>
        <v/>
      </c>
      <c r="JT143" s="109" t="str">
        <f t="shared" si="179"/>
        <v/>
      </c>
      <c r="JU143" s="109" t="str">
        <f t="shared" si="93"/>
        <v/>
      </c>
      <c r="JV143" s="110" t="str">
        <f t="shared" si="200"/>
        <v/>
      </c>
      <c r="JW143" s="51"/>
      <c r="JX143" s="108" t="str">
        <f t="shared" si="180"/>
        <v/>
      </c>
      <c r="JY143" s="109" t="str">
        <f t="shared" si="181"/>
        <v/>
      </c>
      <c r="JZ143" s="109" t="str">
        <f t="shared" si="94"/>
        <v/>
      </c>
      <c r="KA143" s="110" t="str">
        <f t="shared" si="95"/>
        <v/>
      </c>
    </row>
    <row r="144" spans="1:287" ht="12" customHeight="1">
      <c r="A144" s="105">
        <f t="array" ref="A144">MAX(IF($J$80:J143&gt;0,$C$80:C143,0))</f>
        <v>43536</v>
      </c>
      <c r="B144" s="81" t="str">
        <f t="shared" si="4"/>
        <v/>
      </c>
      <c r="C144" s="82">
        <f t="shared" si="182"/>
        <v>0</v>
      </c>
      <c r="D144" s="83" t="str">
        <f t="shared" si="5"/>
        <v/>
      </c>
      <c r="E144" s="83" t="str">
        <f t="shared" si="96"/>
        <v/>
      </c>
      <c r="F144" s="83" t="str">
        <f t="shared" si="6"/>
        <v/>
      </c>
      <c r="G144" s="83" t="str">
        <f t="shared" si="7"/>
        <v/>
      </c>
      <c r="H144" s="83" t="str">
        <f t="shared" si="8"/>
        <v/>
      </c>
      <c r="I144" s="105">
        <f t="array" ref="I144">MAX(IF($R$80:R143&gt;0,$L$80:L143,0))</f>
        <v>0</v>
      </c>
      <c r="J144" s="106"/>
      <c r="K144" s="2" t="str">
        <f t="shared" si="9"/>
        <v/>
      </c>
      <c r="L144" s="82">
        <f t="shared" si="183"/>
        <v>0</v>
      </c>
      <c r="M144" s="83" t="str">
        <f t="shared" si="97"/>
        <v/>
      </c>
      <c r="N144" s="83" t="str">
        <f t="shared" si="10"/>
        <v/>
      </c>
      <c r="O144" s="83" t="str">
        <f t="shared" si="11"/>
        <v/>
      </c>
      <c r="P144" s="83" t="str">
        <f t="shared" si="12"/>
        <v/>
      </c>
      <c r="Q144" s="83" t="str">
        <f t="shared" si="13"/>
        <v/>
      </c>
      <c r="R144" s="106"/>
      <c r="S144" s="1"/>
      <c r="U144" s="85" t="e">
        <f t="shared" ref="U144:U200" si="244">IF(DATE($F$46,$G$46,$H$46)&lt;C144,"",B144)</f>
        <v>#NUM!</v>
      </c>
      <c r="V144" s="86" t="e">
        <f t="shared" si="98"/>
        <v>#NUM!</v>
      </c>
      <c r="W144" s="87" t="e">
        <f t="shared" si="14"/>
        <v>#NUM!</v>
      </c>
      <c r="X144" s="87" t="e">
        <f t="shared" si="15"/>
        <v>#NUM!</v>
      </c>
      <c r="Y144" s="87" t="e">
        <f t="shared" si="16"/>
        <v>#NUM!</v>
      </c>
      <c r="Z144" s="88" t="e">
        <f t="shared" ref="Z144:Z200" si="245">IF($U144="",0,$H144)</f>
        <v>#NUM!</v>
      </c>
      <c r="AA144" t="s">
        <v>282</v>
      </c>
      <c r="AB144" s="89">
        <f t="shared" si="99"/>
        <v>0</v>
      </c>
      <c r="AC144" s="87">
        <f t="shared" si="100"/>
        <v>0</v>
      </c>
      <c r="AD144" s="87" t="str">
        <f t="shared" si="17"/>
        <v/>
      </c>
      <c r="AE144" s="87" t="str">
        <f t="shared" si="18"/>
        <v/>
      </c>
      <c r="AF144" s="86">
        <f t="shared" si="101"/>
        <v>0</v>
      </c>
      <c r="AG144" s="87">
        <f t="shared" ref="AG144:AG200" si="246">IF($F$10="დეპოზიტით უზრუნველყოფილი",0,IF(AF144&gt;0,IF($H$16="GEL",$R$14,ROUND($R$14/$H$18,2)),0))</f>
        <v>0</v>
      </c>
      <c r="AH144" s="87">
        <f t="shared" si="102"/>
        <v>0</v>
      </c>
      <c r="AI144" s="90"/>
      <c r="AJ144" s="87" t="e">
        <f t="shared" si="19"/>
        <v>#NUM!</v>
      </c>
      <c r="AK144" s="87" t="e">
        <f t="shared" si="103"/>
        <v>#NUM!</v>
      </c>
      <c r="AL144" s="87" t="e">
        <f t="shared" si="104"/>
        <v>#NUM!</v>
      </c>
      <c r="AM144" s="87" t="e">
        <f t="shared" si="105"/>
        <v>#NUM!</v>
      </c>
      <c r="AN144" s="86">
        <f t="shared" si="20"/>
        <v>0</v>
      </c>
      <c r="AO144" s="87">
        <f t="shared" si="21"/>
        <v>0</v>
      </c>
      <c r="AP144" s="88">
        <f t="shared" si="22"/>
        <v>0</v>
      </c>
      <c r="AR144" s="89">
        <f t="shared" si="23"/>
        <v>0</v>
      </c>
      <c r="AS144" s="87">
        <f t="shared" si="24"/>
        <v>0</v>
      </c>
      <c r="AT144" s="87" t="str">
        <f t="shared" si="25"/>
        <v/>
      </c>
      <c r="AU144" s="87" t="str">
        <f t="shared" si="26"/>
        <v/>
      </c>
      <c r="AV144" s="86">
        <f t="shared" si="106"/>
        <v>0</v>
      </c>
      <c r="AW144" s="87">
        <f t="shared" si="107"/>
        <v>0</v>
      </c>
      <c r="AX144" s="87">
        <f t="shared" si="108"/>
        <v>0</v>
      </c>
      <c r="AY144" s="93"/>
      <c r="AZ144" s="87">
        <f t="shared" si="201"/>
        <v>0</v>
      </c>
      <c r="BA144" s="87">
        <f t="shared" si="109"/>
        <v>0</v>
      </c>
      <c r="BB144" s="87">
        <f t="shared" si="110"/>
        <v>0</v>
      </c>
      <c r="BC144" s="87">
        <f t="shared" si="184"/>
        <v>0</v>
      </c>
      <c r="BD144" s="86" t="e">
        <f t="shared" si="27"/>
        <v>#NUM!</v>
      </c>
      <c r="BE144" s="87" t="e">
        <f t="shared" ref="BE144:BE200" si="247">IF($O$28="დეპოზიტით უზრუნველყოფილი",0,IF(BD144&gt;0,$R$38,0))</f>
        <v>#NUM!</v>
      </c>
      <c r="BF144" s="88">
        <f t="shared" si="111"/>
        <v>0</v>
      </c>
      <c r="BH144" s="87" t="e">
        <f t="shared" si="28"/>
        <v>#NUM!</v>
      </c>
      <c r="BK144" s="95">
        <v>40976</v>
      </c>
      <c r="BL144" s="96">
        <v>65</v>
      </c>
      <c r="CS144" s="108" t="str">
        <f t="shared" si="29"/>
        <v/>
      </c>
      <c r="CT144" s="109" t="str">
        <f t="shared" si="30"/>
        <v/>
      </c>
      <c r="CU144" s="109" t="str">
        <f t="shared" si="31"/>
        <v/>
      </c>
      <c r="CV144" s="110" t="str">
        <f t="shared" si="225"/>
        <v/>
      </c>
      <c r="CX144" s="108" t="str">
        <f t="shared" si="33"/>
        <v/>
      </c>
      <c r="CY144" s="109" t="str">
        <f t="shared" si="113"/>
        <v/>
      </c>
      <c r="CZ144" s="109" t="str">
        <f t="shared" si="34"/>
        <v/>
      </c>
      <c r="DA144" s="110" t="str">
        <f t="shared" si="226"/>
        <v/>
      </c>
      <c r="DC144" s="108" t="str">
        <f t="shared" si="114"/>
        <v/>
      </c>
      <c r="DD144" s="109" t="str">
        <f t="shared" si="115"/>
        <v/>
      </c>
      <c r="DE144" s="109" t="str">
        <f t="shared" si="36"/>
        <v/>
      </c>
      <c r="DF144" s="110" t="str">
        <f t="shared" si="227"/>
        <v/>
      </c>
      <c r="DH144" s="108" t="str">
        <f t="shared" si="38"/>
        <v/>
      </c>
      <c r="DI144" s="109" t="str">
        <f t="shared" si="39"/>
        <v/>
      </c>
      <c r="DJ144" s="109" t="str">
        <f t="shared" si="40"/>
        <v/>
      </c>
      <c r="DK144" s="110" t="str">
        <f t="shared" si="228"/>
        <v/>
      </c>
      <c r="DM144" s="108" t="str">
        <f t="shared" si="116"/>
        <v/>
      </c>
      <c r="DN144" s="109" t="str">
        <f t="shared" si="117"/>
        <v/>
      </c>
      <c r="DO144" s="109" t="str">
        <f t="shared" si="42"/>
        <v/>
      </c>
      <c r="DP144" s="110" t="str">
        <f t="shared" si="229"/>
        <v/>
      </c>
      <c r="DR144" s="108" t="str">
        <f t="shared" si="43"/>
        <v/>
      </c>
      <c r="DS144" s="109" t="str">
        <f t="shared" si="118"/>
        <v/>
      </c>
      <c r="DT144" s="109" t="str">
        <f t="shared" si="44"/>
        <v/>
      </c>
      <c r="DU144" s="110" t="str">
        <f t="shared" si="230"/>
        <v/>
      </c>
      <c r="DW144" s="108" t="str">
        <f t="shared" si="120"/>
        <v/>
      </c>
      <c r="DX144" s="109" t="str">
        <f t="shared" si="121"/>
        <v/>
      </c>
      <c r="DY144" s="109" t="str">
        <f t="shared" si="45"/>
        <v/>
      </c>
      <c r="DZ144" s="110" t="str">
        <f t="shared" si="231"/>
        <v/>
      </c>
      <c r="EB144" s="108" t="str">
        <f t="shared" si="46"/>
        <v/>
      </c>
      <c r="EC144" s="109" t="str">
        <f t="shared" si="122"/>
        <v/>
      </c>
      <c r="ED144" s="109" t="str">
        <f t="shared" si="47"/>
        <v/>
      </c>
      <c r="EE144" s="110" t="str">
        <f t="shared" si="232"/>
        <v/>
      </c>
      <c r="EG144" s="108" t="str">
        <f t="shared" si="124"/>
        <v/>
      </c>
      <c r="EH144" s="109" t="str">
        <f t="shared" si="125"/>
        <v/>
      </c>
      <c r="EI144" s="109" t="str">
        <f t="shared" si="48"/>
        <v/>
      </c>
      <c r="EJ144" s="110" t="str">
        <f t="shared" si="233"/>
        <v/>
      </c>
      <c r="EL144" s="108" t="str">
        <f t="shared" si="49"/>
        <v/>
      </c>
      <c r="EM144" s="109" t="str">
        <f t="shared" si="126"/>
        <v/>
      </c>
      <c r="EN144" s="109" t="str">
        <f t="shared" si="50"/>
        <v/>
      </c>
      <c r="EO144" s="110" t="str">
        <f t="shared" si="234"/>
        <v/>
      </c>
      <c r="EQ144" s="108" t="str">
        <f t="shared" si="128"/>
        <v/>
      </c>
      <c r="ER144" s="109" t="str">
        <f t="shared" si="129"/>
        <v/>
      </c>
      <c r="ES144" s="109" t="str">
        <f t="shared" si="51"/>
        <v/>
      </c>
      <c r="ET144" s="110" t="str">
        <f t="shared" si="235"/>
        <v/>
      </c>
      <c r="EV144" s="108" t="str">
        <f t="shared" si="52"/>
        <v/>
      </c>
      <c r="EW144" s="109" t="str">
        <f t="shared" si="130"/>
        <v/>
      </c>
      <c r="EX144" s="109" t="str">
        <f t="shared" si="53"/>
        <v/>
      </c>
      <c r="EY144" s="110" t="str">
        <f t="shared" si="236"/>
        <v/>
      </c>
      <c r="FA144" s="108" t="str">
        <f t="shared" si="132"/>
        <v/>
      </c>
      <c r="FB144" s="109" t="str">
        <f t="shared" si="133"/>
        <v/>
      </c>
      <c r="FC144" s="109" t="str">
        <f t="shared" si="54"/>
        <v/>
      </c>
      <c r="FD144" s="110" t="str">
        <f t="shared" si="237"/>
        <v/>
      </c>
      <c r="FF144" s="108" t="str">
        <f t="shared" si="55"/>
        <v/>
      </c>
      <c r="FG144" s="109" t="str">
        <f t="shared" si="134"/>
        <v/>
      </c>
      <c r="FH144" s="109" t="str">
        <f t="shared" si="56"/>
        <v/>
      </c>
      <c r="FI144" s="110" t="str">
        <f t="shared" si="238"/>
        <v/>
      </c>
      <c r="FK144" s="108" t="str">
        <f t="shared" si="136"/>
        <v/>
      </c>
      <c r="FL144" s="109" t="str">
        <f t="shared" si="137"/>
        <v/>
      </c>
      <c r="FM144" s="109" t="str">
        <f t="shared" si="57"/>
        <v/>
      </c>
      <c r="FN144" s="110" t="str">
        <f t="shared" si="239"/>
        <v/>
      </c>
      <c r="FP144" s="108" t="str">
        <f t="shared" si="58"/>
        <v/>
      </c>
      <c r="FQ144" s="109" t="str">
        <f t="shared" si="138"/>
        <v/>
      </c>
      <c r="FR144" s="109" t="str">
        <f t="shared" si="59"/>
        <v/>
      </c>
      <c r="FS144" s="110" t="str">
        <f t="shared" si="240"/>
        <v/>
      </c>
      <c r="FU144" s="108" t="str">
        <f t="shared" si="140"/>
        <v/>
      </c>
      <c r="FV144" s="109" t="str">
        <f t="shared" si="141"/>
        <v/>
      </c>
      <c r="FW144" s="109" t="str">
        <f t="shared" si="60"/>
        <v/>
      </c>
      <c r="FX144" s="110" t="str">
        <f t="shared" si="241"/>
        <v/>
      </c>
      <c r="FZ144" s="108" t="str">
        <f t="shared" si="61"/>
        <v/>
      </c>
      <c r="GA144" s="109" t="str">
        <f t="shared" si="142"/>
        <v/>
      </c>
      <c r="GB144" s="109" t="str">
        <f t="shared" si="62"/>
        <v/>
      </c>
      <c r="GC144" s="110" t="str">
        <f t="shared" si="242"/>
        <v/>
      </c>
      <c r="GE144" s="108" t="str">
        <f t="shared" si="144"/>
        <v/>
      </c>
      <c r="GF144" s="109" t="str">
        <f t="shared" si="145"/>
        <v/>
      </c>
      <c r="GG144" s="109" t="str">
        <f t="shared" si="146"/>
        <v/>
      </c>
      <c r="GH144" s="110" t="str">
        <f t="shared" si="243"/>
        <v/>
      </c>
      <c r="GL144" s="108" t="str">
        <f t="shared" si="63"/>
        <v/>
      </c>
      <c r="GM144" s="109" t="str">
        <f t="shared" si="64"/>
        <v/>
      </c>
      <c r="GN144" s="109" t="str">
        <f t="shared" si="65"/>
        <v/>
      </c>
      <c r="GO144" s="110" t="str">
        <f t="shared" si="66"/>
        <v/>
      </c>
      <c r="GP144" s="51"/>
      <c r="GQ144" s="108" t="str">
        <f t="shared" si="67"/>
        <v/>
      </c>
      <c r="GR144" s="109" t="str">
        <f t="shared" si="147"/>
        <v/>
      </c>
      <c r="GS144" s="109" t="str">
        <f t="shared" si="68"/>
        <v/>
      </c>
      <c r="GT144" s="110" t="str">
        <f t="shared" si="69"/>
        <v/>
      </c>
      <c r="GU144" s="51"/>
      <c r="GV144" s="108" t="str">
        <f t="shared" si="148"/>
        <v/>
      </c>
      <c r="GW144" s="109" t="str">
        <f t="shared" si="149"/>
        <v/>
      </c>
      <c r="GX144" s="109" t="str">
        <f t="shared" si="70"/>
        <v/>
      </c>
      <c r="GY144" s="110" t="str">
        <f t="shared" si="150"/>
        <v/>
      </c>
      <c r="GZ144" s="51"/>
      <c r="HA144" s="108" t="str">
        <f t="shared" si="71"/>
        <v/>
      </c>
      <c r="HB144" s="109" t="str">
        <f t="shared" si="151"/>
        <v/>
      </c>
      <c r="HC144" s="109" t="str">
        <f t="shared" si="72"/>
        <v/>
      </c>
      <c r="HD144" s="110" t="str">
        <f t="shared" si="193"/>
        <v/>
      </c>
      <c r="HE144" s="51"/>
      <c r="HF144" s="108" t="str">
        <f t="shared" si="152"/>
        <v/>
      </c>
      <c r="HG144" s="109" t="str">
        <f t="shared" si="153"/>
        <v/>
      </c>
      <c r="HH144" s="109" t="str">
        <f t="shared" si="73"/>
        <v/>
      </c>
      <c r="HI144" s="110" t="str">
        <f t="shared" si="154"/>
        <v/>
      </c>
      <c r="HJ144" s="51"/>
      <c r="HK144" s="108" t="str">
        <f t="shared" si="74"/>
        <v/>
      </c>
      <c r="HL144" s="109" t="str">
        <f t="shared" si="155"/>
        <v/>
      </c>
      <c r="HM144" s="109" t="str">
        <f t="shared" si="75"/>
        <v/>
      </c>
      <c r="HN144" s="110" t="str">
        <f t="shared" si="194"/>
        <v/>
      </c>
      <c r="HO144" s="51"/>
      <c r="HP144" s="108" t="str">
        <f t="shared" si="156"/>
        <v/>
      </c>
      <c r="HQ144" s="109" t="str">
        <f t="shared" si="157"/>
        <v/>
      </c>
      <c r="HR144" s="109" t="str">
        <f t="shared" si="76"/>
        <v/>
      </c>
      <c r="HS144" s="110" t="str">
        <f t="shared" si="158"/>
        <v/>
      </c>
      <c r="HT144" s="51"/>
      <c r="HU144" s="108" t="str">
        <f t="shared" si="77"/>
        <v/>
      </c>
      <c r="HV144" s="109" t="str">
        <f t="shared" si="159"/>
        <v/>
      </c>
      <c r="HW144" s="109" t="str">
        <f t="shared" si="78"/>
        <v/>
      </c>
      <c r="HX144" s="110" t="str">
        <f t="shared" si="195"/>
        <v/>
      </c>
      <c r="HY144" s="51"/>
      <c r="HZ144" s="108" t="str">
        <f t="shared" si="160"/>
        <v/>
      </c>
      <c r="IA144" s="109" t="str">
        <f t="shared" si="161"/>
        <v/>
      </c>
      <c r="IB144" s="109" t="str">
        <f t="shared" si="79"/>
        <v/>
      </c>
      <c r="IC144" s="110" t="str">
        <f t="shared" si="162"/>
        <v/>
      </c>
      <c r="ID144" s="51"/>
      <c r="IE144" s="108" t="str">
        <f t="shared" si="80"/>
        <v/>
      </c>
      <c r="IF144" s="109" t="str">
        <f t="shared" si="163"/>
        <v/>
      </c>
      <c r="IG144" s="109" t="str">
        <f t="shared" si="81"/>
        <v/>
      </c>
      <c r="IH144" s="110" t="str">
        <f t="shared" si="196"/>
        <v/>
      </c>
      <c r="II144" s="51"/>
      <c r="IJ144" s="108" t="str">
        <f t="shared" si="164"/>
        <v/>
      </c>
      <c r="IK144" s="109" t="str">
        <f t="shared" si="165"/>
        <v/>
      </c>
      <c r="IL144" s="109" t="str">
        <f t="shared" si="82"/>
        <v/>
      </c>
      <c r="IM144" s="110" t="str">
        <f t="shared" si="166"/>
        <v/>
      </c>
      <c r="IN144" s="51"/>
      <c r="IO144" s="108" t="str">
        <f t="shared" si="83"/>
        <v/>
      </c>
      <c r="IP144" s="109" t="str">
        <f t="shared" si="167"/>
        <v/>
      </c>
      <c r="IQ144" s="109" t="str">
        <f t="shared" si="84"/>
        <v/>
      </c>
      <c r="IR144" s="110" t="str">
        <f t="shared" si="197"/>
        <v/>
      </c>
      <c r="IS144" s="51"/>
      <c r="IT144" s="108" t="str">
        <f t="shared" si="168"/>
        <v/>
      </c>
      <c r="IU144" s="109" t="str">
        <f t="shared" si="169"/>
        <v/>
      </c>
      <c r="IV144" s="109" t="str">
        <f t="shared" si="85"/>
        <v/>
      </c>
      <c r="IW144" s="110" t="str">
        <f t="shared" si="170"/>
        <v/>
      </c>
      <c r="IX144" s="51"/>
      <c r="IY144" s="108" t="str">
        <f t="shared" si="86"/>
        <v/>
      </c>
      <c r="IZ144" s="109" t="str">
        <f t="shared" si="171"/>
        <v/>
      </c>
      <c r="JA144" s="109" t="str">
        <f t="shared" si="87"/>
        <v/>
      </c>
      <c r="JB144" s="110" t="str">
        <f t="shared" si="198"/>
        <v/>
      </c>
      <c r="JC144" s="51"/>
      <c r="JD144" s="108" t="str">
        <f t="shared" si="172"/>
        <v/>
      </c>
      <c r="JE144" s="109" t="str">
        <f t="shared" si="173"/>
        <v/>
      </c>
      <c r="JF144" s="109" t="str">
        <f t="shared" si="88"/>
        <v/>
      </c>
      <c r="JG144" s="110" t="str">
        <f t="shared" si="174"/>
        <v/>
      </c>
      <c r="JH144" s="51"/>
      <c r="JI144" s="108" t="str">
        <f t="shared" si="89"/>
        <v/>
      </c>
      <c r="JJ144" s="109" t="str">
        <f t="shared" si="175"/>
        <v/>
      </c>
      <c r="JK144" s="109" t="str">
        <f t="shared" si="90"/>
        <v/>
      </c>
      <c r="JL144" s="110" t="str">
        <f t="shared" si="199"/>
        <v/>
      </c>
      <c r="JM144" s="51"/>
      <c r="JN144" s="108" t="str">
        <f t="shared" si="176"/>
        <v/>
      </c>
      <c r="JO144" s="109" t="str">
        <f t="shared" si="177"/>
        <v/>
      </c>
      <c r="JP144" s="109" t="str">
        <f t="shared" si="91"/>
        <v/>
      </c>
      <c r="JQ144" s="110" t="str">
        <f t="shared" si="178"/>
        <v/>
      </c>
      <c r="JR144" s="51"/>
      <c r="JS144" s="108" t="str">
        <f t="shared" si="92"/>
        <v/>
      </c>
      <c r="JT144" s="109" t="str">
        <f t="shared" si="179"/>
        <v/>
      </c>
      <c r="JU144" s="109" t="str">
        <f t="shared" si="93"/>
        <v/>
      </c>
      <c r="JV144" s="110" t="str">
        <f t="shared" si="200"/>
        <v/>
      </c>
      <c r="JW144" s="51"/>
      <c r="JX144" s="108" t="str">
        <f t="shared" si="180"/>
        <v/>
      </c>
      <c r="JY144" s="109" t="str">
        <f t="shared" si="181"/>
        <v/>
      </c>
      <c r="JZ144" s="109" t="str">
        <f t="shared" si="94"/>
        <v/>
      </c>
      <c r="KA144" s="110" t="str">
        <f t="shared" si="95"/>
        <v/>
      </c>
    </row>
    <row r="145" spans="1:287" ht="12" customHeight="1">
      <c r="A145" s="105">
        <f t="array" ref="A145">MAX(IF($J$80:J144&gt;0,$C$80:C144,0))</f>
        <v>43536</v>
      </c>
      <c r="B145" s="81" t="str">
        <f t="shared" ref="B145:B200" si="248">IFERROR(IF(OR(AND($H$20=B144,$F$10&lt;&gt;"დეპოზიტით უზრუნველყოფილი"),AND($F$10="დეპოზიტით უზრუნველყოფილი",B144+1&lt;&gt;1)),"",B144+1),"")</f>
        <v/>
      </c>
      <c r="C145" s="82">
        <f t="shared" si="182"/>
        <v>0</v>
      </c>
      <c r="D145" s="83" t="str">
        <f t="shared" ref="D145:D200" si="249">IF(B145="","",IF(OR($F$10="ასიმეტრიული",$F$10="ასიმეტრიული პროცენტით",$F$10="ბიზნეს ოვერდრაფტი",$F$10="დეპოზიტით უზრუნველყოფილი"),F145+G145+E145,GE145+E145))</f>
        <v/>
      </c>
      <c r="E145" s="83" t="str">
        <f t="shared" si="96"/>
        <v/>
      </c>
      <c r="F145" s="83" t="str">
        <f t="shared" ref="F145:F200" si="250">IF(B145="","",IF(OR($F$10="ანუიტეტური",$F$10="სამომხმარებლო",$F$10="საშეღავათო",$F$10="ნულოვანი საშეღავათო"),GF145,IF(B145=$H$20,H144,IF($F$10="დეპოზიტით უზრუნველყოფილი",$H$80,IF($F$10="ასიმეტრიული",J145-G145,IF($F$10="ასიმეტრიული პროცენტით",J145,0))))))</f>
        <v/>
      </c>
      <c r="G145" s="83" t="str">
        <f t="shared" ref="G145:G200" si="251">IF(B145="","",IF(AND($F$10="ასიმეტრიული",J145="",B145&lt;$H$20),0,IF(AND($F$10="ასიმეტრიული",OR(J145&gt;0,B145=$H$20)),ROUND($H$22/$I$22*(C145-A145)*H144,2),IF(OR($F$10="ასიმეტრიული პროცენტით",$F$10="ბიზნეს ოვერდრაფტი",$F$10="დეპოზიტით უზრუნველყოფილი"),ROUND($H$22/$I$22*(C145-C144)*H144,2),GG145))))</f>
        <v/>
      </c>
      <c r="H145" s="83" t="str">
        <f t="shared" ref="H145:H200" si="252">IF(B145="","",IF(AND(OR($F$10="ასიმეტრიული",$F$10="ასიმეტრიული პროცენტით"),J145="",B145&lt;$H$20),H144,IF($F$10="დეპოზიტით უზრუნველყოფილი",$H$80-$F$81,IF($F$10="ბიზნეს ოვერდრაფტი",H144-F145,IF(AND(OR($F$10="ასიმეტრიული",$F$10="ასიმეტრიული პროცენტით"),OR(J145&gt;0,B145=$H$20)),H144-F145,GH145)))))</f>
        <v/>
      </c>
      <c r="I145" s="105">
        <f t="array" ref="I145">MAX(IF($R$80:R144&gt;0,$L$80:L144,0))</f>
        <v>0</v>
      </c>
      <c r="J145" s="106"/>
      <c r="K145" s="2" t="str">
        <f t="shared" ref="K145:K200" si="253">IFERROR(IF(OR(AND($R$32=K144,$O$28&lt;&gt;"დეპოზიტით უზრუნველყოფილი"),AND($O$28="დეპოზიტით უზრუნველყოფილი",K144+1&lt;&gt;1)),"",K144+1),"")</f>
        <v/>
      </c>
      <c r="L145" s="82">
        <f t="shared" si="183"/>
        <v>0</v>
      </c>
      <c r="M145" s="83" t="str">
        <f t="shared" si="97"/>
        <v/>
      </c>
      <c r="N145" s="83" t="str">
        <f t="shared" ref="N145:N200" si="254">IF(K145="","",IF(Q144&gt;0,IF(OR($O$28="ანუიტეტური",$O$28="საშეღავათო",$O$28="ასიმეტრიული პროცენტით",$O$28="სამომხმარებლო"),ROUND($Q144*$R$46/$I$22*(L145-L144),2),IF($O$28="ნულოვანი საშეღავათო",IF($K145&lt;=$Q$30,0,IF($K145=$Q$30+1,ROUND($Q144*$R$46/$I$22*($L145-$L$80),2),ROUND($Q144*$R$46/$I$22*($L145-$L144),2))),IF($O$28="ასიმეტრიული",IF(AND(R145="",K145&lt;$R$32),0,IF(OR(R145&gt;0,K145=$R$32),ROUND($Q144*$R$46/$I$22*(L145-I145),2))),0)))))</f>
        <v/>
      </c>
      <c r="O145" s="83" t="str">
        <f t="shared" ref="O145:O200" si="255">IF(OR($F$46="",$G$46="",$H$46=""),"",IF(K145="","",IF(OR($O$28="ანუიტეტური",$O$28="სამომხმარებლო",$O$28="საშეღავათო",$O$28="ნულოვანი საშეღავათო"),JY145,IF(K145=$R$32,Q144,IF($O$28="დეპოზიტით უზრუნველყოფილი",$Q$80,IF($O$28="ასიმეტრიული",R145-P145,IF($O$28="ასიმეტრიული პროცენტით",R145,0)))))))</f>
        <v/>
      </c>
      <c r="P145" s="83" t="str">
        <f t="shared" ref="P145:P200" si="256">IF(K145="","",IF(AND($O$28="ასიმეტრიული",R145="",K145&lt;$R$32),0,IF(AND($O$28="ასიმეტრიული",OR(R145&gt;0,K145=$R$32)),$P$34/$I$22*(L145-I145)*Q144,IF(OR($O$28="ასიმეტრიული პროცენტით",$O$28="ბიზნეს ოვერდრაფტი",$O$28="დეპოზიტით უზრუნველყოფილი"),$P$34/$I$22*(L145-L144)*Q144,JZ145))))</f>
        <v/>
      </c>
      <c r="Q145" s="83" t="str">
        <f t="shared" ref="Q145:Q200" si="257">IF(K145="","",IF(AND(OR($O$28="ასიმეტრიული",$O$28="ასიმეტრიული პროცენტით"),R145="",K145&lt;$R$32),Q144,IF($O$28="დეპოზიტით უზრუნველყოფილი",$Q$80-$O$81,IF($O$28="ბიზნეს ოვერდრაფტი",Q144-O145,IF(AND(OR($O$28="ასიმეტრიული",$O$28="ასიმეტრიული პროცენტით"),OR(R145&gt;0,K145=$R$32)),Q144-O145,KA145)))))</f>
        <v/>
      </c>
      <c r="R145" s="106"/>
      <c r="S145" s="1"/>
      <c r="U145" s="85" t="e">
        <f t="shared" si="244"/>
        <v>#NUM!</v>
      </c>
      <c r="V145" s="86" t="e">
        <f t="shared" si="98"/>
        <v>#NUM!</v>
      </c>
      <c r="W145" s="87" t="e">
        <f t="shared" ref="W145:W200" si="258">IF($U145="",0,$D145)</f>
        <v>#NUM!</v>
      </c>
      <c r="X145" s="87" t="e">
        <f t="shared" ref="X145:X200" si="259">IF($U145="",0,$F145)</f>
        <v>#NUM!</v>
      </c>
      <c r="Y145" s="87" t="e">
        <f t="shared" ref="Y145:Y200" si="260">IF($U145="",0,$G145)</f>
        <v>#NUM!</v>
      </c>
      <c r="Z145" s="88" t="e">
        <f t="shared" si="245"/>
        <v>#NUM!</v>
      </c>
      <c r="AA145" t="s">
        <v>282</v>
      </c>
      <c r="AB145" s="89">
        <f t="shared" si="99"/>
        <v>0</v>
      </c>
      <c r="AC145" s="87">
        <f t="shared" si="100"/>
        <v>0</v>
      </c>
      <c r="AD145" s="87" t="str">
        <f t="shared" ref="AD145:AD200" si="261">IF(OR($F$10="ბიზნეს ოვერდრაფტი",$F$10="საკრედიტო ბარათი"),IF(D145&lt;&gt;"",D145,0),"")</f>
        <v/>
      </c>
      <c r="AE145" s="87" t="str">
        <f t="shared" ref="AE145:AE200" si="262">IF(OR($F$10="ბიზნეს ოვერდრაფტი",$F$10="საკრედიტო ბარათი"),IF(D145&lt;&gt;"",ROUND((D145*($BJ$81+(C145-$C$80)*$BJ$82)),2),0),"")</f>
        <v/>
      </c>
      <c r="AF145" s="86">
        <f t="shared" si="101"/>
        <v>0</v>
      </c>
      <c r="AG145" s="87">
        <f t="shared" si="246"/>
        <v>0</v>
      </c>
      <c r="AH145" s="87">
        <f t="shared" si="102"/>
        <v>0</v>
      </c>
      <c r="AI145" s="90"/>
      <c r="AJ145" s="87" t="e">
        <f t="shared" ref="AJ145:AJ200" si="263">IF(OR($F$46="",DATE($F$34,$G$34,$H$34)&lt;=DATE($F$46,$G$46,$H$46)),0,IF(M145&lt;&gt;"",M145,0))</f>
        <v>#NUM!</v>
      </c>
      <c r="AK145" s="87" t="e">
        <f t="shared" si="103"/>
        <v>#NUM!</v>
      </c>
      <c r="AL145" s="87" t="e">
        <f t="shared" si="104"/>
        <v>#NUM!</v>
      </c>
      <c r="AM145" s="87" t="e">
        <f t="shared" si="105"/>
        <v>#NUM!</v>
      </c>
      <c r="AN145" s="86">
        <f t="shared" ref="AN145:AN200" si="264">IF($O$28="დეპოზიტით უზრუნველყოფილი",0,IFERROR(IF(AND(EDATE($AN144,1)&lt;=MAX($L$80:$L$200),$AN144&lt;&gt;0),EDATE($AN144,1),0),0))</f>
        <v>0</v>
      </c>
      <c r="AO145" s="87">
        <f t="shared" ref="AO145:AO200" si="265">IF($O$28="დეპოზიტით უზრუნველყოფილი",0,IF(AN145&gt;0,IF($H$16="GEL",$R$38,ROUND($R$38/$Q$32,2)),0))</f>
        <v>0</v>
      </c>
      <c r="AP145" s="88">
        <f t="shared" ref="AP145:AP200" si="266">IF(N145&lt;&gt;"",N145,0)</f>
        <v>0</v>
      </c>
      <c r="AR145" s="89">
        <f t="shared" ref="AR145:AR200" si="267">IF(AND(OR($F$46="",$G$46="",$H$46=""),D145&lt;&gt;""),IF($H$16="GEL",D145,ROUND(D145*$H$18,2)),IF(AND(OR($F$46="",$G$46="",$H$46=""),D145=""),0,IF(AND(DATE($F$46,$G$46,$H$46)&gt;=DATE($F$34,$G$34,$H$34),D145&lt;&gt;""),IF($H$16="GEL",D145,ROUND(D145*$H$18,2)),IF(AND(DATE($F$46,$G$46,$H$46)&gt;=DATE($F$34,$G$34,$H$34),D145=""),0,IF(AND(DATE($F$46,$G$46,$H$46)&lt;DATE($F$34,$G$34,$H$34),U145&lt;&gt;""),IF($H$16="GEL",W145,ROUND(W145*$H$18,2)),IF(AND(DATE($F$46,$G$46,$H$46)&lt;DATE($F$34,$G$34,$H$34),U145=""),0))))))</f>
        <v>0</v>
      </c>
      <c r="AS145" s="87">
        <f t="shared" ref="AS145:AS200" si="268">ROUND(IF(AND(OR($F$46="",$G$46="",$H$46=""),D145&lt;&gt;""),(IF($H$16="GEL",D145,D145*$H$18)*($BJ$81+(C145-$C$80)*$BJ$82)),IF(AND(OR($F$46="",$G$46="",$H$46=""),D145=""),0,IF(AND(DATE($F$46,$G$46,$H$46)&gt;=DATE($F$34,$G$34,$H$34),D145&lt;&gt;""),(IF($H$16="GEL",D145,D145*$H$18)*($BJ$81+(C145-$C$80)*$BJ$82)),IF(AND(DATE($F$46,$G$46,$H$46)&gt;=DATE($F$34,$G$34,$H$34),D145=""),0,IF(AND(DATE($F$46,$G$46,$H$46)&lt;DATE($F$34,$G$34,$H$34),U145&lt;&gt;""),(IF($H$16="GEL",W145,W145*$H$18)*($BJ$81+(V145-$V$80)*$BJ$82)),IF(AND(DATE($F$46,$G$46,$H$46)&lt;DATE($F$34,$G$34,$H$34),U145=""),0)))))),2)</f>
        <v>0</v>
      </c>
      <c r="AT145" s="87" t="str">
        <f t="shared" ref="AT145:AT200" si="269">IF(OR($F$10="ბიზნეს ოვერდრაფტი",$F$10="საკრედიტო ბარათი"),IF(AND(OR($F$46="",$G$46="",$H$46=""),D145&lt;&gt;""),IF($H$16="GEL",D145,ROUND(D145*$H$18,2)),IF(AND(OR($F$46="",$G$46="",$H$46=""),D145=""),0,IF(AND(DATE($F$46,$G$46,$H$46)&gt;=DATE($F$34,$G$34,$H$34),D145&lt;&gt;""),IF($H$16="GEL",D145,ROUND(D145*$H$18,2)),IF(AND(DATE($F$46,$G$46,$H$46)&gt;=DATE($F$34,$G$34,$H$34),D145=""),0,IF(AND(DATE($F$46,$G$46,$H$46)&lt;DATE($F$34,$G$34,$H$34),U145&lt;&gt;""),IF($H$16="GEL",W145,ROUND(W145*$H$18,2)),IF(AND(DATE($F$46,$G$46,$H$46)&lt;DATE($F$34,$G$34,$H$34),U145=""),0)))))),"")</f>
        <v/>
      </c>
      <c r="AU145" s="87" t="str">
        <f t="shared" ref="AU145:AU200" si="270">IF(OR($F$10="ბიზნეს ოვერდრაფტი",$F$10="საკრედიტო ბარათი"),ROUND(IF(AND(OR($F$46="",$G$46="",$H$46=""),D145&lt;&gt;""),(IF($H$16="GEL",D145,D145*$H$18)*($BJ$81+(C145-$C$80)*$BJ$82)),IF(AND(OR($F$46="",$G$46="",$H$46=""),D145=""),0,IF(AND(DATE($F$46,$G$46,$H$46)&gt;=DATE($F$34,$G$34,$H$34),D145&lt;&gt;""),(IF($H$16="GEL",D145,D145*$H$18)*($BJ$81+(C145-$C$80)*$BJ$82)),IF(AND(DATE($F$46,$G$46,$H$46)&gt;=DATE($F$34,$G$34,$H$34),D145=""),0,IF(AND(DATE($F$46,$G$46,$H$46)&lt;DATE($F$34,$G$34,$H$34),U145&lt;&gt;""),(IF($H$16="GEL",W145,W145*$H$18)*($BJ$81+(V145-$V$80)*$BJ$82)),IF(AND(DATE($F$46,$G$46,$H$46)&lt;DATE($F$34,$G$34,$H$34),U145=""),0)))))),2),"")</f>
        <v/>
      </c>
      <c r="AV145" s="86">
        <f t="shared" si="106"/>
        <v>0</v>
      </c>
      <c r="AW145" s="87">
        <f t="shared" si="107"/>
        <v>0</v>
      </c>
      <c r="AX145" s="87">
        <f t="shared" si="108"/>
        <v>0</v>
      </c>
      <c r="AY145" s="93"/>
      <c r="AZ145" s="87">
        <f t="shared" si="201"/>
        <v>0</v>
      </c>
      <c r="BA145" s="87">
        <f t="shared" si="109"/>
        <v>0</v>
      </c>
      <c r="BB145" s="87">
        <f t="shared" si="110"/>
        <v>0</v>
      </c>
      <c r="BC145" s="87">
        <f t="shared" si="184"/>
        <v>0</v>
      </c>
      <c r="BD145" s="86" t="e">
        <f t="shared" ref="BD145:BD200" si="271">IF(OR($O$28="დეპოზიტით უზრუნველყოფილი",$BD$80=0),0,IFERROR(IF(AND(EDATE($BD144,1)&lt;=MAX($L$80:$L$200),$BD144&lt;&gt;0),EDATE($BD144,1),0),0))</f>
        <v>#NUM!</v>
      </c>
      <c r="BE145" s="87" t="e">
        <f t="shared" si="247"/>
        <v>#NUM!</v>
      </c>
      <c r="BF145" s="88">
        <f t="shared" si="111"/>
        <v>0</v>
      </c>
      <c r="BH145" s="87" t="e">
        <f t="shared" ref="BH145:BH201" si="272">IF($C145&lt;=DATE($F$56,$G$56,$H$56),AB145/(1+$H$3)^(($C145-$C$80)/(DATE($F$56,$G$56,$H$56)-$C$80)),0)</f>
        <v>#NUM!</v>
      </c>
      <c r="BK145" s="95">
        <v>41008</v>
      </c>
      <c r="BL145" s="96">
        <v>66</v>
      </c>
      <c r="CS145" s="108" t="str">
        <f t="shared" ref="CS145:CS200" si="273">IF($B145="","",IF(OR($F$10="ანუიტეტური",$F$10="სამომხმარებლო"),ROUND(-PMT($H$22/$I$20,$H$20,$CS$80),2),IF(AND($F$10="საშეღავათო",$B145&lt;=$G$12),CT145+CU145,IF(AND($F$10="საშეღავათო",$B145&gt;$G$12),ROUND(-PMT($H$22/$I$20,$H$20-$G$12,$CS$80),2),IF(AND($F$10="ნულოვანი საშეღავათო",$B145&lt;=$G$12),CT145+CU145,IF(AND($F$10="ნულოვანი საშეღავათო",$B145&gt;$G$12,CU145&gt;ROUND(-PMT($H$22/$I$20,$H$20-$G$12,$CS$80),2)),CU145,ROUND(-PMT($H$22/$I$20,$H$20-$G$12,$CS$80),2)))))))</f>
        <v/>
      </c>
      <c r="CT145" s="109" t="str">
        <f t="shared" ref="CT145:CT200" si="274">IF($B145="","",IF(OR($F$10="ანუიტეტური",$F$10="სამომხმარებლო"),CS145-CU145,IF(AND($F$10="საშეღავათო",$B145&gt;$G$12),CS145-CU145,IF(AND($F$10="საშეღავათო",$B145&lt;=$G$12),0,IF(AND($F$10="ნულოვანი საშეღავათო",$B145&gt;$G$12),CS145-CU145,IF(AND($F$10="ნულოვანი საშეღავათო",$B145&lt;=$G$12),0))))))</f>
        <v/>
      </c>
      <c r="CU145" s="109" t="str">
        <f t="shared" ref="CU145:CU200" si="275">IF($B145="","",IF(OR($F$10="ანუიტეტური",$F$10="სამომხმარებლო"),ROUND($H$22/$I$22*($C145-$C144)*CV144,2),IF($F$10="საშეღავათო",ROUND($H$22/$I$22*($C145-$C144)*CV144,2),IF(AND($F$10="ნულოვანი საშეღავათო",$B145&lt;=$G$12),0,IF(AND($F$10="ნულოვანი საშეღავათო",$B145=$G$12+1),ROUND($H$22/$I$22*($C145-$C$80)*CV144,2),IF(AND($F$10="ნულოვანი საშეღავათო",$B145&gt;$G$12),ROUND($H$22/$I$22*($C145-$C144)*CV144,2)))))))</f>
        <v/>
      </c>
      <c r="CV145" s="110" t="str">
        <f t="shared" si="225"/>
        <v/>
      </c>
      <c r="CX145" s="108" t="str">
        <f t="shared" ref="CX145:CX200" si="276">IF($B145="","",ROUND(-PMT($H$22/$I$20,$H$20,$CX$80),2))</f>
        <v/>
      </c>
      <c r="CY145" s="109" t="str">
        <f t="shared" si="113"/>
        <v/>
      </c>
      <c r="CZ145" s="109" t="str">
        <f t="shared" ref="CZ145:CZ200" si="277">IF($B145="","",ROUND($H$22/$I$22*($C145-$C144)*DA144,2))</f>
        <v/>
      </c>
      <c r="DA145" s="110" t="str">
        <f t="shared" si="226"/>
        <v/>
      </c>
      <c r="DC145" s="108" t="str">
        <f t="shared" si="114"/>
        <v/>
      </c>
      <c r="DD145" s="109" t="str">
        <f t="shared" si="115"/>
        <v/>
      </c>
      <c r="DE145" s="109" t="str">
        <f t="shared" ref="DE145:DE200" si="278">IF($B145="","",IF(OR($F$10="ანუიტეტური",$F$10="სამომხმარებლო"),ROUND($H$22/$I$22*($C145-$C144)*DF144,2),IF($F$10="საშეღავათო",ROUND($H$22/$I$22*($C145-$C144)*DF144,2),IF(AND($F$10="ნულოვანი საშეღავათო",$B145&lt;=$G$12),0,IF(AND($F$10="ნულოვანი საშეღავათო",$B145=$G$12+1),ROUND($H$22/$I$22*($C145-$C$80)*DF144,2),IF(AND($F$10="ნულოვანი საშეღავათო",$B145&gt;$G$12),ROUND($H$22/$I$22*($C145-$C144)*DF144,2)))))))</f>
        <v/>
      </c>
      <c r="DF145" s="110" t="str">
        <f t="shared" si="227"/>
        <v/>
      </c>
      <c r="DH145" s="108" t="str">
        <f t="shared" ref="DH145:DH200" si="279">IF($B145="","",ROUND(-PMT($H$22/$I$20,$H$20,$DH$80),2))</f>
        <v/>
      </c>
      <c r="DI145" s="109" t="str">
        <f t="shared" ref="DI145:DI200" si="280">IF($B145="","",DH145-DJ145)</f>
        <v/>
      </c>
      <c r="DJ145" s="109" t="str">
        <f t="shared" ref="DJ145:DJ200" si="281">IF($B145="","",ROUND($H$22/$I$22*($C145-$C144)*DK144,2))</f>
        <v/>
      </c>
      <c r="DK145" s="110" t="str">
        <f t="shared" si="228"/>
        <v/>
      </c>
      <c r="DM145" s="108" t="str">
        <f t="shared" si="116"/>
        <v/>
      </c>
      <c r="DN145" s="109" t="str">
        <f t="shared" si="117"/>
        <v/>
      </c>
      <c r="DO145" s="109" t="str">
        <f t="shared" ref="DO145:DO200" si="282">IF($B145="","",IF(OR($F$10="ანუიტეტური",$F$10="სამომხმარებლო"),ROUND($H$22/$I$22*($C145-$C144)*DP144,2),IF($F$10="საშეღავათო",ROUND($H$22/$I$22*($C145-$C144)*DP144,2),IF(AND($F$10="ნულოვანი საშეღავათო",$B145&lt;=$G$12),0,IF(AND($F$10="ნულოვანი საშეღავათო",$B145=$G$12+1),ROUND($H$22/$I$22*($C145-$C$80)*DP144,2),IF(AND($F$10="ნულოვანი საშეღავათო",$B145&gt;$G$12),ROUND($H$22/$I$22*($C145-$C144)*DP144,2)))))))</f>
        <v/>
      </c>
      <c r="DP145" s="110" t="str">
        <f t="shared" si="229"/>
        <v/>
      </c>
      <c r="DR145" s="108" t="str">
        <f t="shared" ref="DR145:DR200" si="283">IF($B145="","",ROUND(-PMT($H$22/$I$20,$H$20,$DR$80),2))</f>
        <v/>
      </c>
      <c r="DS145" s="109" t="str">
        <f t="shared" si="118"/>
        <v/>
      </c>
      <c r="DT145" s="109" t="str">
        <f t="shared" ref="DT145:DT200" si="284">IF($B145="","",ROUND($H$22/$I$22*($C145-$C144)*DU144,2))</f>
        <v/>
      </c>
      <c r="DU145" s="110" t="str">
        <f t="shared" si="230"/>
        <v/>
      </c>
      <c r="DW145" s="108" t="str">
        <f t="shared" si="120"/>
        <v/>
      </c>
      <c r="DX145" s="109" t="str">
        <f t="shared" si="121"/>
        <v/>
      </c>
      <c r="DY145" s="109" t="str">
        <f t="shared" ref="DY145:DY200" si="285">IF($B145="","",IF(OR($F$10="ანუიტეტური",$F$10="სამომხმარებლო"),ROUND($H$22/$I$22*($C145-$C144)*DZ144,2),IF($F$10="საშეღავათო",ROUND($H$22/$I$22*($C145-$C144)*DZ144,2),IF(AND($F$10="ნულოვანი საშეღავათო",$B145&lt;=$G$12),0,IF(AND($F$10="ნულოვანი საშეღავათო",$B145=$G$12+1),ROUND($H$22/$I$22*($C145-$C$80)*DZ144,2),IF(AND($F$10="ნულოვანი საშეღავათო",$B145&gt;$G$12),ROUND($H$22/$I$22*($C145-$C144)*DZ144,2)))))))</f>
        <v/>
      </c>
      <c r="DZ145" s="110" t="str">
        <f t="shared" si="231"/>
        <v/>
      </c>
      <c r="EB145" s="108" t="str">
        <f t="shared" ref="EB145:EB200" si="286">IF($B145="","",ROUND(-PMT($H$22/$I$20,$H$20,$EB$80),2))</f>
        <v/>
      </c>
      <c r="EC145" s="109" t="str">
        <f t="shared" si="122"/>
        <v/>
      </c>
      <c r="ED145" s="109" t="str">
        <f t="shared" ref="ED145:ED200" si="287">IF($B145="","",ROUND($H$22/$I$22*($C145-$C144)*EE144,2))</f>
        <v/>
      </c>
      <c r="EE145" s="110" t="str">
        <f t="shared" si="232"/>
        <v/>
      </c>
      <c r="EG145" s="108" t="str">
        <f t="shared" si="124"/>
        <v/>
      </c>
      <c r="EH145" s="109" t="str">
        <f t="shared" si="125"/>
        <v/>
      </c>
      <c r="EI145" s="109" t="str">
        <f t="shared" ref="EI145:EI200" si="288">IF($B145="","",IF(OR($F$10="ანუიტეტური",$F$10="სამომხმარებლო"),ROUND($H$22/$I$22*($C145-$C144)*EJ144,2),IF($F$10="საშეღავათო",ROUND($H$22/$I$22*($C145-$C144)*EJ144,2),IF(AND($F$10="ნულოვანი საშეღავათო",$B145&lt;=$G$12),0,IF(AND($F$10="ნულოვანი საშეღავათო",$B145=$G$12+1),ROUND($H$22/$I$22*($C145-$C$80)*EJ144,2),IF(AND($F$10="ნულოვანი საშეღავათო",$B145&gt;$G$12),ROUND($H$22/$I$22*($C145-$C144)*EJ144,2)))))))</f>
        <v/>
      </c>
      <c r="EJ145" s="110" t="str">
        <f t="shared" si="233"/>
        <v/>
      </c>
      <c r="EL145" s="108" t="str">
        <f t="shared" ref="EL145:EL200" si="289">IF($B145="","",ROUND(-PMT($H$22/$I$20,$H$20,$EL$80),2))</f>
        <v/>
      </c>
      <c r="EM145" s="109" t="str">
        <f t="shared" si="126"/>
        <v/>
      </c>
      <c r="EN145" s="109" t="str">
        <f t="shared" ref="EN145:EN200" si="290">IF($B145="","",ROUND($H$22/$I$22*($C145-$C144)*EO144,2))</f>
        <v/>
      </c>
      <c r="EO145" s="110" t="str">
        <f t="shared" si="234"/>
        <v/>
      </c>
      <c r="EQ145" s="108" t="str">
        <f t="shared" si="128"/>
        <v/>
      </c>
      <c r="ER145" s="109" t="str">
        <f t="shared" si="129"/>
        <v/>
      </c>
      <c r="ES145" s="109" t="str">
        <f t="shared" ref="ES145:ES200" si="291">IF($B145="","",IF(OR($F$10="ანუიტეტური",$F$10="სამომხმარებლო"),ROUND($H$22/$I$22*($C145-$C144)*ET144,2),IF($F$10="საშეღავათო",ROUND($H$22/$I$22*($C145-$C144)*ET144,2),IF(AND($F$10="ნულოვანი საშეღავათო",$B145&lt;=$G$12),0,IF(AND($F$10="ნულოვანი საშეღავათო",$B145=$G$12+1),ROUND($H$22/$I$22*($C145-$C$80)*ET144,2),IF(AND($F$10="ნულოვანი საშეღავათო",$B145&gt;$G$12),ROUND($H$22/$I$22*($C145-$C144)*ET144,2)))))))</f>
        <v/>
      </c>
      <c r="ET145" s="110" t="str">
        <f t="shared" si="235"/>
        <v/>
      </c>
      <c r="EV145" s="108" t="str">
        <f t="shared" ref="EV145:EV200" si="292">IF($B145="","",ROUND(-PMT($H$22/$I$20,$H$20,$EV$80),2))</f>
        <v/>
      </c>
      <c r="EW145" s="109" t="str">
        <f t="shared" si="130"/>
        <v/>
      </c>
      <c r="EX145" s="109" t="str">
        <f t="shared" ref="EX145:EX200" si="293">IF($B145="","",ROUND($H$22/$I$22*($C145-$C144)*EY144,2))</f>
        <v/>
      </c>
      <c r="EY145" s="110" t="str">
        <f t="shared" si="236"/>
        <v/>
      </c>
      <c r="FA145" s="108" t="str">
        <f t="shared" si="132"/>
        <v/>
      </c>
      <c r="FB145" s="109" t="str">
        <f t="shared" si="133"/>
        <v/>
      </c>
      <c r="FC145" s="109" t="str">
        <f t="shared" ref="FC145:FC200" si="294">IF($B145="","",IF(OR($F$10="ანუიტეტური",$F$10="სამომხმარებლო"),ROUND($H$22/$I$22*($C145-$C144)*FD144,2),IF($F$10="საშეღავათო",ROUND($H$22/$I$22*($C145-$C144)*FD144,2),IF(AND($F$10="ნულოვანი საშეღავათო",$B145&lt;=$G$12),0,IF(AND($F$10="ნულოვანი საშეღავათო",$B145=$G$12+1),ROUND($H$22/$I$22*($C145-$C$80)*FD144,2),IF(AND($F$10="ნულოვანი საშეღავათო",$B145&gt;$G$12),ROUND($H$22/$I$22*($C145-$C144)*FD144,2)))))))</f>
        <v/>
      </c>
      <c r="FD145" s="110" t="str">
        <f t="shared" si="237"/>
        <v/>
      </c>
      <c r="FF145" s="108" t="str">
        <f t="shared" ref="FF145:FF200" si="295">IF($B145="","",ROUND(-PMT($H$22/$I$20,$H$20,$FF$80),2))</f>
        <v/>
      </c>
      <c r="FG145" s="109" t="str">
        <f t="shared" si="134"/>
        <v/>
      </c>
      <c r="FH145" s="109" t="str">
        <f t="shared" ref="FH145:FH200" si="296">IF($B145="","",ROUND($H$22/$I$22*($C145-$C144)*FI144,2))</f>
        <v/>
      </c>
      <c r="FI145" s="110" t="str">
        <f t="shared" si="238"/>
        <v/>
      </c>
      <c r="FK145" s="108" t="str">
        <f t="shared" si="136"/>
        <v/>
      </c>
      <c r="FL145" s="109" t="str">
        <f t="shared" si="137"/>
        <v/>
      </c>
      <c r="FM145" s="109" t="str">
        <f t="shared" ref="FM145:FM200" si="297">IF($B145="","",IF(OR($F$10="ანუიტეტური",$F$10="სამომხმარებლო"),ROUND($H$22/$I$22*($C145-$C144)*FN144,2),IF($F$10="საშეღავათო",ROUND($H$22/$I$22*($C145-$C144)*FN144,2),IF(AND($F$10="ნულოვანი საშეღავათო",$B145&lt;=$G$12),0,IF(AND($F$10="ნულოვანი საშეღავათო",$B145=$G$12+1),ROUND($H$22/$I$22*($C145-$C$80)*FN144,2),IF(AND($F$10="ნულოვანი საშეღავათო",$B145&gt;$G$12),ROUND($H$22/$I$22*($C145-$C144)*FN144,2)))))))</f>
        <v/>
      </c>
      <c r="FN145" s="110" t="str">
        <f t="shared" si="239"/>
        <v/>
      </c>
      <c r="FP145" s="108" t="str">
        <f t="shared" ref="FP145:FP200" si="298">IF($B145="","",ROUND(-PMT($H$22/$I$20,$H$20,$FP$80),2))</f>
        <v/>
      </c>
      <c r="FQ145" s="109" t="str">
        <f t="shared" si="138"/>
        <v/>
      </c>
      <c r="FR145" s="109" t="str">
        <f t="shared" ref="FR145:FR200" si="299">IF($B145="","",ROUND($H$22/$I$22*($C145-$C144)*FS144,2))</f>
        <v/>
      </c>
      <c r="FS145" s="110" t="str">
        <f t="shared" si="240"/>
        <v/>
      </c>
      <c r="FU145" s="108" t="str">
        <f t="shared" si="140"/>
        <v/>
      </c>
      <c r="FV145" s="109" t="str">
        <f t="shared" si="141"/>
        <v/>
      </c>
      <c r="FW145" s="109" t="str">
        <f t="shared" ref="FW145:FW200" si="300">IF($B145="","",IF(OR($F$10="ანუიტეტური",$F$10="სამომხმარებლო"),ROUND($H$22/$I$22*($C145-$C144)*FX144,2),IF($F$10="საშეღავათო",ROUND($H$22/$I$22*($C145-$C144)*FX144,2),IF(AND($F$10="ნულოვანი საშეღავათო",$B145&lt;=$G$12),0,IF(AND($F$10="ნულოვანი საშეღავათო",$B145=$G$12+1),ROUND($H$22/$I$22*($C145-$C$80)*FX144,2),IF(AND($F$10="ნულოვანი საშეღავათო",$B145&gt;$G$12),ROUND($H$22/$I$22*($C145-$C144)*FX144,2)))))))</f>
        <v/>
      </c>
      <c r="FX145" s="110" t="str">
        <f t="shared" si="241"/>
        <v/>
      </c>
      <c r="FZ145" s="108" t="str">
        <f t="shared" ref="FZ145:FZ200" si="301">IF($B145="","",ROUND(-PMT($H$22/$I$20,$H$20,$FZ$80),2))</f>
        <v/>
      </c>
      <c r="GA145" s="109" t="str">
        <f t="shared" si="142"/>
        <v/>
      </c>
      <c r="GB145" s="109" t="str">
        <f t="shared" ref="GB145:GB200" si="302">IF($B145="","",ROUND($H$22/$I$22*($C145-$C144)*GC144,2))</f>
        <v/>
      </c>
      <c r="GC145" s="110" t="str">
        <f t="shared" si="242"/>
        <v/>
      </c>
      <c r="GE145" s="108" t="str">
        <f t="shared" si="144"/>
        <v/>
      </c>
      <c r="GF145" s="109" t="str">
        <f t="shared" si="145"/>
        <v/>
      </c>
      <c r="GG145" s="109" t="str">
        <f t="shared" si="146"/>
        <v/>
      </c>
      <c r="GH145" s="110" t="str">
        <f t="shared" si="243"/>
        <v/>
      </c>
      <c r="GL145" s="108" t="str">
        <f t="shared" ref="GL145:GL200" si="303">IF($K145="","",IF(OR($O$28="ანუიტეტური",$O$28="სამომხმარებლო"),ROUND(-PMT($P$34/$I$20,$R$32,$GL$80),2),IF(AND($O$28="საშეღავათო",$K145&lt;=$Q$30),GM145+GN145,IF(AND($O$28="საშეღავათო",$K145&gt;$Q$30),ROUND(-PMT($P$34/$I$20,$R$32-$Q$30,$GL$80),2),IF(AND($O$28="ნულოვანი საშეღავათო",$K145&lt;=$Q$30),GM145+GN145,IF(AND($O$28="ნულოვანი საშეღავათო",$K145&gt;$Q$30,GN145&gt;ROUND(-PMT($P$34/$I$20,$R$32-$Q$30,$GL$80),2)),GN145,ROUND(-PMT($P$34/$I$20,$R$32-$Q$30,$GL$80),2)))))))</f>
        <v/>
      </c>
      <c r="GM145" s="109" t="str">
        <f t="shared" ref="GM145:GM200" si="304">IF($K145="","",IF(OR($O$28="ანუიტეტური",$O$28="სამომხმარებლო"),GL145-GN145,IF(AND($O$28="საშეღავათო",$K145&gt;$Q$30),GL145-GN145,IF(AND($O$28="საშეღავათო",$K145&lt;=$Q$30),0,IF(AND($O$28="ნულოვანი საშეღავათო",$K145&gt;$Q$30),GL145-GN145,IF(AND($O$28="ნულოვანი საშეღავათო",$K145&lt;=$Q$30),0))))))</f>
        <v/>
      </c>
      <c r="GN145" s="109" t="str">
        <f t="shared" ref="GN145:GN200" si="305">IF($K145="","",IF(OR($O$28="ანუიტეტური",$O$28="სამომხმარებლო"),ROUND($P$34/$I$22*($L145-$L144)*GO144,2),IF($O$28="საშეღავათო",ROUND($P$34/$I$22*($L145-$L144)*GO144,2),IF(AND($O$28="ნულოვანი საშეღავათო",$K145&lt;=$Q$30),0,IF(AND($O$28="ნულოვანი საშეღავათო",$K145=$Q$30+1),ROUND($P$34/$I$22*($L145-$L$80)*GO144,2),IF(AND($O$28="ნულოვანი საშეღავათო",$K145&gt;$Q$30),ROUND($P$34/$I$22*($L145-$L144)*GO144,2)))))))</f>
        <v/>
      </c>
      <c r="GO145" s="110" t="str">
        <f t="shared" ref="GO145:GO200" si="306">IF($K145="","",IF(OR($O$28="ანუიტეტური",$O$28="სამომხმარებლო"),GO144-GM145,IF($O$28="საშეღავათო",GO144-GM145,IF($O$28="ნულოვანი საშეღავათო",GO144-GM145))))</f>
        <v/>
      </c>
      <c r="GP145" s="51"/>
      <c r="GQ145" s="108" t="str">
        <f t="shared" ref="GQ145:GQ200" si="307">IF($K145="","",ROUND(-PMT($P$34/$I$20,$R$32,GQ$80),2))</f>
        <v/>
      </c>
      <c r="GR145" s="109" t="str">
        <f t="shared" si="147"/>
        <v/>
      </c>
      <c r="GS145" s="109" t="str">
        <f t="shared" ref="GS145:GS200" si="308">IF($K145="","",ROUND($P$34/$I$22*($L145-$L144)*GT144,2))</f>
        <v/>
      </c>
      <c r="GT145" s="110" t="str">
        <f t="shared" ref="GT145:GT200" si="309">IF($K145="","",GT144-GR145)</f>
        <v/>
      </c>
      <c r="GU145" s="51"/>
      <c r="GV145" s="108" t="str">
        <f t="shared" si="148"/>
        <v/>
      </c>
      <c r="GW145" s="109" t="str">
        <f t="shared" si="149"/>
        <v/>
      </c>
      <c r="GX145" s="109" t="str">
        <f t="shared" ref="GX145:GX200" si="310">IF($K145="","",IF(OR($O$28="ანუიტეტური",$O$28="სამომხმარებლო"),ROUND($P$34/$I$22*($L145-$L144)*GY144,2),IF($O$28="საშეღავათო",ROUND($P$34/$I$22*($L145-$L144)*GY144,2),IF(AND($O$28="ნულოვანი საშეღავათო",$K145&lt;=$Q$30),0,IF(AND($O$28="ნულოვანი საშეღავათო",$K145=$Q$30+1),ROUND($P$34/$I$22*($L145-$L$80)*GY144,2),IF(AND($O$28="ნულოვანი საშეღავათო",$K145&gt;$Q$30),ROUND($P$34/$I$22*($L145-$L144)*GY144,2)))))))</f>
        <v/>
      </c>
      <c r="GY145" s="110" t="str">
        <f t="shared" si="150"/>
        <v/>
      </c>
      <c r="GZ145" s="51"/>
      <c r="HA145" s="108" t="str">
        <f t="shared" ref="HA145:HA200" si="311">IF($K145="","",ROUND(-PMT($P$34/$I$20,$R$32,HA$80),2))</f>
        <v/>
      </c>
      <c r="HB145" s="109" t="str">
        <f t="shared" si="151"/>
        <v/>
      </c>
      <c r="HC145" s="109" t="str">
        <f t="shared" ref="HC145:HC200" si="312">IF($K145="","",ROUND($P$34/$I$22*($L145-$L144)*HD144,2))</f>
        <v/>
      </c>
      <c r="HD145" s="110" t="str">
        <f t="shared" si="193"/>
        <v/>
      </c>
      <c r="HE145" s="51"/>
      <c r="HF145" s="108" t="str">
        <f t="shared" si="152"/>
        <v/>
      </c>
      <c r="HG145" s="109" t="str">
        <f t="shared" si="153"/>
        <v/>
      </c>
      <c r="HH145" s="109" t="str">
        <f t="shared" ref="HH145:HH200" si="313">IF($K145="","",IF(OR($O$28="ანუიტეტური",$O$28="სამომხმარებლო"),ROUND($P$34/$I$22*($L145-$L144)*HI144,2),IF($O$28="საშეღავათო",ROUND($P$34/$I$22*($L145-$L144)*HI144,2),IF(AND($O$28="ნულოვანი საშეღავათო",$K145&lt;=$Q$30),0,IF(AND($O$28="ნულოვანი საშეღავათო",$K145=$Q$30+1),ROUND($P$34/$I$22*($L145-$L$80)*HI144,2),IF(AND($O$28="ნულოვანი საშეღავათო",$K145&gt;$Q$30),ROUND($P$34/$I$22*($L145-$L144)*HI144,2)))))))</f>
        <v/>
      </c>
      <c r="HI145" s="110" t="str">
        <f t="shared" si="154"/>
        <v/>
      </c>
      <c r="HJ145" s="51"/>
      <c r="HK145" s="108" t="str">
        <f t="shared" ref="HK145:HK200" si="314">IF($K145="","",ROUND(-PMT($P$34/$I$20,$R$32,HK$80),2))</f>
        <v/>
      </c>
      <c r="HL145" s="109" t="str">
        <f t="shared" si="155"/>
        <v/>
      </c>
      <c r="HM145" s="109" t="str">
        <f t="shared" ref="HM145:HM200" si="315">IF($K145="","",ROUND($P$34/$I$22*($L145-$L144)*HN144,2))</f>
        <v/>
      </c>
      <c r="HN145" s="110" t="str">
        <f t="shared" si="194"/>
        <v/>
      </c>
      <c r="HO145" s="51"/>
      <c r="HP145" s="108" t="str">
        <f t="shared" si="156"/>
        <v/>
      </c>
      <c r="HQ145" s="109" t="str">
        <f t="shared" si="157"/>
        <v/>
      </c>
      <c r="HR145" s="109" t="str">
        <f t="shared" ref="HR145:HR200" si="316">IF($K145="","",IF(OR($O$28="ანუიტეტური",$O$28="სამომხმარებლო"),ROUND($P$34/$I$22*($L145-$L144)*HS144,2),IF($O$28="საშეღავათო",ROUND($P$34/$I$22*($L145-$L144)*HS144,2),IF(AND($O$28="ნულოვანი საშეღავათო",$K145&lt;=$Q$30),0,IF(AND($O$28="ნულოვანი საშეღავათო",$K145=$Q$30+1),ROUND($P$34/$I$22*($L145-$L$80)*HS144,2),IF(AND($O$28="ნულოვანი საშეღავათო",$K145&gt;$Q$30),ROUND($P$34/$I$22*($L145-$L144)*HS144,2)))))))</f>
        <v/>
      </c>
      <c r="HS145" s="110" t="str">
        <f t="shared" si="158"/>
        <v/>
      </c>
      <c r="HT145" s="51"/>
      <c r="HU145" s="108" t="str">
        <f t="shared" ref="HU145:HU200" si="317">IF($K145="","",ROUND(-PMT($P$34/$I$20,$R$32,HU$80),2))</f>
        <v/>
      </c>
      <c r="HV145" s="109" t="str">
        <f t="shared" si="159"/>
        <v/>
      </c>
      <c r="HW145" s="109" t="str">
        <f t="shared" ref="HW145:HW200" si="318">IF($K145="","",ROUND($P$34/$I$22*($L145-$L144)*HX144,2))</f>
        <v/>
      </c>
      <c r="HX145" s="110" t="str">
        <f t="shared" si="195"/>
        <v/>
      </c>
      <c r="HY145" s="51"/>
      <c r="HZ145" s="108" t="str">
        <f t="shared" si="160"/>
        <v/>
      </c>
      <c r="IA145" s="109" t="str">
        <f t="shared" si="161"/>
        <v/>
      </c>
      <c r="IB145" s="109" t="str">
        <f t="shared" ref="IB145:IB200" si="319">IF($K145="","",IF(OR($O$28="ანუიტეტური",$O$28="სამომხმარებლო"),ROUND($P$34/$I$22*($L145-$L144)*IC144,2),IF($O$28="საშეღავათო",ROUND($P$34/$I$22*($L145-$L144)*IC144,2),IF(AND($O$28="ნულოვანი საშეღავათო",$K145&lt;=$Q$30),0,IF(AND($O$28="ნულოვანი საშეღავათო",$K145=$Q$30+1),ROUND($P$34/$I$22*($L145-$L$80)*IC144,2),IF(AND($O$28="ნულოვანი საშეღავათო",$K145&gt;$Q$30),ROUND($P$34/$I$22*($L145-$L144)*IC144,2)))))))</f>
        <v/>
      </c>
      <c r="IC145" s="110" t="str">
        <f t="shared" si="162"/>
        <v/>
      </c>
      <c r="ID145" s="51"/>
      <c r="IE145" s="108" t="str">
        <f t="shared" ref="IE145:IE200" si="320">IF($K145="","",ROUND(-PMT($P$34/$I$20,$R$32,IE$80),2))</f>
        <v/>
      </c>
      <c r="IF145" s="109" t="str">
        <f t="shared" si="163"/>
        <v/>
      </c>
      <c r="IG145" s="109" t="str">
        <f t="shared" ref="IG145:IG200" si="321">IF($K145="","",ROUND($P$34/$I$22*($L145-$L144)*IH144,2))</f>
        <v/>
      </c>
      <c r="IH145" s="110" t="str">
        <f t="shared" si="196"/>
        <v/>
      </c>
      <c r="II145" s="51"/>
      <c r="IJ145" s="108" t="str">
        <f t="shared" si="164"/>
        <v/>
      </c>
      <c r="IK145" s="109" t="str">
        <f t="shared" si="165"/>
        <v/>
      </c>
      <c r="IL145" s="109" t="str">
        <f t="shared" ref="IL145:IL200" si="322">IF($K145="","",IF(OR($O$28="ანუიტეტური",$O$28="სამომხმარებლო"),ROUND($P$34/$I$22*($L145-$L144)*IM144,2),IF($O$28="საშეღავათო",ROUND($P$34/$I$22*($L145-$L144)*IM144,2),IF(AND($O$28="ნულოვანი საშეღავათო",$K145&lt;=$Q$30),0,IF(AND($O$28="ნულოვანი საშეღავათო",$K145=$Q$30+1),ROUND($P$34/$I$22*($L145-$L$80)*IM144,2),IF(AND($O$28="ნულოვანი საშეღავათო",$K145&gt;$Q$30),ROUND($P$34/$I$22*($L145-$L144)*IM144,2)))))))</f>
        <v/>
      </c>
      <c r="IM145" s="110" t="str">
        <f t="shared" si="166"/>
        <v/>
      </c>
      <c r="IN145" s="51"/>
      <c r="IO145" s="108" t="str">
        <f t="shared" ref="IO145:IO200" si="323">IF($K145="","",ROUND(-PMT($P$34/$I$20,$R$32,IO$80),2))</f>
        <v/>
      </c>
      <c r="IP145" s="109" t="str">
        <f t="shared" si="167"/>
        <v/>
      </c>
      <c r="IQ145" s="109" t="str">
        <f t="shared" ref="IQ145:IQ200" si="324">IF($K145="","",ROUND($P$34/$I$22*($L145-$L144)*IR144,2))</f>
        <v/>
      </c>
      <c r="IR145" s="110" t="str">
        <f t="shared" si="197"/>
        <v/>
      </c>
      <c r="IS145" s="51"/>
      <c r="IT145" s="108" t="str">
        <f t="shared" si="168"/>
        <v/>
      </c>
      <c r="IU145" s="109" t="str">
        <f t="shared" si="169"/>
        <v/>
      </c>
      <c r="IV145" s="109" t="str">
        <f t="shared" ref="IV145:IV200" si="325">IF($K145="","",IF(OR($O$28="ანუიტეტური",$O$28="სამომხმარებლო"),ROUND($P$34/$I$22*($L145-$L144)*IW144,2),IF($O$28="საშეღავათო",ROUND($P$34/$I$22*($L145-$L144)*IW144,2),IF(AND($O$28="ნულოვანი საშეღავათო",$K145&lt;=$Q$30),0,IF(AND($O$28="ნულოვანი საშეღავათო",$K145=$Q$30+1),ROUND($P$34/$I$22*($L145-$L$80)*IW144,2),IF(AND($O$28="ნულოვანი საშეღავათო",$K145&gt;$Q$30),ROUND($P$34/$I$22*($L145-$L144)*IW144,2)))))))</f>
        <v/>
      </c>
      <c r="IW145" s="110" t="str">
        <f t="shared" si="170"/>
        <v/>
      </c>
      <c r="IX145" s="51"/>
      <c r="IY145" s="108" t="str">
        <f t="shared" ref="IY145:IY200" si="326">IF($K145="","",ROUND(-PMT($P$34/$I$20,$R$32,IY$80),2))</f>
        <v/>
      </c>
      <c r="IZ145" s="109" t="str">
        <f t="shared" si="171"/>
        <v/>
      </c>
      <c r="JA145" s="109" t="str">
        <f t="shared" ref="JA145:JA200" si="327">IF($K145="","",ROUND($P$34/$I$22*($L145-$L144)*JB144,2))</f>
        <v/>
      </c>
      <c r="JB145" s="110" t="str">
        <f t="shared" si="198"/>
        <v/>
      </c>
      <c r="JC145" s="51"/>
      <c r="JD145" s="108" t="str">
        <f t="shared" si="172"/>
        <v/>
      </c>
      <c r="JE145" s="109" t="str">
        <f t="shared" si="173"/>
        <v/>
      </c>
      <c r="JF145" s="109" t="str">
        <f t="shared" ref="JF145:JF200" si="328">IF($K145="","",IF(OR($O$28="ანუიტეტური",$O$28="სამომხმარებლო"),ROUND($P$34/$I$22*($L145-$L144)*JG144,2),IF($O$28="საშეღავათო",ROUND($P$34/$I$22*($L145-$L144)*JG144,2),IF(AND($O$28="ნულოვანი საშეღავათო",$K145&lt;=$Q$30),0,IF(AND($O$28="ნულოვანი საშეღავათო",$K145=$Q$30+1),ROUND($P$34/$I$22*($L145-$L$80)*JG144,2),IF(AND($O$28="ნულოვანი საშეღავათო",$K145&gt;$Q$30),ROUND($P$34/$I$22*($L145-$L144)*JG144,2)))))))</f>
        <v/>
      </c>
      <c r="JG145" s="110" t="str">
        <f t="shared" si="174"/>
        <v/>
      </c>
      <c r="JH145" s="51"/>
      <c r="JI145" s="108" t="str">
        <f t="shared" ref="JI145:JI200" si="329">IF($K145="","",ROUND(-PMT($P$34/$I$20,$R$32,JI$80),2))</f>
        <v/>
      </c>
      <c r="JJ145" s="109" t="str">
        <f t="shared" si="175"/>
        <v/>
      </c>
      <c r="JK145" s="109" t="str">
        <f t="shared" ref="JK145:JK200" si="330">IF($K145="","",ROUND($P$34/$I$22*($L145-$L144)*JL144,2))</f>
        <v/>
      </c>
      <c r="JL145" s="110" t="str">
        <f t="shared" si="199"/>
        <v/>
      </c>
      <c r="JM145" s="51"/>
      <c r="JN145" s="108" t="str">
        <f t="shared" si="176"/>
        <v/>
      </c>
      <c r="JO145" s="109" t="str">
        <f t="shared" si="177"/>
        <v/>
      </c>
      <c r="JP145" s="109" t="str">
        <f t="shared" ref="JP145:JP200" si="331">IF($K145="","",IF(OR($O$28="ანუიტეტური",$O$28="სამომხმარებლო"),ROUND($P$34/$I$22*($L145-$L144)*JQ144,2),IF($O$28="საშეღავათო",ROUND($P$34/$I$22*($L145-$L144)*JQ144,2),IF(AND($O$28="ნულოვანი საშეღავათო",$K145&lt;=$Q$30),0,IF(AND($O$28="ნულოვანი საშეღავათო",$K145=$Q$30+1),ROUND($P$34/$I$22*($L145-$L$80)*JQ144,2),IF(AND($O$28="ნულოვანი საშეღავათო",$K145&gt;$Q$30),ROUND($P$34/$I$22*($L145-$L144)*JQ144,2)))))))</f>
        <v/>
      </c>
      <c r="JQ145" s="110" t="str">
        <f t="shared" si="178"/>
        <v/>
      </c>
      <c r="JR145" s="51"/>
      <c r="JS145" s="108" t="str">
        <f t="shared" ref="JS145:JS200" si="332">IF($K145="","",ROUND(-PMT($P$34/$I$20,$R$32,JS$80),2))</f>
        <v/>
      </c>
      <c r="JT145" s="109" t="str">
        <f t="shared" si="179"/>
        <v/>
      </c>
      <c r="JU145" s="109" t="str">
        <f t="shared" ref="JU145:JU200" si="333">IF($K145="","",ROUND($P$34/$I$22*($L145-$L144)*JV144,2))</f>
        <v/>
      </c>
      <c r="JV145" s="110" t="str">
        <f t="shared" si="200"/>
        <v/>
      </c>
      <c r="JW145" s="51"/>
      <c r="JX145" s="108" t="str">
        <f t="shared" si="180"/>
        <v/>
      </c>
      <c r="JY145" s="109" t="str">
        <f t="shared" si="181"/>
        <v/>
      </c>
      <c r="JZ145" s="109" t="str">
        <f t="shared" ref="JZ145:JZ200" si="334">IF($K145="","",IF(OR($O$28="ანუიტეტური",$O$28="სამომხმარებლო"),ROUND($P$34/$I$22*($L145-$L144)*KA144,2),IF($O$28="საშეღავათო",ROUND($P$34/$I$22*($L145-$L144)*KA144,2),IF(AND($O$28="ნულოვანი საშეღავათო",$K145&lt;=$Q$30),0,IF(AND($O$28="ნულოვანი საშეღავათო",$K145=$Q$30+1),ROUND($P$34/$I$22*($L145-$L$80)*KA144,2),IF(AND($O$28="ნულოვანი საშეღავათო",$K145&gt;$Q$30),ROUND($P$34/$I$22*($L145-$L144)*KA144,2)))))))</f>
        <v/>
      </c>
      <c r="KA145" s="110" t="str">
        <f t="shared" ref="KA145:KA200" si="335">IF($K145="","",KA144-JY145)</f>
        <v/>
      </c>
    </row>
    <row r="146" spans="1:287" ht="12" customHeight="1">
      <c r="A146" s="105">
        <f t="array" ref="A146">MAX(IF($J$80:J145&gt;0,$C$80:C145,0))</f>
        <v>43536</v>
      </c>
      <c r="B146" s="81" t="str">
        <f t="shared" si="248"/>
        <v/>
      </c>
      <c r="C146" s="82">
        <f t="shared" si="182"/>
        <v>0</v>
      </c>
      <c r="D146" s="83" t="str">
        <f t="shared" si="249"/>
        <v/>
      </c>
      <c r="E146" s="83" t="str">
        <f t="shared" ref="E146:E200" si="336">IF(B146="","",IF(H145&gt;0,IF(OR($F$10="ანუიტეტური",$F$10="საშეღავათო",$F$10="ასიმეტრიული პროცენტით",$F$10="სამომხმარებლო"),ROUND($H145*$R$20/$I$22*(C146-C145),2),IF($F$10="ნულოვანი საშეღავათო",IF($B146&lt;=$G$12,0,IF($B146=$G$12+1,ROUND($H145*$R$20/$I$22*($C146-$C$80),2),ROUND($H145*$R$20/$I$22*($C146-$C145),2))),IF($F$10="ასიმეტრიული",IF(AND(J146="",B146&lt;$H$20),0,IF(OR(J146&gt;0,B146=$H$20),ROUND($H145*$R$20/$I$22*(C146-A146),2))),0)))))</f>
        <v/>
      </c>
      <c r="F146" s="83" t="str">
        <f t="shared" si="250"/>
        <v/>
      </c>
      <c r="G146" s="83" t="str">
        <f t="shared" si="251"/>
        <v/>
      </c>
      <c r="H146" s="83" t="str">
        <f t="shared" si="252"/>
        <v/>
      </c>
      <c r="I146" s="105">
        <f t="array" ref="I146">MAX(IF($R$80:R145&gt;0,$L$80:L145,0))</f>
        <v>0</v>
      </c>
      <c r="J146" s="106"/>
      <c r="K146" s="2" t="str">
        <f t="shared" si="253"/>
        <v/>
      </c>
      <c r="L146" s="82">
        <f t="shared" si="183"/>
        <v>0</v>
      </c>
      <c r="M146" s="83" t="str">
        <f t="shared" ref="M146:M200" si="337">IF(K146="","",IF(OR($O$28="ასიმეტრიული",$O$28="ასიმეტრიული პროცენტით",$O$28="ბიზნეს ოვერდრაფტი",$O$28="დეპოზიტით უზრუნველყოფილი"),O146+P146+N146,JX146+N146))</f>
        <v/>
      </c>
      <c r="N146" s="83" t="str">
        <f t="shared" si="254"/>
        <v/>
      </c>
      <c r="O146" s="83" t="str">
        <f t="shared" si="255"/>
        <v/>
      </c>
      <c r="P146" s="83" t="str">
        <f t="shared" si="256"/>
        <v/>
      </c>
      <c r="Q146" s="83" t="str">
        <f t="shared" si="257"/>
        <v/>
      </c>
      <c r="R146" s="106"/>
      <c r="S146" s="1"/>
      <c r="U146" s="85" t="e">
        <f t="shared" si="244"/>
        <v>#NUM!</v>
      </c>
      <c r="V146" s="86" t="e">
        <f t="shared" ref="V146:V200" si="338">IF(U146="",0,C146)</f>
        <v>#NUM!</v>
      </c>
      <c r="W146" s="87" t="e">
        <f t="shared" si="258"/>
        <v>#NUM!</v>
      </c>
      <c r="X146" s="87" t="e">
        <f t="shared" si="259"/>
        <v>#NUM!</v>
      </c>
      <c r="Y146" s="87" t="e">
        <f t="shared" si="260"/>
        <v>#NUM!</v>
      </c>
      <c r="Z146" s="88" t="e">
        <f t="shared" si="245"/>
        <v>#NUM!</v>
      </c>
      <c r="AA146" t="s">
        <v>282</v>
      </c>
      <c r="AB146" s="89">
        <f t="shared" ref="AB146:AB200" si="339">IF(D146&lt;&gt;"",D146,0)</f>
        <v>0</v>
      </c>
      <c r="AC146" s="87">
        <f t="shared" ref="AC146:AC200" si="340">IF(D146&lt;&gt;"",ROUND((D146*($BJ$81+(C146-$C$80)*$BJ$82)),2),0)</f>
        <v>0</v>
      </c>
      <c r="AD146" s="87" t="str">
        <f t="shared" si="261"/>
        <v/>
      </c>
      <c r="AE146" s="87" t="str">
        <f t="shared" si="262"/>
        <v/>
      </c>
      <c r="AF146" s="86">
        <f t="shared" ref="AF146:AF200" si="341">IF(AND(EDATE($AF145,1)&lt;=MAX($C$80:$C$200),$AF145&lt;&gt;0),EDATE($AF145,1),0)</f>
        <v>0</v>
      </c>
      <c r="AG146" s="87">
        <f t="shared" si="246"/>
        <v>0</v>
      </c>
      <c r="AH146" s="87">
        <f t="shared" ref="AH146:AH200" si="342">IF(E146&lt;&gt;"",E146,0)</f>
        <v>0</v>
      </c>
      <c r="AI146" s="90"/>
      <c r="AJ146" s="87" t="e">
        <f t="shared" si="263"/>
        <v>#NUM!</v>
      </c>
      <c r="AK146" s="87" t="e">
        <f t="shared" ref="AK146:AK200" si="343">IF(OR($F$46="",DATE($F$34,$G$34,$H$34)&lt;=DATE($F$46,$G$46,$H$46)),0,IF(M146&lt;&gt;"",ROUND((M146*($BJ$81+(L146-$L$80)*$BJ$82)),2),0))</f>
        <v>#NUM!</v>
      </c>
      <c r="AL146" s="87" t="e">
        <f t="shared" ref="AL146:AL200" si="344">IF(OR($F$46="",DATE($F$34,$G$34,$H$34)&lt;=DATE($F$46,$G$46,$H$46)),0,IF(OR($O$28="ბიზნეს ოვერდრაფტი",$O$28="საკრედიტო ბარათი"),IF(M146&lt;&gt;"",M146,0),""))</f>
        <v>#NUM!</v>
      </c>
      <c r="AM146" s="87" t="e">
        <f t="shared" ref="AM146:AM200" si="345">IF(OR($F$46="",DATE($F$34,$G$34,$H$34)&lt;=DATE($F$46,$G$46,$H$46)),0,IF(OR($O$28="ბიზნეს ოვერდრაფტი",$O$28="საკრედიტო ბარათი"),IF(M146&lt;&gt;"",ROUND((M146*($BJ$81+(L146-$L$80)*$BJ$82)),2),0),""))</f>
        <v>#NUM!</v>
      </c>
      <c r="AN146" s="86">
        <f t="shared" si="264"/>
        <v>0</v>
      </c>
      <c r="AO146" s="87">
        <f t="shared" si="265"/>
        <v>0</v>
      </c>
      <c r="AP146" s="88">
        <f t="shared" si="266"/>
        <v>0</v>
      </c>
      <c r="AR146" s="89">
        <f t="shared" si="267"/>
        <v>0</v>
      </c>
      <c r="AS146" s="87">
        <f t="shared" si="268"/>
        <v>0</v>
      </c>
      <c r="AT146" s="87" t="str">
        <f t="shared" si="269"/>
        <v/>
      </c>
      <c r="AU146" s="87" t="str">
        <f t="shared" si="270"/>
        <v/>
      </c>
      <c r="AV146" s="86">
        <f t="shared" ref="AV146:AV200" si="346">IF(OR($F$46="",$G$46="",$H$46=""),IF(AND(EDATE($AF145,1)&lt;=MAX($C$80:$C$200),$AF145&lt;&gt;0),EDATE($AF145,1),0),IF(DATE($F$46,$G$46,$H$46)&gt;=DATE($F$34,$G$34,$H$34),IF(AND(EDATE($AF145,1)&lt;=MAX($C$80:$C$200),$AF145&lt;&gt;0),EDATE($AF145,1),0),IF(AND(DATE($F$46,$G$46,$H$46)&lt;DATE($F$34,$G$34,$H$34),U146&lt;&gt;""),IF(AND(EDATE($AF145,1)&lt;=MAX($C$80:$C$200),$AF145&lt;&gt;0),EDATE($AF145,1),0),IF(AND(DATE($F$46,$G$46,$H$46)&lt;DATE($F$34,$G$34,$H$34),U146=""),0))))</f>
        <v>0</v>
      </c>
      <c r="AW146" s="87">
        <f t="shared" ref="AW146:AW200" si="347">IF(OR($F$46="",$G$46="",$H$46=""),IF(AF146&gt;0,$R$14,0),IF(DATE($F$46,$G$46,$H$46)&gt;=DATE($F$34,$G$34,$H$34),IF(AF146&gt;0,$R$14,0),IF(AND(DATE($F$46,$G$46,$H$46)&lt;DATE($F$34,$G$34,$H$34),U146&lt;&gt;""),IF(AF146&gt;0,$R$14,0),IF(AND(DATE($F$46,$G$46,$H$46)&lt;DATE($F$34,$G$34,$H$34),U146=""),0))))</f>
        <v>0</v>
      </c>
      <c r="AX146" s="87">
        <f t="shared" ref="AX146:AX200" si="348">IF(OR($F$46="",$G$46="",$H$46=""),IF($H$16="GEL",$AH146,ROUND($AH146*$H$18,2)),IF(DATE($F$46,$G$46,$H$46)&gt;=DATE($F$34,$G$34,$H$34),IF($H$16="GEL",$AH146,ROUND($AH146*$H$18,2)),IF(AND(DATE($F$46,$G$46,$H$46)&lt;DATE($F$34,$G$34,$H$34),U146&lt;&gt;""),IF($H$16="GEL",$AH146,ROUND($AH146*$H$18,2)),IF(AND(DATE($F$46,$G$46,$H$46)&lt;DATE($F$34,$G$34,$H$34),U146=""),0))))</f>
        <v>0</v>
      </c>
      <c r="AY146" s="93"/>
      <c r="AZ146" s="87">
        <f t="shared" si="201"/>
        <v>0</v>
      </c>
      <c r="BA146" s="87">
        <f t="shared" ref="BA146:BA200" si="349">IFERROR(IF(OR($F$46="",DATE($F$34,$G$34,$H$34)&lt;=DATE($F$46,$G$46,$H$46)),0,IF(M146&lt;&gt;"",(IF($P$32="GEL",M146,M146*$Q$32)*($BJ$81+(L146-$L$80)*$BJ$82)),0)),0)</f>
        <v>0</v>
      </c>
      <c r="BB146" s="87">
        <f t="shared" ref="BB146:BB200" si="350">IFERROR(IF(OR($F$46="",DATE($F$34,$G$34,$H$34)&lt;=DATE($F$46,$G$46,$H$46)),0,IF(OR($O$28="ბიზნეს ოვერდრაფტი",$O$28="საკრედიტო ბარათი"),IF(M146&lt;&gt;"",IF($P$32="GEL",M146,M146*$Q$32),0),"")),0)</f>
        <v>0</v>
      </c>
      <c r="BC146" s="87">
        <f t="shared" si="184"/>
        <v>0</v>
      </c>
      <c r="BD146" s="86" t="e">
        <f t="shared" si="271"/>
        <v>#NUM!</v>
      </c>
      <c r="BE146" s="87" t="e">
        <f t="shared" si="247"/>
        <v>#NUM!</v>
      </c>
      <c r="BF146" s="88">
        <f t="shared" ref="BF146:BF200" si="351">IFERROR(IF(Q145&gt;0,IF($P$32="GEL",ROUND($Q145*$R$46/$I$22*(L146-L145),2),ROUND($Q145*$Q$32*$R$46/$I$22*(L146-L145),2)),0),0)</f>
        <v>0</v>
      </c>
      <c r="BH146" s="87" t="e">
        <f t="shared" si="272"/>
        <v>#NUM!</v>
      </c>
      <c r="BK146" s="95">
        <v>41012</v>
      </c>
      <c r="BL146" s="96">
        <v>67</v>
      </c>
      <c r="CS146" s="108" t="str">
        <f t="shared" si="273"/>
        <v/>
      </c>
      <c r="CT146" s="109" t="str">
        <f t="shared" si="274"/>
        <v/>
      </c>
      <c r="CU146" s="109" t="str">
        <f t="shared" si="275"/>
        <v/>
      </c>
      <c r="CV146" s="110" t="str">
        <f t="shared" si="225"/>
        <v/>
      </c>
      <c r="CX146" s="108" t="str">
        <f t="shared" si="276"/>
        <v/>
      </c>
      <c r="CY146" s="109" t="str">
        <f t="shared" ref="CY146:CY200" si="352">IF($B146="","",CX146-CZ146)</f>
        <v/>
      </c>
      <c r="CZ146" s="109" t="str">
        <f t="shared" si="277"/>
        <v/>
      </c>
      <c r="DA146" s="110" t="str">
        <f t="shared" si="226"/>
        <v/>
      </c>
      <c r="DC146" s="108" t="str">
        <f t="shared" ref="DC146:DC200" si="353">IF($B146="","",IF(OR($F$10="ანუიტეტური",$F$10="სამომხმარებლო"),DC145,IF(AND($F$10="საშეღავათო",$B146&lt;=$G$12),DD146+DE146,IF(AND($F$10="საშეღავათო",$B146&gt;$G$12),CS146+CX146,IF(AND($F$10="ნულოვანი საშეღავათო",$B146&lt;=$G$12),DD146+DE146,IF(AND($F$10="ნულოვანი საშეღავათო",$B146&gt;$G$12,CU146&gt;ROUND(-PMT($H$22/$I$20,$H$20-$G$12,$CS$80),2)),CU146,CS146+CX146))))))</f>
        <v/>
      </c>
      <c r="DD146" s="109" t="str">
        <f t="shared" ref="DD146:DD200" si="354">IF($B146="","",IF(OR($F$10="ანუიტეტური",$F$10="სამომხმარებლო"),DC146-DE146,IF(AND($F$10="საშეღავათო",$B146&gt;$G$12),DC146-DE146,IF(AND($F$10="საშეღავათო",$B146&lt;=$G$12),0,IF(AND($F$10="ნულოვანი საშეღავათო",$B146&gt;$G$12),DC146-DE146,IF(AND($F$10="ნულოვანი საშეღავათო",$B146&lt;=$G$12),0))))))</f>
        <v/>
      </c>
      <c r="DE146" s="109" t="str">
        <f t="shared" si="278"/>
        <v/>
      </c>
      <c r="DF146" s="110" t="str">
        <f t="shared" si="227"/>
        <v/>
      </c>
      <c r="DH146" s="108" t="str">
        <f t="shared" si="279"/>
        <v/>
      </c>
      <c r="DI146" s="109" t="str">
        <f t="shared" si="280"/>
        <v/>
      </c>
      <c r="DJ146" s="109" t="str">
        <f t="shared" si="281"/>
        <v/>
      </c>
      <c r="DK146" s="110" t="str">
        <f t="shared" si="228"/>
        <v/>
      </c>
      <c r="DM146" s="108" t="str">
        <f t="shared" ref="DM146:DM200" si="355">IF($B146="","",IF(OR($F$10="ანუიტეტური",$F$10="სამომხმარებლო"),DM145,IF(AND($F$10="საშეღავათო",$B146&lt;=$G$12),DN146+DO146,IF(AND($F$10="საშეღავათო",$B146&gt;$G$12),DC146+DH146,IF(AND($F$10="ნულოვანი საშეღავათო",$B146&lt;=$G$12),DN146+DO146,IF(AND($F$10="ნულოვანი საშეღავათო",$B146&gt;$G$12,CU146&gt;ROUND(-PMT($H$22/$I$20,$H$20-$G$12,$CS$80),2)),CU146,DC146+DH146))))))</f>
        <v/>
      </c>
      <c r="DN146" s="109" t="str">
        <f t="shared" ref="DN146:DN200" si="356">IF($B146="","",IF(OR($F$10="ანუიტეტური",$F$10="სამომხმარებლო"),DM146-DO146,IF(AND($F$10="საშეღავათო",$B146&gt;$G$12),DM146-DO146,IF(AND($F$10="საშეღავათო",$B146&lt;=$G$12),0,IF(AND($F$10="ნულოვანი საშეღავათო",$B146&gt;$G$12),DM146-DO146,IF(AND($F$10="ნულოვანი საშეღავათო",$B146&lt;=$G$12),0))))))</f>
        <v/>
      </c>
      <c r="DO146" s="109" t="str">
        <f t="shared" si="282"/>
        <v/>
      </c>
      <c r="DP146" s="110" t="str">
        <f t="shared" si="229"/>
        <v/>
      </c>
      <c r="DR146" s="108" t="str">
        <f t="shared" si="283"/>
        <v/>
      </c>
      <c r="DS146" s="109" t="str">
        <f t="shared" ref="DS146:DS200" si="357">IF($B146="","",DR146-DT146)</f>
        <v/>
      </c>
      <c r="DT146" s="109" t="str">
        <f t="shared" si="284"/>
        <v/>
      </c>
      <c r="DU146" s="110" t="str">
        <f t="shared" si="230"/>
        <v/>
      </c>
      <c r="DW146" s="108" t="str">
        <f t="shared" ref="DW146:DW200" si="358">IF($B146="","",IF(OR($F$10="ანუიტეტური",$F$10="სამომხმარებლო"),DW145,IF(AND($F$10="საშეღავათო",$B146&lt;=$G$12),DX146+DY146,IF(AND($F$10="საშეღავათო",$B146&gt;$G$12),DM146+DR146,IF(AND($F$10="ნულოვანი საშეღავათო",$B146&lt;=$G$12),DX146+DY146,IF(AND($F$10="ნულოვანი საშეღავათო",$B146&gt;$G$12,CU146&gt;ROUND(-PMT($H$22/$I$20,$H$20-$G$12,$CS$80),2)),CU146,DM146+DR146))))))</f>
        <v/>
      </c>
      <c r="DX146" s="109" t="str">
        <f t="shared" ref="DX146:DX200" si="359">IF($B146="","",IF(OR($F$10="ანუიტეტური",$F$10="სამომხმარებლო"),DW146-DY146,IF(AND($F$10="საშეღავათო",$B146&gt;$G$12),DW146-DY146,IF(AND($F$10="საშეღავათო",$B146&lt;=$G$12),0,IF(AND($F$10="ნულოვანი საშეღავათო",$B146&gt;$G$12),DW146-DY146,IF(AND($F$10="ნულოვანი საშეღავათო",$B146&lt;=$G$12),0))))))</f>
        <v/>
      </c>
      <c r="DY146" s="109" t="str">
        <f t="shared" si="285"/>
        <v/>
      </c>
      <c r="DZ146" s="110" t="str">
        <f t="shared" si="231"/>
        <v/>
      </c>
      <c r="EB146" s="108" t="str">
        <f t="shared" si="286"/>
        <v/>
      </c>
      <c r="EC146" s="109" t="str">
        <f t="shared" ref="EC146:EC200" si="360">IF($B146="","",EB146-ED146)</f>
        <v/>
      </c>
      <c r="ED146" s="109" t="str">
        <f t="shared" si="287"/>
        <v/>
      </c>
      <c r="EE146" s="110" t="str">
        <f t="shared" si="232"/>
        <v/>
      </c>
      <c r="EG146" s="108" t="str">
        <f t="shared" ref="EG146:EG200" si="361">IF($B146="","",IF(OR($F$10="ანუიტეტური",$F$10="სამომხმარებლო"),EG145,IF(AND($F$10="საშეღავათო",$B146&lt;=$G$12),EH146+EI146,IF(AND($F$10="საშეღავათო",$B146&gt;$G$12),DW146+EB146,IF(AND($F$10="ნულოვანი საშეღავათო",$B146&lt;=$G$12),EH146+EI146,IF(AND($F$10="ნულოვანი საშეღავათო",$B146&gt;$G$12,CU146&gt;ROUND(-PMT($H$22/$I$20,$H$20-$G$12,$CS$80),2)),CU146,DW146+EB146))))))</f>
        <v/>
      </c>
      <c r="EH146" s="109" t="str">
        <f t="shared" ref="EH146:EH200" si="362">IF($B146="","",IF(OR($F$10="ანუიტეტური",$F$10="სამომხმარებლო"),EG146-EI146,IF(AND($F$10="საშეღავათო",$B146&gt;$G$12),EG146-EI146,IF(AND($F$10="საშეღავათო",$B146&lt;=$G$12),0,IF(AND($F$10="ნულოვანი საშეღავათო",$B146&gt;$G$12),EG146-EI146,IF(AND($F$10="ნულოვანი საშეღავათო",$B146&lt;=$G$12),0))))))</f>
        <v/>
      </c>
      <c r="EI146" s="109" t="str">
        <f t="shared" si="288"/>
        <v/>
      </c>
      <c r="EJ146" s="110" t="str">
        <f t="shared" si="233"/>
        <v/>
      </c>
      <c r="EL146" s="108" t="str">
        <f t="shared" si="289"/>
        <v/>
      </c>
      <c r="EM146" s="109" t="str">
        <f t="shared" ref="EM146:EM200" si="363">IF($B146="","",EL146-EN146)</f>
        <v/>
      </c>
      <c r="EN146" s="109" t="str">
        <f t="shared" si="290"/>
        <v/>
      </c>
      <c r="EO146" s="110" t="str">
        <f t="shared" si="234"/>
        <v/>
      </c>
      <c r="EQ146" s="108" t="str">
        <f t="shared" ref="EQ146:EQ200" si="364">IF($B146="","",IF(OR($F$10="ანუიტეტური",$F$10="სამომხმარებლო"),EQ145,IF(AND($F$10="საშეღავათო",$B146&lt;=$G$12),ER146+ES146,IF(AND($F$10="საშეღავათო",$B146&gt;$G$12),EG146+EL146,IF(AND($F$10="ნულოვანი საშეღავათო",$B146&lt;=$G$12),ER146+ES146,IF(AND($F$10="ნულოვანი საშეღავათო",$B146&gt;$G$12,CU146&gt;ROUND(-PMT($H$22/$I$20,$H$20-$G$12,$CS$80),2)),CU146,EG146+EL146))))))</f>
        <v/>
      </c>
      <c r="ER146" s="109" t="str">
        <f t="shared" ref="ER146:ER200" si="365">IF($B146="","",IF(OR($F$10="ანუიტეტური",$F$10="სამომხმარებლო"),EQ146-ES146,IF(AND($F$10="საშეღავათო",$B146&gt;$G$12),EQ146-ES146,IF(AND($F$10="საშეღავათო",$B146&lt;=$G$12),0,IF(AND($F$10="ნულოვანი საშეღავათო",$B146&gt;$G$12),EQ146-ES146,IF(AND($F$10="ნულოვანი საშეღავათო",$B146&lt;=$G$12),0))))))</f>
        <v/>
      </c>
      <c r="ES146" s="109" t="str">
        <f t="shared" si="291"/>
        <v/>
      </c>
      <c r="ET146" s="110" t="str">
        <f t="shared" si="235"/>
        <v/>
      </c>
      <c r="EV146" s="108" t="str">
        <f t="shared" si="292"/>
        <v/>
      </c>
      <c r="EW146" s="109" t="str">
        <f t="shared" ref="EW146:EW200" si="366">IF($B146="","",EV146-EX146)</f>
        <v/>
      </c>
      <c r="EX146" s="109" t="str">
        <f t="shared" si="293"/>
        <v/>
      </c>
      <c r="EY146" s="110" t="str">
        <f t="shared" si="236"/>
        <v/>
      </c>
      <c r="FA146" s="108" t="str">
        <f t="shared" ref="FA146:FA200" si="367">IF($B146="","",IF(OR($F$10="ანუიტეტური",$F$10="სამომხმარებლო"),FA145,IF(AND($F$10="საშეღავათო",$B146&lt;=$G$12),FB146+FC146,IF(AND($F$10="საშეღავათო",$B146&gt;$G$12),EQ146+EV146,IF(AND($F$10="ნულოვანი საშეღავათო",$B146&lt;=$G$12),FB146+FC146,IF(AND($F$10="ნულოვანი საშეღავათო",$B146&gt;$G$12,CU146&gt;ROUND(-PMT($H$22/$I$20,$H$20-$G$12,$CS$80),2)),CU146,EQ146+EV146))))))</f>
        <v/>
      </c>
      <c r="FB146" s="109" t="str">
        <f t="shared" ref="FB146:FB200" si="368">IF($B146="","",IF(OR($F$10="ანუიტეტური",$F$10="სამომხმარებლო"),FA146-FC146,IF(AND($F$10="საშეღავათო",$B146&gt;$G$12),FA146-FC146,IF(AND($F$10="საშეღავათო",$B146&lt;=$G$12),0,IF(AND($F$10="ნულოვანი საშეღავათო",$B146&gt;$G$12),FA146-FC146,IF(AND($F$10="ნულოვანი საშეღავათო",$B146&lt;=$G$12),0))))))</f>
        <v/>
      </c>
      <c r="FC146" s="109" t="str">
        <f t="shared" si="294"/>
        <v/>
      </c>
      <c r="FD146" s="110" t="str">
        <f t="shared" si="237"/>
        <v/>
      </c>
      <c r="FF146" s="108" t="str">
        <f t="shared" si="295"/>
        <v/>
      </c>
      <c r="FG146" s="109" t="str">
        <f t="shared" ref="FG146:FG200" si="369">IF($B146="","",FF146-FH146)</f>
        <v/>
      </c>
      <c r="FH146" s="109" t="str">
        <f t="shared" si="296"/>
        <v/>
      </c>
      <c r="FI146" s="110" t="str">
        <f t="shared" si="238"/>
        <v/>
      </c>
      <c r="FK146" s="108" t="str">
        <f t="shared" ref="FK146:FK200" si="370">IF($B146="","",IF(OR($F$10="ანუიტეტური",$F$10="სამომხმარებლო"),FK145,IF(AND($F$10="საშეღავათო",$B146&lt;=$G$12),FL146+FM146,IF(AND($F$10="საშეღავათო",$B146&gt;$G$12),FA146+FF146,IF(AND($F$10="ნულოვანი საშეღავათო",$B146&lt;=$G$12),FL146+FM146,IF(AND($F$10="ნულოვანი საშეღავათო",$B146&gt;$G$12,CU146&gt;ROUND(-PMT($H$22/$I$20,$H$20-$G$12,$CS$80),2)),CU146,FA146+FF146))))))</f>
        <v/>
      </c>
      <c r="FL146" s="109" t="str">
        <f t="shared" ref="FL146:FL200" si="371">IF($B146="","",IF(OR($F$10="ანუიტეტური",$F$10="სამომხმარებლო"),FK146-FM146,IF(AND($F$10="საშეღავათო",$B146&gt;$G$12),FK146-FM146,IF(AND($F$10="საშეღავათო",$B146&lt;=$G$12),0,IF(AND($F$10="ნულოვანი საშეღავათო",$B146&gt;$G$12),FK146-FM146,IF(AND($F$10="ნულოვანი საშეღავათო",$B146&lt;=$G$12),0))))))</f>
        <v/>
      </c>
      <c r="FM146" s="109" t="str">
        <f t="shared" si="297"/>
        <v/>
      </c>
      <c r="FN146" s="110" t="str">
        <f t="shared" si="239"/>
        <v/>
      </c>
      <c r="FP146" s="108" t="str">
        <f t="shared" si="298"/>
        <v/>
      </c>
      <c r="FQ146" s="109" t="str">
        <f t="shared" ref="FQ146:FQ200" si="372">IF($B146="","",FP146-FR146)</f>
        <v/>
      </c>
      <c r="FR146" s="109" t="str">
        <f t="shared" si="299"/>
        <v/>
      </c>
      <c r="FS146" s="110" t="str">
        <f t="shared" si="240"/>
        <v/>
      </c>
      <c r="FU146" s="108" t="str">
        <f t="shared" ref="FU146:FU200" si="373">IF($B146="","",IF(OR($F$10="ანუიტეტური",$F$10="სამომხმარებლო"),FU145,IF(AND($F$10="საშეღავათო",$B146&lt;=$G$12),FV146+FW146,IF(AND($F$10="საშეღავათო",$B146&gt;$G$12),FK146+FP146,IF(AND($F$10="ნულოვანი საშეღავათო",$B146&lt;=$G$12),FV146+FW146,IF(AND($F$10="ნულოვანი საშეღავათო",$B146&gt;$G$12,CU146&gt;ROUND(-PMT($H$22/$I$20,$H$20-$G$12,$CS$80),2)),CU146,FK146+FP146))))))</f>
        <v/>
      </c>
      <c r="FV146" s="109" t="str">
        <f t="shared" ref="FV146:FV200" si="374">IF($B146="","",IF(OR($F$10="ანუიტეტური",$F$10="სამომხმარებლო"),FU146-FW146,IF(AND($F$10="საშეღავათო",$B146&gt;$G$12),FU146-FW146,IF(AND($F$10="საშეღავათო",$B146&lt;=$G$12),0,IF(AND($F$10="ნულოვანი საშეღავათო",$B146&gt;$G$12),FU146-FW146,IF(AND($F$10="ნულოვანი საშეღავათო",$B146&lt;=$G$12),0))))))</f>
        <v/>
      </c>
      <c r="FW146" s="109" t="str">
        <f t="shared" si="300"/>
        <v/>
      </c>
      <c r="FX146" s="110" t="str">
        <f t="shared" si="241"/>
        <v/>
      </c>
      <c r="FZ146" s="108" t="str">
        <f t="shared" si="301"/>
        <v/>
      </c>
      <c r="GA146" s="109" t="str">
        <f t="shared" ref="GA146:GA200" si="375">IF($B146="","",FZ146-GB146)</f>
        <v/>
      </c>
      <c r="GB146" s="109" t="str">
        <f t="shared" si="302"/>
        <v/>
      </c>
      <c r="GC146" s="110" t="str">
        <f t="shared" si="242"/>
        <v/>
      </c>
      <c r="GE146" s="108" t="str">
        <f t="shared" ref="GE146:GE200" si="376">IF($B146="","",IF($B146=$H$20,GF146+GG146,IF(OR($F$10="ანუიტეტური",$F$10="სამომხმარებლო"),GE145,IF(AND($F$10="საშეღავათო",$B146&lt;=$G$12),GF146+GG146,IF(AND($F$10="საშეღავათო",$B146&gt;$G$12),FU146+FZ146,IF(AND($F$10="ნულოვანი საშეღავათო",$B146&lt;=$G$12),GF146+GG146,IF(AND($F$10="ნულოვანი საშეღავათო",$B146&gt;$G$12,CU146&gt;ROUND(-PMT($H$22/$I$20,$H$20-$G$12,$CS$80),2)),CU146,FU146+FZ146)))))))</f>
        <v/>
      </c>
      <c r="GF146" s="109" t="str">
        <f t="shared" ref="GF146:GF200" si="377">IF($B146="","",IF($B146=$H$20,GH145,IF(OR($F$10="ანუიტეტური",$F$10="სამომხმარებლო"),GE146-GG146,IF(AND($F$10="საშეღავათო",$B146&gt;$G$12),GE146-GG146,IF(AND($F$10="საშეღავათო",$B146&lt;=$G$12),0,IF(AND($F$10="ნულოვანი საშეღავათო",$B146&gt;$G$12),GE146-GG146,IF(AND($F$10="ნულოვანი საშეღავათო",$B146&lt;=$G$12),0)))))))</f>
        <v/>
      </c>
      <c r="GG146" s="109" t="str">
        <f t="shared" ref="GG146:GG200" si="378">IF($B146="","",IF(OR($F$10="ანუიტეტური",$F$10="სამომხმარებლო"),ROUND($H$22/$I$22*($C146-$C145)*GH145,2),IF($F$10="საშეღავათო",ROUND($H$22/$I$22*($C146-$C145)*GH145,2),IF(AND($F$10="ნულოვანი საშეღავათო",$B146&lt;=$G$12),0,IF(AND($F$10="ნულოვანი საშეღავათო",$B146=$G$12+1),ROUND($H$22/$I$22*($C146-$C$80)*GH145,2),IF(AND($F$10="ნულოვანი საშეღავათო",$B146&gt;$G$12),ROUND($H$22/$I$22*($C146-$C145)*GH145,2)))))))</f>
        <v/>
      </c>
      <c r="GH146" s="110" t="str">
        <f t="shared" si="243"/>
        <v/>
      </c>
      <c r="GL146" s="108" t="str">
        <f t="shared" si="303"/>
        <v/>
      </c>
      <c r="GM146" s="109" t="str">
        <f t="shared" si="304"/>
        <v/>
      </c>
      <c r="GN146" s="109" t="str">
        <f t="shared" si="305"/>
        <v/>
      </c>
      <c r="GO146" s="110" t="str">
        <f t="shared" si="306"/>
        <v/>
      </c>
      <c r="GP146" s="51"/>
      <c r="GQ146" s="108" t="str">
        <f t="shared" si="307"/>
        <v/>
      </c>
      <c r="GR146" s="109" t="str">
        <f t="shared" ref="GR146:GR200" si="379">IF($K146="","",GQ146-GS146)</f>
        <v/>
      </c>
      <c r="GS146" s="109" t="str">
        <f t="shared" si="308"/>
        <v/>
      </c>
      <c r="GT146" s="110" t="str">
        <f t="shared" si="309"/>
        <v/>
      </c>
      <c r="GU146" s="51"/>
      <c r="GV146" s="108" t="str">
        <f t="shared" ref="GV146:GV200" si="380">IF($K146="","",IF(OR($O$28="ანუიტეტური",$O$28="სამომხმარებლო"),GV145,IF(AND($O$28="საშეღავათო",$K146&lt;=$Q$30),GW146+GX146,IF(AND($O$28="საშეღავათო",$K146&gt;$Q$30),GL146+GQ146,IF(AND($O$28="ნულოვანი საშეღავათო",$K146&lt;=$Q$30),GW146+GX146,IF(AND($O$28="ნულოვანი საშეღავათო",$K146&gt;$Q$30,GN146&gt;ROUND(-PMT($P$34/$I$20,$R$32-$Q$30,$GL$80),2)),GN146,GL146+GQ146))))))</f>
        <v/>
      </c>
      <c r="GW146" s="109" t="str">
        <f t="shared" ref="GW146:GW200" si="381">IF($K146="","",IF(OR($O$28="ანუიტეტური",$O$28="სამომხმარებლო"),GV146-GX146,IF(AND($O$28="საშეღავათო",$K146&gt;$Q$30),GV146-GX146,IF(AND($O$28="საშეღავათო",$K146&lt;=$Q$30),0,IF(AND($O$28="ნულოვანი საშეღავათო",$K146&gt;$Q$30),GV146-GX146,IF(AND($O$28="ნულოვანი საშეღავათო",$K146&lt;=$Q$30),0))))))</f>
        <v/>
      </c>
      <c r="GX146" s="109" t="str">
        <f t="shared" si="310"/>
        <v/>
      </c>
      <c r="GY146" s="110" t="str">
        <f t="shared" ref="GY146:GY200" si="382">IF($K146="","",GY145-GW146)</f>
        <v/>
      </c>
      <c r="GZ146" s="51"/>
      <c r="HA146" s="108" t="str">
        <f t="shared" si="311"/>
        <v/>
      </c>
      <c r="HB146" s="109" t="str">
        <f t="shared" ref="HB146:HB200" si="383">IF($K146="","",HA146-HC146)</f>
        <v/>
      </c>
      <c r="HC146" s="109" t="str">
        <f t="shared" si="312"/>
        <v/>
      </c>
      <c r="HD146" s="110" t="str">
        <f t="shared" si="193"/>
        <v/>
      </c>
      <c r="HE146" s="51"/>
      <c r="HF146" s="108" t="str">
        <f t="shared" ref="HF146:HF200" si="384">IF($K146="","",IF(OR($O$28="ანუიტეტური",$O$28="სამომხმარებლო"),HF145,IF(AND($O$28="საშეღავათო",$K146&lt;=$Q$30),HG146+HH146,IF(AND($O$28="საშეღავათო",$K146&gt;$Q$30),GV146+HA146,IF(AND($O$28="ნულოვანი საშეღავათო",$K146&lt;=$Q$30),HG146+HH146,IF(AND($O$28="ნულოვანი საშეღავათო",$K146&gt;$Q$30,GX146&gt;ROUND(-PMT($P$34/$I$20,$R$32-$Q$30,$GL$80),2)),GX146,GV146+HA146))))))</f>
        <v/>
      </c>
      <c r="HG146" s="109" t="str">
        <f t="shared" ref="HG146:HG200" si="385">IF($K146="","",IF(OR($O$28="ანუიტეტური",$O$28="სამომხმარებლო"),HF146-HH146,IF(AND($O$28="საშეღავათო",$K146&gt;$Q$30),HF146-HH146,IF(AND($O$28="საშეღავათო",$K146&lt;=$Q$30),0,IF(AND($O$28="ნულოვანი საშეღავათო",$K146&gt;$Q$30),HF146-HH146,IF(AND($O$28="ნულოვანი საშეღავათო",$K146&lt;=$Q$30),0))))))</f>
        <v/>
      </c>
      <c r="HH146" s="109" t="str">
        <f t="shared" si="313"/>
        <v/>
      </c>
      <c r="HI146" s="110" t="str">
        <f t="shared" ref="HI146:HI200" si="386">IF($K146="","",HI145-HG146)</f>
        <v/>
      </c>
      <c r="HJ146" s="51"/>
      <c r="HK146" s="108" t="str">
        <f t="shared" si="314"/>
        <v/>
      </c>
      <c r="HL146" s="109" t="str">
        <f t="shared" ref="HL146:HL200" si="387">IF($K146="","",HK146-HM146)</f>
        <v/>
      </c>
      <c r="HM146" s="109" t="str">
        <f t="shared" si="315"/>
        <v/>
      </c>
      <c r="HN146" s="110" t="str">
        <f t="shared" si="194"/>
        <v/>
      </c>
      <c r="HO146" s="51"/>
      <c r="HP146" s="108" t="str">
        <f t="shared" ref="HP146:HP200" si="388">IF($K146="","",IF(OR($O$28="ანუიტეტური",$O$28="სამომხმარებლო"),HP145,IF(AND($O$28="საშეღავათო",$K146&lt;=$Q$30),HQ146+HR146,IF(AND($O$28="საშეღავათო",$K146&gt;$Q$30),HF146+HK146,IF(AND($O$28="ნულოვანი საშეღავათო",$K146&lt;=$Q$30),HQ146+HR146,IF(AND($O$28="ნულოვანი საშეღავათო",$K146&gt;$Q$30,HH146&gt;ROUND(-PMT($P$34/$I$20,$R$32-$Q$30,$GL$80),2)),HH146,HF146+HK146))))))</f>
        <v/>
      </c>
      <c r="HQ146" s="109" t="str">
        <f t="shared" ref="HQ146:HQ200" si="389">IF($K146="","",IF(OR($O$28="ანუიტეტური",$O$28="სამომხმარებლო"),HP146-HR146,IF(AND($O$28="საშეღავათო",$K146&gt;$Q$30),HP146-HR146,IF(AND($O$28="საშეღავათო",$K146&lt;=$Q$30),0,IF(AND($O$28="ნულოვანი საშეღავათო",$K146&gt;$Q$30),HP146-HR146,IF(AND($O$28="ნულოვანი საშეღავათო",$K146&lt;=$Q$30),0))))))</f>
        <v/>
      </c>
      <c r="HR146" s="109" t="str">
        <f t="shared" si="316"/>
        <v/>
      </c>
      <c r="HS146" s="110" t="str">
        <f t="shared" ref="HS146:HS200" si="390">IF($K146="","",HS145-HQ146)</f>
        <v/>
      </c>
      <c r="HT146" s="51"/>
      <c r="HU146" s="108" t="str">
        <f t="shared" si="317"/>
        <v/>
      </c>
      <c r="HV146" s="109" t="str">
        <f t="shared" ref="HV146:HV200" si="391">IF($K146="","",HU146-HW146)</f>
        <v/>
      </c>
      <c r="HW146" s="109" t="str">
        <f t="shared" si="318"/>
        <v/>
      </c>
      <c r="HX146" s="110" t="str">
        <f t="shared" si="195"/>
        <v/>
      </c>
      <c r="HY146" s="51"/>
      <c r="HZ146" s="108" t="str">
        <f t="shared" ref="HZ146:HZ200" si="392">IF($K146="","",IF(OR($O$28="ანუიტეტური",$O$28="სამომხმარებლო"),HZ145,IF(AND($O$28="საშეღავათო",$K146&lt;=$Q$30),IA146+IB146,IF(AND($O$28="საშეღავათო",$K146&gt;$Q$30),HP146+HU146,IF(AND($O$28="ნულოვანი საშეღავათო",$K146&lt;=$Q$30),IA146+IB146,IF(AND($O$28="ნულოვანი საშეღავათო",$K146&gt;$Q$30,HR146&gt;ROUND(-PMT($P$34/$I$20,$R$32-$Q$30,$GL$80),2)),HR146,HP146+HU146))))))</f>
        <v/>
      </c>
      <c r="IA146" s="109" t="str">
        <f t="shared" ref="IA146:IA200" si="393">IF($K146="","",IF(OR($O$28="ანუიტეტური",$O$28="სამომხმარებლო"),HZ146-IB146,IF(AND($O$28="საშეღავათო",$K146&gt;$Q$30),HZ146-IB146,IF(AND($O$28="საშეღავათო",$K146&lt;=$Q$30),0,IF(AND($O$28="ნულოვანი საშეღავათო",$K146&gt;$Q$30),HZ146-IB146,IF(AND($O$28="ნულოვანი საშეღავათო",$K146&lt;=$Q$30),0))))))</f>
        <v/>
      </c>
      <c r="IB146" s="109" t="str">
        <f t="shared" si="319"/>
        <v/>
      </c>
      <c r="IC146" s="110" t="str">
        <f t="shared" ref="IC146:IC200" si="394">IF($K146="","",IC145-IA146)</f>
        <v/>
      </c>
      <c r="ID146" s="51"/>
      <c r="IE146" s="108" t="str">
        <f t="shared" si="320"/>
        <v/>
      </c>
      <c r="IF146" s="109" t="str">
        <f t="shared" ref="IF146:IF200" si="395">IF($K146="","",IE146-IG146)</f>
        <v/>
      </c>
      <c r="IG146" s="109" t="str">
        <f t="shared" si="321"/>
        <v/>
      </c>
      <c r="IH146" s="110" t="str">
        <f t="shared" si="196"/>
        <v/>
      </c>
      <c r="II146" s="51"/>
      <c r="IJ146" s="108" t="str">
        <f t="shared" ref="IJ146:IJ200" si="396">IF($K146="","",IF(OR($O$28="ანუიტეტური",$O$28="სამომხმარებლო"),IJ145,IF(AND($O$28="საშეღავათო",$K146&lt;=$Q$30),IK146+IL146,IF(AND($O$28="საშეღავათო",$K146&gt;$Q$30),HZ146+IE146,IF(AND($O$28="ნულოვანი საშეღავათო",$K146&lt;=$Q$30),IK146+IL146,IF(AND($O$28="ნულოვანი საშეღავათო",$K146&gt;$Q$30,IB146&gt;ROUND(-PMT($P$34/$I$20,$R$32-$Q$30,$GL$80),2)),IB146,HZ146+IE146))))))</f>
        <v/>
      </c>
      <c r="IK146" s="109" t="str">
        <f t="shared" ref="IK146:IK200" si="397">IF($K146="","",IF(OR($O$28="ანუიტეტური",$O$28="სამომხმარებლო"),IJ146-IL146,IF(AND($O$28="საშეღავათო",$K146&gt;$Q$30),IJ146-IL146,IF(AND($O$28="საშეღავათო",$K146&lt;=$Q$30),0,IF(AND($O$28="ნულოვანი საშეღავათო",$K146&gt;$Q$30),IJ146-IL146,IF(AND($O$28="ნულოვანი საშეღავათო",$K146&lt;=$Q$30),0))))))</f>
        <v/>
      </c>
      <c r="IL146" s="109" t="str">
        <f t="shared" si="322"/>
        <v/>
      </c>
      <c r="IM146" s="110" t="str">
        <f t="shared" ref="IM146:IM200" si="398">IF($K146="","",IM145-IK146)</f>
        <v/>
      </c>
      <c r="IN146" s="51"/>
      <c r="IO146" s="108" t="str">
        <f t="shared" si="323"/>
        <v/>
      </c>
      <c r="IP146" s="109" t="str">
        <f t="shared" ref="IP146:IP200" si="399">IF($K146="","",IO146-IQ146)</f>
        <v/>
      </c>
      <c r="IQ146" s="109" t="str">
        <f t="shared" si="324"/>
        <v/>
      </c>
      <c r="IR146" s="110" t="str">
        <f t="shared" si="197"/>
        <v/>
      </c>
      <c r="IS146" s="51"/>
      <c r="IT146" s="108" t="str">
        <f t="shared" ref="IT146:IT200" si="400">IF($K146="","",IF(OR($O$28="ანუიტეტური",$O$28="სამომხმარებლო"),IT145,IF(AND($O$28="საშეღავათო",$K146&lt;=$Q$30),IU146+IV146,IF(AND($O$28="საშეღავათო",$K146&gt;$Q$30),IJ146+IO146,IF(AND($O$28="ნულოვანი საშეღავათო",$K146&lt;=$Q$30),IU146+IV146,IF(AND($O$28="ნულოვანი საშეღავათო",$K146&gt;$Q$30,IL146&gt;ROUND(-PMT($P$34/$I$20,$R$32-$Q$30,$GL$80),2)),IL146,IJ146+IO146))))))</f>
        <v/>
      </c>
      <c r="IU146" s="109" t="str">
        <f t="shared" ref="IU146:IU200" si="401">IF($K146="","",IF(OR($O$28="ანუიტეტური",$O$28="სამომხმარებლო"),IT146-IV146,IF(AND($O$28="საშეღავათო",$K146&gt;$Q$30),IT146-IV146,IF(AND($O$28="საშეღავათო",$K146&lt;=$Q$30),0,IF(AND($O$28="ნულოვანი საშეღავათო",$K146&gt;$Q$30),IT146-IV146,IF(AND($O$28="ნულოვანი საშეღავათო",$K146&lt;=$Q$30),0))))))</f>
        <v/>
      </c>
      <c r="IV146" s="109" t="str">
        <f t="shared" si="325"/>
        <v/>
      </c>
      <c r="IW146" s="110" t="str">
        <f t="shared" ref="IW146:IW200" si="402">IF($K146="","",IW145-IU146)</f>
        <v/>
      </c>
      <c r="IX146" s="51"/>
      <c r="IY146" s="108" t="str">
        <f t="shared" si="326"/>
        <v/>
      </c>
      <c r="IZ146" s="109" t="str">
        <f t="shared" ref="IZ146:IZ200" si="403">IF($K146="","",IY146-JA146)</f>
        <v/>
      </c>
      <c r="JA146" s="109" t="str">
        <f t="shared" si="327"/>
        <v/>
      </c>
      <c r="JB146" s="110" t="str">
        <f t="shared" si="198"/>
        <v/>
      </c>
      <c r="JC146" s="51"/>
      <c r="JD146" s="108" t="str">
        <f t="shared" ref="JD146:JD200" si="404">IF($K146="","",IF(OR($O$28="ანუიტეტური",$O$28="სამომხმარებლო"),JD145,IF(AND($O$28="საშეღავათო",$K146&lt;=$Q$30),JE146+JF146,IF(AND($O$28="საშეღავათო",$K146&gt;$Q$30),IT146+IY146,IF(AND($O$28="ნულოვანი საშეღავათო",$K146&lt;=$Q$30),JE146+JF146,IF(AND($O$28="ნულოვანი საშეღავათო",$K146&gt;$Q$30,IV146&gt;ROUND(-PMT($P$34/$I$20,$R$32-$Q$30,$GL$80),2)),IV146,IT146+IY146))))))</f>
        <v/>
      </c>
      <c r="JE146" s="109" t="str">
        <f t="shared" ref="JE146:JE200" si="405">IF($K146="","",IF(OR($O$28="ანუიტეტური",$O$28="სამომხმარებლო"),JD146-JF146,IF(AND($O$28="საშეღავათო",$K146&gt;$Q$30),JD146-JF146,IF(AND($O$28="საშეღავათო",$K146&lt;=$Q$30),0,IF(AND($O$28="ნულოვანი საშეღავათო",$K146&gt;$Q$30),JD146-JF146,IF(AND($O$28="ნულოვანი საშეღავათო",$K146&lt;=$Q$30),0))))))</f>
        <v/>
      </c>
      <c r="JF146" s="109" t="str">
        <f t="shared" si="328"/>
        <v/>
      </c>
      <c r="JG146" s="110" t="str">
        <f t="shared" ref="JG146:JG200" si="406">IF($K146="","",JG145-JE146)</f>
        <v/>
      </c>
      <c r="JH146" s="51"/>
      <c r="JI146" s="108" t="str">
        <f t="shared" si="329"/>
        <v/>
      </c>
      <c r="JJ146" s="109" t="str">
        <f t="shared" ref="JJ146:JJ200" si="407">IF($K146="","",JI146-JK146)</f>
        <v/>
      </c>
      <c r="JK146" s="109" t="str">
        <f t="shared" si="330"/>
        <v/>
      </c>
      <c r="JL146" s="110" t="str">
        <f t="shared" si="199"/>
        <v/>
      </c>
      <c r="JM146" s="51"/>
      <c r="JN146" s="108" t="str">
        <f t="shared" ref="JN146:JN200" si="408">IF($K146="","",IF(OR($O$28="ანუიტეტური",$O$28="სამომხმარებლო"),JN145,IF(AND($O$28="საშეღავათო",$K146&lt;=$Q$30),JO146+JP146,IF(AND($O$28="საშეღავათო",$K146&gt;$Q$30),JD146+JI146,IF(AND($O$28="ნულოვანი საშეღავათო",$K146&lt;=$Q$30),JO146+JP146,IF(AND($O$28="ნულოვანი საშეღავათო",$K146&gt;$Q$30,JF146&gt;ROUND(-PMT($P$34/$I$20,$R$32-$Q$30,$GL$80),2)),JF146,JD146+JI146))))))</f>
        <v/>
      </c>
      <c r="JO146" s="109" t="str">
        <f t="shared" ref="JO146:JO200" si="409">IF($K146="","",IF(OR($O$28="ანუიტეტური",$O$28="სამომხმარებლო"),JN146-JP146,IF(AND($O$28="საშეღავათო",$K146&gt;$Q$30),JN146-JP146,IF(AND($O$28="საშეღავათო",$K146&lt;=$Q$30),0,IF(AND($O$28="ნულოვანი საშეღავათო",$K146&gt;$Q$30),JN146-JP146,IF(AND($O$28="ნულოვანი საშეღავათო",$K146&lt;=$Q$30),0))))))</f>
        <v/>
      </c>
      <c r="JP146" s="109" t="str">
        <f t="shared" si="331"/>
        <v/>
      </c>
      <c r="JQ146" s="110" t="str">
        <f t="shared" ref="JQ146:JQ200" si="410">IF($K146="","",JQ145-JO146)</f>
        <v/>
      </c>
      <c r="JR146" s="51"/>
      <c r="JS146" s="108" t="str">
        <f t="shared" si="332"/>
        <v/>
      </c>
      <c r="JT146" s="109" t="str">
        <f t="shared" ref="JT146:JT200" si="411">IF($K146="","",JS146-JU146)</f>
        <v/>
      </c>
      <c r="JU146" s="109" t="str">
        <f t="shared" si="333"/>
        <v/>
      </c>
      <c r="JV146" s="110" t="str">
        <f t="shared" si="200"/>
        <v/>
      </c>
      <c r="JW146" s="51"/>
      <c r="JX146" s="108" t="str">
        <f t="shared" ref="JX146:JX200" si="412">IF($K146="","",IF($K146=$R$32,JY146+JZ146,IF(OR($O$28="ანუიტეტური",$O$28="სამომხმარებლო"),JX145,IF(AND($O$28="საშეღავათო",$K146&lt;=$Q$30),JY146+JZ146,IF(AND($O$28="საშეღავათო",$K146&gt;$Q$30),JN146+JS146,IF(AND($O$28="ნულოვანი საშეღავათო",$K146&lt;=$Q$30),JY146+JZ146,IF(AND($O$28="ნულოვანი საშეღავათო",$K146&gt;$Q$30,GN146&gt;ROUND(-PMT($P$34/$I$20,$R$32-$Q$30,$CS$80),2)),GN146,JN146+JS146)))))))</f>
        <v/>
      </c>
      <c r="JY146" s="109" t="str">
        <f t="shared" ref="JY146:JY200" si="413">IF($K146="","",IF($K146=$R$32,KA145,IF(OR($O$28="ანუიტეტური",$O$28="სამომხმარებლო"),JX146-JZ146,IF(AND($O$28="საშეღავათო",$K146&gt;$Q$30),JX146-JZ146,IF(AND($O$28="საშეღავათო",$K146&lt;=$Q$30),0,IF(AND($O$28="ნულოვანი საშეღავათო",$K146&gt;$Q$30),JX146-JZ146,IF(AND($O$28="ნულოვანი საშეღავათო",$K146&lt;=$Q$30),0)))))))</f>
        <v/>
      </c>
      <c r="JZ146" s="109" t="str">
        <f t="shared" si="334"/>
        <v/>
      </c>
      <c r="KA146" s="110" t="str">
        <f t="shared" si="335"/>
        <v/>
      </c>
    </row>
    <row r="147" spans="1:287" ht="12" customHeight="1">
      <c r="A147" s="105">
        <f t="array" ref="A147">MAX(IF($J$80:J146&gt;0,$C$80:C146,0))</f>
        <v>43536</v>
      </c>
      <c r="B147" s="81" t="str">
        <f t="shared" si="248"/>
        <v/>
      </c>
      <c r="C147" s="82">
        <f t="shared" ref="C147:C200" si="414">IF(B147="",0,IF(OR($F$36="ფიქსირებული",AND($F$36="თვის ბოლო",B147=$H$20)),IF(OR(WEEKDAY(EDATE(DATE($F$32,$G$32,$H$36),B147-$B$82),2)=6,WEEKDAY(EDATE(DATE($F$32,$G$32,$H$36),B147-$B$82),2)=7,IF(EDATE(DATE($F$32,$G$32,$H$36),B147-$B$82)=IFERROR(VLOOKUP(EDATE(DATE($F$32,$G$32,$H$36),B147-$B$82),$BK$80:$BK$624,1,FALSE),0),1,0)=1),WORKDAY(EDATE(DATE($F$32,$G$32,$H$36),B147-$B$82),1,$BK$80:$BK$624),EDATE(DATE($F$32,$G$32,$H$36),B147-$B$82)),IF(OR(WEEKDAY(EOMONTH(DATE($F$28,$G$28,$H$28),B147),2)=6,WEEKDAY(EOMONTH(DATE($F$28,$G$28,$H$28),B147),2)=7,IF(EOMONTH(DATE($F$28,$G$28,$H$28),B147)=IFERROR(VLOOKUP(EOMONTH(DATE($F$28,$G$28,$H$28),B147),$BK$80:$BK$624,1,FALSE),0),1,0)=1),WORKDAY(EOMONTH(DATE($F$28,$G$28,$H$28),B147),1,$BK$80:$BK$624),EOMONTH(DATE($F$28,$G$28,$H$28),B147))))</f>
        <v>0</v>
      </c>
      <c r="D147" s="83" t="str">
        <f t="shared" si="249"/>
        <v/>
      </c>
      <c r="E147" s="83" t="str">
        <f t="shared" si="336"/>
        <v/>
      </c>
      <c r="F147" s="83" t="str">
        <f t="shared" si="250"/>
        <v/>
      </c>
      <c r="G147" s="83" t="str">
        <f t="shared" si="251"/>
        <v/>
      </c>
      <c r="H147" s="83" t="str">
        <f t="shared" si="252"/>
        <v/>
      </c>
      <c r="I147" s="105">
        <f t="array" ref="I147">MAX(IF($R$80:R146&gt;0,$L$80:L146,0))</f>
        <v>0</v>
      </c>
      <c r="J147" s="106"/>
      <c r="K147" s="2" t="str">
        <f t="shared" si="253"/>
        <v/>
      </c>
      <c r="L147" s="82">
        <f t="shared" ref="L147:L200" si="415">IFERROR(IF(K147="",0,IF(OR($F$52="ფიქსირებული",AND($F$52="თვის ბოლო",K147=$R$32)),IF(OR(WEEKDAY(EDATE(DATE($F$50,$G$50,$H$52),K147-$K$82),2)=6,WEEKDAY(EDATE(DATE($F$50,$G$50,$H$52),K147-$K$82),2)=7,IF(EDATE(DATE($F$50,$G$50,$H$52),K147-$K$82)=IFERROR(VLOOKUP(EDATE(DATE($F$50,$G$50,$H$52),K147-$K$82),$BK$80:$BK$624,1,FALSE),0),1,0)=1),WORKDAY(EDATE(DATE($F$50,$G$50,$H$52),K147-$K$82),1,$BK$80:$BK$624),EDATE(DATE($F$50,$G$50,$H$52),K147-$K$82)),IF(OR(WEEKDAY(EOMONTH(DATE($F$46,$G$46,$H$46),K147),2)=6,WEEKDAY(EOMONTH(DATE($F$46,$G$46,$H$46),K147),2)=7,IF(EOMONTH(DATE($F$46,$G$46,$H$46),K147)=IFERROR(VLOOKUP(EOMONTH(DATE($F$46,$G$46,$H$46),K147),$BK$80:$BK$624,1,FALSE),0),1,0)=1),WORKDAY(EOMONTH(DATE($F$46,$G$46,$H$46),K147),1,$BK$80:$BK$624),EOMONTH(DATE($F$46,$G$46,$H$46),K147)))),0)</f>
        <v>0</v>
      </c>
      <c r="M147" s="83" t="str">
        <f t="shared" si="337"/>
        <v/>
      </c>
      <c r="N147" s="83" t="str">
        <f t="shared" si="254"/>
        <v/>
      </c>
      <c r="O147" s="83" t="str">
        <f t="shared" si="255"/>
        <v/>
      </c>
      <c r="P147" s="83" t="str">
        <f t="shared" si="256"/>
        <v/>
      </c>
      <c r="Q147" s="83" t="str">
        <f t="shared" si="257"/>
        <v/>
      </c>
      <c r="R147" s="106"/>
      <c r="S147" s="1"/>
      <c r="U147" s="85" t="e">
        <f t="shared" si="244"/>
        <v>#NUM!</v>
      </c>
      <c r="V147" s="86" t="e">
        <f t="shared" si="338"/>
        <v>#NUM!</v>
      </c>
      <c r="W147" s="87" t="e">
        <f t="shared" si="258"/>
        <v>#NUM!</v>
      </c>
      <c r="X147" s="87" t="e">
        <f t="shared" si="259"/>
        <v>#NUM!</v>
      </c>
      <c r="Y147" s="87" t="e">
        <f t="shared" si="260"/>
        <v>#NUM!</v>
      </c>
      <c r="Z147" s="88" t="e">
        <f t="shared" si="245"/>
        <v>#NUM!</v>
      </c>
      <c r="AA147" t="s">
        <v>282</v>
      </c>
      <c r="AB147" s="89">
        <f t="shared" si="339"/>
        <v>0</v>
      </c>
      <c r="AC147" s="87">
        <f t="shared" si="340"/>
        <v>0</v>
      </c>
      <c r="AD147" s="87" t="str">
        <f t="shared" si="261"/>
        <v/>
      </c>
      <c r="AE147" s="87" t="str">
        <f t="shared" si="262"/>
        <v/>
      </c>
      <c r="AF147" s="86">
        <f t="shared" si="341"/>
        <v>0</v>
      </c>
      <c r="AG147" s="87">
        <f t="shared" si="246"/>
        <v>0</v>
      </c>
      <c r="AH147" s="87">
        <f t="shared" si="342"/>
        <v>0</v>
      </c>
      <c r="AI147" s="90"/>
      <c r="AJ147" s="87" t="e">
        <f t="shared" si="263"/>
        <v>#NUM!</v>
      </c>
      <c r="AK147" s="87" t="e">
        <f t="shared" si="343"/>
        <v>#NUM!</v>
      </c>
      <c r="AL147" s="87" t="e">
        <f t="shared" si="344"/>
        <v>#NUM!</v>
      </c>
      <c r="AM147" s="87" t="e">
        <f t="shared" si="345"/>
        <v>#NUM!</v>
      </c>
      <c r="AN147" s="86">
        <f t="shared" si="264"/>
        <v>0</v>
      </c>
      <c r="AO147" s="87">
        <f t="shared" si="265"/>
        <v>0</v>
      </c>
      <c r="AP147" s="88">
        <f t="shared" si="266"/>
        <v>0</v>
      </c>
      <c r="AR147" s="89">
        <f t="shared" si="267"/>
        <v>0</v>
      </c>
      <c r="AS147" s="87">
        <f t="shared" si="268"/>
        <v>0</v>
      </c>
      <c r="AT147" s="87" t="str">
        <f t="shared" si="269"/>
        <v/>
      </c>
      <c r="AU147" s="87" t="str">
        <f t="shared" si="270"/>
        <v/>
      </c>
      <c r="AV147" s="86">
        <f t="shared" si="346"/>
        <v>0</v>
      </c>
      <c r="AW147" s="87">
        <f t="shared" si="347"/>
        <v>0</v>
      </c>
      <c r="AX147" s="87">
        <f t="shared" si="348"/>
        <v>0</v>
      </c>
      <c r="AY147" s="93"/>
      <c r="AZ147" s="87">
        <f t="shared" si="201"/>
        <v>0</v>
      </c>
      <c r="BA147" s="87">
        <f t="shared" si="349"/>
        <v>0</v>
      </c>
      <c r="BB147" s="87">
        <f t="shared" si="350"/>
        <v>0</v>
      </c>
      <c r="BC147" s="87">
        <f t="shared" ref="BC147:BC200" si="416">IFERROR(IF(OR($F$46="",DATE($F$34,$G$34,$H$34)&lt;=DATE($F$46,$G$46,$H$46)),0,IF(OR($O$28="ბიზნეს ოვერდრაფტი",$O$28="საკრედიტო ბარათი"),IF(M147&lt;&gt;"",(IF($P$32="GEL",M147,M147*$Q$32)*($BJ$81+(L147-$L$80)*$BJ$82)),0),"")),0)</f>
        <v>0</v>
      </c>
      <c r="BD147" s="86" t="e">
        <f t="shared" si="271"/>
        <v>#NUM!</v>
      </c>
      <c r="BE147" s="87" t="e">
        <f t="shared" si="247"/>
        <v>#NUM!</v>
      </c>
      <c r="BF147" s="88">
        <f t="shared" si="351"/>
        <v>0</v>
      </c>
      <c r="BH147" s="87" t="e">
        <f t="shared" si="272"/>
        <v>#NUM!</v>
      </c>
      <c r="BK147" s="95">
        <v>41015</v>
      </c>
      <c r="BL147" s="96">
        <v>68</v>
      </c>
      <c r="BT147" s="51"/>
      <c r="BU147" s="51"/>
      <c r="BV147" s="30"/>
      <c r="BW147" s="107"/>
      <c r="CS147" s="108" t="str">
        <f t="shared" si="273"/>
        <v/>
      </c>
      <c r="CT147" s="109" t="str">
        <f t="shared" si="274"/>
        <v/>
      </c>
      <c r="CU147" s="109" t="str">
        <f t="shared" si="275"/>
        <v/>
      </c>
      <c r="CV147" s="110" t="str">
        <f t="shared" si="225"/>
        <v/>
      </c>
      <c r="CX147" s="108" t="str">
        <f t="shared" si="276"/>
        <v/>
      </c>
      <c r="CY147" s="109" t="str">
        <f t="shared" si="352"/>
        <v/>
      </c>
      <c r="CZ147" s="109" t="str">
        <f t="shared" si="277"/>
        <v/>
      </c>
      <c r="DA147" s="110" t="str">
        <f t="shared" si="226"/>
        <v/>
      </c>
      <c r="DC147" s="108" t="str">
        <f t="shared" si="353"/>
        <v/>
      </c>
      <c r="DD147" s="109" t="str">
        <f t="shared" si="354"/>
        <v/>
      </c>
      <c r="DE147" s="109" t="str">
        <f t="shared" si="278"/>
        <v/>
      </c>
      <c r="DF147" s="110" t="str">
        <f t="shared" si="227"/>
        <v/>
      </c>
      <c r="DH147" s="108" t="str">
        <f t="shared" si="279"/>
        <v/>
      </c>
      <c r="DI147" s="109" t="str">
        <f t="shared" si="280"/>
        <v/>
      </c>
      <c r="DJ147" s="109" t="str">
        <f t="shared" si="281"/>
        <v/>
      </c>
      <c r="DK147" s="110" t="str">
        <f t="shared" si="228"/>
        <v/>
      </c>
      <c r="DM147" s="108" t="str">
        <f t="shared" si="355"/>
        <v/>
      </c>
      <c r="DN147" s="109" t="str">
        <f t="shared" si="356"/>
        <v/>
      </c>
      <c r="DO147" s="109" t="str">
        <f t="shared" si="282"/>
        <v/>
      </c>
      <c r="DP147" s="110" t="str">
        <f t="shared" si="229"/>
        <v/>
      </c>
      <c r="DR147" s="108" t="str">
        <f t="shared" si="283"/>
        <v/>
      </c>
      <c r="DS147" s="109" t="str">
        <f t="shared" si="357"/>
        <v/>
      </c>
      <c r="DT147" s="109" t="str">
        <f t="shared" si="284"/>
        <v/>
      </c>
      <c r="DU147" s="110" t="str">
        <f t="shared" si="230"/>
        <v/>
      </c>
      <c r="DW147" s="108" t="str">
        <f t="shared" si="358"/>
        <v/>
      </c>
      <c r="DX147" s="109" t="str">
        <f t="shared" si="359"/>
        <v/>
      </c>
      <c r="DY147" s="109" t="str">
        <f t="shared" si="285"/>
        <v/>
      </c>
      <c r="DZ147" s="110" t="str">
        <f t="shared" si="231"/>
        <v/>
      </c>
      <c r="EB147" s="108" t="str">
        <f t="shared" si="286"/>
        <v/>
      </c>
      <c r="EC147" s="109" t="str">
        <f t="shared" si="360"/>
        <v/>
      </c>
      <c r="ED147" s="109" t="str">
        <f t="shared" si="287"/>
        <v/>
      </c>
      <c r="EE147" s="110" t="str">
        <f t="shared" si="232"/>
        <v/>
      </c>
      <c r="EG147" s="108" t="str">
        <f t="shared" si="361"/>
        <v/>
      </c>
      <c r="EH147" s="109" t="str">
        <f t="shared" si="362"/>
        <v/>
      </c>
      <c r="EI147" s="109" t="str">
        <f t="shared" si="288"/>
        <v/>
      </c>
      <c r="EJ147" s="110" t="str">
        <f t="shared" si="233"/>
        <v/>
      </c>
      <c r="EL147" s="108" t="str">
        <f t="shared" si="289"/>
        <v/>
      </c>
      <c r="EM147" s="109" t="str">
        <f t="shared" si="363"/>
        <v/>
      </c>
      <c r="EN147" s="109" t="str">
        <f t="shared" si="290"/>
        <v/>
      </c>
      <c r="EO147" s="110" t="str">
        <f t="shared" si="234"/>
        <v/>
      </c>
      <c r="EQ147" s="108" t="str">
        <f t="shared" si="364"/>
        <v/>
      </c>
      <c r="ER147" s="109" t="str">
        <f t="shared" si="365"/>
        <v/>
      </c>
      <c r="ES147" s="109" t="str">
        <f t="shared" si="291"/>
        <v/>
      </c>
      <c r="ET147" s="110" t="str">
        <f t="shared" si="235"/>
        <v/>
      </c>
      <c r="EV147" s="108" t="str">
        <f t="shared" si="292"/>
        <v/>
      </c>
      <c r="EW147" s="109" t="str">
        <f t="shared" si="366"/>
        <v/>
      </c>
      <c r="EX147" s="109" t="str">
        <f t="shared" si="293"/>
        <v/>
      </c>
      <c r="EY147" s="110" t="str">
        <f t="shared" si="236"/>
        <v/>
      </c>
      <c r="FA147" s="108" t="str">
        <f t="shared" si="367"/>
        <v/>
      </c>
      <c r="FB147" s="109" t="str">
        <f t="shared" si="368"/>
        <v/>
      </c>
      <c r="FC147" s="109" t="str">
        <f t="shared" si="294"/>
        <v/>
      </c>
      <c r="FD147" s="110" t="str">
        <f t="shared" si="237"/>
        <v/>
      </c>
      <c r="FF147" s="108" t="str">
        <f t="shared" si="295"/>
        <v/>
      </c>
      <c r="FG147" s="109" t="str">
        <f t="shared" si="369"/>
        <v/>
      </c>
      <c r="FH147" s="109" t="str">
        <f t="shared" si="296"/>
        <v/>
      </c>
      <c r="FI147" s="110" t="str">
        <f t="shared" si="238"/>
        <v/>
      </c>
      <c r="FK147" s="108" t="str">
        <f t="shared" si="370"/>
        <v/>
      </c>
      <c r="FL147" s="109" t="str">
        <f t="shared" si="371"/>
        <v/>
      </c>
      <c r="FM147" s="109" t="str">
        <f t="shared" si="297"/>
        <v/>
      </c>
      <c r="FN147" s="110" t="str">
        <f t="shared" si="239"/>
        <v/>
      </c>
      <c r="FP147" s="108" t="str">
        <f t="shared" si="298"/>
        <v/>
      </c>
      <c r="FQ147" s="109" t="str">
        <f t="shared" si="372"/>
        <v/>
      </c>
      <c r="FR147" s="109" t="str">
        <f t="shared" si="299"/>
        <v/>
      </c>
      <c r="FS147" s="110" t="str">
        <f t="shared" si="240"/>
        <v/>
      </c>
      <c r="FU147" s="108" t="str">
        <f t="shared" si="373"/>
        <v/>
      </c>
      <c r="FV147" s="109" t="str">
        <f t="shared" si="374"/>
        <v/>
      </c>
      <c r="FW147" s="109" t="str">
        <f t="shared" si="300"/>
        <v/>
      </c>
      <c r="FX147" s="110" t="str">
        <f t="shared" si="241"/>
        <v/>
      </c>
      <c r="FZ147" s="108" t="str">
        <f t="shared" si="301"/>
        <v/>
      </c>
      <c r="GA147" s="109" t="str">
        <f t="shared" si="375"/>
        <v/>
      </c>
      <c r="GB147" s="109" t="str">
        <f t="shared" si="302"/>
        <v/>
      </c>
      <c r="GC147" s="110" t="str">
        <f t="shared" si="242"/>
        <v/>
      </c>
      <c r="GE147" s="108" t="str">
        <f t="shared" si="376"/>
        <v/>
      </c>
      <c r="GF147" s="109" t="str">
        <f t="shared" si="377"/>
        <v/>
      </c>
      <c r="GG147" s="109" t="str">
        <f t="shared" si="378"/>
        <v/>
      </c>
      <c r="GH147" s="110" t="str">
        <f t="shared" si="243"/>
        <v/>
      </c>
      <c r="GL147" s="108" t="str">
        <f t="shared" si="303"/>
        <v/>
      </c>
      <c r="GM147" s="109" t="str">
        <f t="shared" si="304"/>
        <v/>
      </c>
      <c r="GN147" s="109" t="str">
        <f t="shared" si="305"/>
        <v/>
      </c>
      <c r="GO147" s="110" t="str">
        <f t="shared" si="306"/>
        <v/>
      </c>
      <c r="GP147" s="51"/>
      <c r="GQ147" s="108" t="str">
        <f t="shared" si="307"/>
        <v/>
      </c>
      <c r="GR147" s="109" t="str">
        <f t="shared" si="379"/>
        <v/>
      </c>
      <c r="GS147" s="109" t="str">
        <f t="shared" si="308"/>
        <v/>
      </c>
      <c r="GT147" s="110" t="str">
        <f t="shared" si="309"/>
        <v/>
      </c>
      <c r="GU147" s="51"/>
      <c r="GV147" s="108" t="str">
        <f t="shared" si="380"/>
        <v/>
      </c>
      <c r="GW147" s="109" t="str">
        <f t="shared" si="381"/>
        <v/>
      </c>
      <c r="GX147" s="109" t="str">
        <f t="shared" si="310"/>
        <v/>
      </c>
      <c r="GY147" s="110" t="str">
        <f t="shared" si="382"/>
        <v/>
      </c>
      <c r="GZ147" s="51"/>
      <c r="HA147" s="108" t="str">
        <f t="shared" si="311"/>
        <v/>
      </c>
      <c r="HB147" s="109" t="str">
        <f t="shared" si="383"/>
        <v/>
      </c>
      <c r="HC147" s="109" t="str">
        <f t="shared" si="312"/>
        <v/>
      </c>
      <c r="HD147" s="110" t="str">
        <f t="shared" ref="HD147:HD200" si="417">IF($K147="","",HD146-HB147)</f>
        <v/>
      </c>
      <c r="HE147" s="51"/>
      <c r="HF147" s="108" t="str">
        <f t="shared" si="384"/>
        <v/>
      </c>
      <c r="HG147" s="109" t="str">
        <f t="shared" si="385"/>
        <v/>
      </c>
      <c r="HH147" s="109" t="str">
        <f t="shared" si="313"/>
        <v/>
      </c>
      <c r="HI147" s="110" t="str">
        <f t="shared" si="386"/>
        <v/>
      </c>
      <c r="HJ147" s="51"/>
      <c r="HK147" s="108" t="str">
        <f t="shared" si="314"/>
        <v/>
      </c>
      <c r="HL147" s="109" t="str">
        <f t="shared" si="387"/>
        <v/>
      </c>
      <c r="HM147" s="109" t="str">
        <f t="shared" si="315"/>
        <v/>
      </c>
      <c r="HN147" s="110" t="str">
        <f t="shared" ref="HN147:HN200" si="418">IF($K147="","",HN146-HL147)</f>
        <v/>
      </c>
      <c r="HO147" s="51"/>
      <c r="HP147" s="108" t="str">
        <f t="shared" si="388"/>
        <v/>
      </c>
      <c r="HQ147" s="109" t="str">
        <f t="shared" si="389"/>
        <v/>
      </c>
      <c r="HR147" s="109" t="str">
        <f t="shared" si="316"/>
        <v/>
      </c>
      <c r="HS147" s="110" t="str">
        <f t="shared" si="390"/>
        <v/>
      </c>
      <c r="HT147" s="51"/>
      <c r="HU147" s="108" t="str">
        <f t="shared" si="317"/>
        <v/>
      </c>
      <c r="HV147" s="109" t="str">
        <f t="shared" si="391"/>
        <v/>
      </c>
      <c r="HW147" s="109" t="str">
        <f t="shared" si="318"/>
        <v/>
      </c>
      <c r="HX147" s="110" t="str">
        <f t="shared" ref="HX147:HX200" si="419">IF($K147="","",HX146-HV147)</f>
        <v/>
      </c>
      <c r="HY147" s="51"/>
      <c r="HZ147" s="108" t="str">
        <f t="shared" si="392"/>
        <v/>
      </c>
      <c r="IA147" s="109" t="str">
        <f t="shared" si="393"/>
        <v/>
      </c>
      <c r="IB147" s="109" t="str">
        <f t="shared" si="319"/>
        <v/>
      </c>
      <c r="IC147" s="110" t="str">
        <f t="shared" si="394"/>
        <v/>
      </c>
      <c r="ID147" s="51"/>
      <c r="IE147" s="108" t="str">
        <f t="shared" si="320"/>
        <v/>
      </c>
      <c r="IF147" s="109" t="str">
        <f t="shared" si="395"/>
        <v/>
      </c>
      <c r="IG147" s="109" t="str">
        <f t="shared" si="321"/>
        <v/>
      </c>
      <c r="IH147" s="110" t="str">
        <f t="shared" ref="IH147:IH200" si="420">IF($K147="","",IH146-IF147)</f>
        <v/>
      </c>
      <c r="II147" s="51"/>
      <c r="IJ147" s="108" t="str">
        <f t="shared" si="396"/>
        <v/>
      </c>
      <c r="IK147" s="109" t="str">
        <f t="shared" si="397"/>
        <v/>
      </c>
      <c r="IL147" s="109" t="str">
        <f t="shared" si="322"/>
        <v/>
      </c>
      <c r="IM147" s="110" t="str">
        <f t="shared" si="398"/>
        <v/>
      </c>
      <c r="IN147" s="51"/>
      <c r="IO147" s="108" t="str">
        <f t="shared" si="323"/>
        <v/>
      </c>
      <c r="IP147" s="109" t="str">
        <f t="shared" si="399"/>
        <v/>
      </c>
      <c r="IQ147" s="109" t="str">
        <f t="shared" si="324"/>
        <v/>
      </c>
      <c r="IR147" s="110" t="str">
        <f t="shared" ref="IR147:IR200" si="421">IF($K147="","",IR146-IP147)</f>
        <v/>
      </c>
      <c r="IS147" s="51"/>
      <c r="IT147" s="108" t="str">
        <f t="shared" si="400"/>
        <v/>
      </c>
      <c r="IU147" s="109" t="str">
        <f t="shared" si="401"/>
        <v/>
      </c>
      <c r="IV147" s="109" t="str">
        <f t="shared" si="325"/>
        <v/>
      </c>
      <c r="IW147" s="110" t="str">
        <f t="shared" si="402"/>
        <v/>
      </c>
      <c r="IX147" s="51"/>
      <c r="IY147" s="108" t="str">
        <f t="shared" si="326"/>
        <v/>
      </c>
      <c r="IZ147" s="109" t="str">
        <f t="shared" si="403"/>
        <v/>
      </c>
      <c r="JA147" s="109" t="str">
        <f t="shared" si="327"/>
        <v/>
      </c>
      <c r="JB147" s="110" t="str">
        <f t="shared" ref="JB147:JB200" si="422">IF($K147="","",JB146-IZ147)</f>
        <v/>
      </c>
      <c r="JC147" s="51"/>
      <c r="JD147" s="108" t="str">
        <f t="shared" si="404"/>
        <v/>
      </c>
      <c r="JE147" s="109" t="str">
        <f t="shared" si="405"/>
        <v/>
      </c>
      <c r="JF147" s="109" t="str">
        <f t="shared" si="328"/>
        <v/>
      </c>
      <c r="JG147" s="110" t="str">
        <f t="shared" si="406"/>
        <v/>
      </c>
      <c r="JH147" s="51"/>
      <c r="JI147" s="108" t="str">
        <f t="shared" si="329"/>
        <v/>
      </c>
      <c r="JJ147" s="109" t="str">
        <f t="shared" si="407"/>
        <v/>
      </c>
      <c r="JK147" s="109" t="str">
        <f t="shared" si="330"/>
        <v/>
      </c>
      <c r="JL147" s="110" t="str">
        <f t="shared" ref="JL147:JL200" si="423">IF($K147="","",JL146-JJ147)</f>
        <v/>
      </c>
      <c r="JM147" s="51"/>
      <c r="JN147" s="108" t="str">
        <f t="shared" si="408"/>
        <v/>
      </c>
      <c r="JO147" s="109" t="str">
        <f t="shared" si="409"/>
        <v/>
      </c>
      <c r="JP147" s="109" t="str">
        <f t="shared" si="331"/>
        <v/>
      </c>
      <c r="JQ147" s="110" t="str">
        <f t="shared" si="410"/>
        <v/>
      </c>
      <c r="JR147" s="51"/>
      <c r="JS147" s="108" t="str">
        <f t="shared" si="332"/>
        <v/>
      </c>
      <c r="JT147" s="109" t="str">
        <f t="shared" si="411"/>
        <v/>
      </c>
      <c r="JU147" s="109" t="str">
        <f t="shared" si="333"/>
        <v/>
      </c>
      <c r="JV147" s="110" t="str">
        <f t="shared" ref="JV147:JV200" si="424">IF($K147="","",JV146-JT147)</f>
        <v/>
      </c>
      <c r="JW147" s="51"/>
      <c r="JX147" s="108" t="str">
        <f t="shared" si="412"/>
        <v/>
      </c>
      <c r="JY147" s="109" t="str">
        <f t="shared" si="413"/>
        <v/>
      </c>
      <c r="JZ147" s="109" t="str">
        <f t="shared" si="334"/>
        <v/>
      </c>
      <c r="KA147" s="110" t="str">
        <f t="shared" si="335"/>
        <v/>
      </c>
    </row>
    <row r="148" spans="1:287" ht="12" customHeight="1">
      <c r="A148" s="105">
        <f t="array" ref="A148">MAX(IF($J$80:J147&gt;0,$C$80:C147,0))</f>
        <v>43536</v>
      </c>
      <c r="B148" s="81" t="str">
        <f t="shared" si="248"/>
        <v/>
      </c>
      <c r="C148" s="82">
        <f t="shared" si="414"/>
        <v>0</v>
      </c>
      <c r="D148" s="83" t="str">
        <f t="shared" si="249"/>
        <v/>
      </c>
      <c r="E148" s="83" t="str">
        <f t="shared" si="336"/>
        <v/>
      </c>
      <c r="F148" s="83" t="str">
        <f t="shared" si="250"/>
        <v/>
      </c>
      <c r="G148" s="83" t="str">
        <f t="shared" si="251"/>
        <v/>
      </c>
      <c r="H148" s="83" t="str">
        <f t="shared" si="252"/>
        <v/>
      </c>
      <c r="I148" s="105">
        <f t="array" ref="I148">MAX(IF($R$80:R147&gt;0,$L$80:L147,0))</f>
        <v>0</v>
      </c>
      <c r="J148" s="106"/>
      <c r="K148" s="2" t="str">
        <f t="shared" si="253"/>
        <v/>
      </c>
      <c r="L148" s="82">
        <f t="shared" si="415"/>
        <v>0</v>
      </c>
      <c r="M148" s="83" t="str">
        <f t="shared" si="337"/>
        <v/>
      </c>
      <c r="N148" s="83" t="str">
        <f t="shared" si="254"/>
        <v/>
      </c>
      <c r="O148" s="83" t="str">
        <f t="shared" si="255"/>
        <v/>
      </c>
      <c r="P148" s="83" t="str">
        <f t="shared" si="256"/>
        <v/>
      </c>
      <c r="Q148" s="83" t="str">
        <f t="shared" si="257"/>
        <v/>
      </c>
      <c r="R148" s="106"/>
      <c r="S148" s="1"/>
      <c r="U148" s="85" t="e">
        <f t="shared" si="244"/>
        <v>#NUM!</v>
      </c>
      <c r="V148" s="86" t="e">
        <f t="shared" si="338"/>
        <v>#NUM!</v>
      </c>
      <c r="W148" s="87" t="e">
        <f t="shared" si="258"/>
        <v>#NUM!</v>
      </c>
      <c r="X148" s="87" t="e">
        <f t="shared" si="259"/>
        <v>#NUM!</v>
      </c>
      <c r="Y148" s="87" t="e">
        <f t="shared" si="260"/>
        <v>#NUM!</v>
      </c>
      <c r="Z148" s="88" t="e">
        <f t="shared" si="245"/>
        <v>#NUM!</v>
      </c>
      <c r="AA148" t="s">
        <v>282</v>
      </c>
      <c r="AB148" s="89">
        <f t="shared" si="339"/>
        <v>0</v>
      </c>
      <c r="AC148" s="87">
        <f t="shared" si="340"/>
        <v>0</v>
      </c>
      <c r="AD148" s="87" t="str">
        <f t="shared" si="261"/>
        <v/>
      </c>
      <c r="AE148" s="87" t="str">
        <f t="shared" si="262"/>
        <v/>
      </c>
      <c r="AF148" s="86">
        <f t="shared" si="341"/>
        <v>0</v>
      </c>
      <c r="AG148" s="87">
        <f t="shared" si="246"/>
        <v>0</v>
      </c>
      <c r="AH148" s="87">
        <f t="shared" si="342"/>
        <v>0</v>
      </c>
      <c r="AI148" s="90"/>
      <c r="AJ148" s="87" t="e">
        <f t="shared" si="263"/>
        <v>#NUM!</v>
      </c>
      <c r="AK148" s="87" t="e">
        <f t="shared" si="343"/>
        <v>#NUM!</v>
      </c>
      <c r="AL148" s="87" t="e">
        <f t="shared" si="344"/>
        <v>#NUM!</v>
      </c>
      <c r="AM148" s="87" t="e">
        <f t="shared" si="345"/>
        <v>#NUM!</v>
      </c>
      <c r="AN148" s="86">
        <f t="shared" si="264"/>
        <v>0</v>
      </c>
      <c r="AO148" s="87">
        <f t="shared" si="265"/>
        <v>0</v>
      </c>
      <c r="AP148" s="88">
        <f t="shared" si="266"/>
        <v>0</v>
      </c>
      <c r="AR148" s="89">
        <f t="shared" si="267"/>
        <v>0</v>
      </c>
      <c r="AS148" s="87">
        <f t="shared" si="268"/>
        <v>0</v>
      </c>
      <c r="AT148" s="87" t="str">
        <f t="shared" si="269"/>
        <v/>
      </c>
      <c r="AU148" s="87" t="str">
        <f t="shared" si="270"/>
        <v/>
      </c>
      <c r="AV148" s="86">
        <f t="shared" si="346"/>
        <v>0</v>
      </c>
      <c r="AW148" s="87">
        <f t="shared" si="347"/>
        <v>0</v>
      </c>
      <c r="AX148" s="87">
        <f t="shared" si="348"/>
        <v>0</v>
      </c>
      <c r="AY148" s="93"/>
      <c r="AZ148" s="87">
        <f t="shared" ref="AZ148:AZ200" si="425">IFERROR(IF(OR($F$46="",DATE($F$34,$G$34,$H$34)&lt;=DATE($F$46,$G$46,$H$46)),0,IF(M148&lt;&gt;"",IF($P$32="GEL",M148,M148*$Q$32),0)),0)</f>
        <v>0</v>
      </c>
      <c r="BA148" s="87">
        <f t="shared" si="349"/>
        <v>0</v>
      </c>
      <c r="BB148" s="87">
        <f t="shared" si="350"/>
        <v>0</v>
      </c>
      <c r="BC148" s="87">
        <f t="shared" si="416"/>
        <v>0</v>
      </c>
      <c r="BD148" s="86" t="e">
        <f t="shared" si="271"/>
        <v>#NUM!</v>
      </c>
      <c r="BE148" s="87" t="e">
        <f t="shared" si="247"/>
        <v>#NUM!</v>
      </c>
      <c r="BF148" s="88">
        <f t="shared" si="351"/>
        <v>0</v>
      </c>
      <c r="BH148" s="87" t="e">
        <f t="shared" si="272"/>
        <v>#NUM!</v>
      </c>
      <c r="BK148" s="95">
        <v>41038</v>
      </c>
      <c r="BL148" s="96">
        <v>69</v>
      </c>
      <c r="BT148" s="51"/>
      <c r="BU148" s="51"/>
      <c r="BV148" s="30"/>
      <c r="BW148" s="107"/>
      <c r="CS148" s="108" t="str">
        <f t="shared" si="273"/>
        <v/>
      </c>
      <c r="CT148" s="109" t="str">
        <f t="shared" si="274"/>
        <v/>
      </c>
      <c r="CU148" s="109" t="str">
        <f t="shared" si="275"/>
        <v/>
      </c>
      <c r="CV148" s="110" t="str">
        <f t="shared" si="225"/>
        <v/>
      </c>
      <c r="CX148" s="108" t="str">
        <f t="shared" si="276"/>
        <v/>
      </c>
      <c r="CY148" s="109" t="str">
        <f t="shared" si="352"/>
        <v/>
      </c>
      <c r="CZ148" s="109" t="str">
        <f t="shared" si="277"/>
        <v/>
      </c>
      <c r="DA148" s="110" t="str">
        <f t="shared" si="226"/>
        <v/>
      </c>
      <c r="DC148" s="108" t="str">
        <f t="shared" si="353"/>
        <v/>
      </c>
      <c r="DD148" s="109" t="str">
        <f t="shared" si="354"/>
        <v/>
      </c>
      <c r="DE148" s="109" t="str">
        <f t="shared" si="278"/>
        <v/>
      </c>
      <c r="DF148" s="110" t="str">
        <f t="shared" si="227"/>
        <v/>
      </c>
      <c r="DH148" s="108" t="str">
        <f t="shared" si="279"/>
        <v/>
      </c>
      <c r="DI148" s="109" t="str">
        <f t="shared" si="280"/>
        <v/>
      </c>
      <c r="DJ148" s="109" t="str">
        <f t="shared" si="281"/>
        <v/>
      </c>
      <c r="DK148" s="110" t="str">
        <f t="shared" si="228"/>
        <v/>
      </c>
      <c r="DM148" s="108" t="str">
        <f t="shared" si="355"/>
        <v/>
      </c>
      <c r="DN148" s="109" t="str">
        <f t="shared" si="356"/>
        <v/>
      </c>
      <c r="DO148" s="109" t="str">
        <f t="shared" si="282"/>
        <v/>
      </c>
      <c r="DP148" s="110" t="str">
        <f t="shared" si="229"/>
        <v/>
      </c>
      <c r="DR148" s="108" t="str">
        <f t="shared" si="283"/>
        <v/>
      </c>
      <c r="DS148" s="109" t="str">
        <f t="shared" si="357"/>
        <v/>
      </c>
      <c r="DT148" s="109" t="str">
        <f t="shared" si="284"/>
        <v/>
      </c>
      <c r="DU148" s="110" t="str">
        <f t="shared" si="230"/>
        <v/>
      </c>
      <c r="DW148" s="108" t="str">
        <f t="shared" si="358"/>
        <v/>
      </c>
      <c r="DX148" s="109" t="str">
        <f t="shared" si="359"/>
        <v/>
      </c>
      <c r="DY148" s="109" t="str">
        <f t="shared" si="285"/>
        <v/>
      </c>
      <c r="DZ148" s="110" t="str">
        <f t="shared" si="231"/>
        <v/>
      </c>
      <c r="EB148" s="108" t="str">
        <f t="shared" si="286"/>
        <v/>
      </c>
      <c r="EC148" s="109" t="str">
        <f t="shared" si="360"/>
        <v/>
      </c>
      <c r="ED148" s="109" t="str">
        <f t="shared" si="287"/>
        <v/>
      </c>
      <c r="EE148" s="110" t="str">
        <f t="shared" si="232"/>
        <v/>
      </c>
      <c r="EG148" s="108" t="str">
        <f t="shared" si="361"/>
        <v/>
      </c>
      <c r="EH148" s="109" t="str">
        <f t="shared" si="362"/>
        <v/>
      </c>
      <c r="EI148" s="109" t="str">
        <f t="shared" si="288"/>
        <v/>
      </c>
      <c r="EJ148" s="110" t="str">
        <f t="shared" si="233"/>
        <v/>
      </c>
      <c r="EL148" s="108" t="str">
        <f t="shared" si="289"/>
        <v/>
      </c>
      <c r="EM148" s="109" t="str">
        <f t="shared" si="363"/>
        <v/>
      </c>
      <c r="EN148" s="109" t="str">
        <f t="shared" si="290"/>
        <v/>
      </c>
      <c r="EO148" s="110" t="str">
        <f t="shared" si="234"/>
        <v/>
      </c>
      <c r="EQ148" s="108" t="str">
        <f t="shared" si="364"/>
        <v/>
      </c>
      <c r="ER148" s="109" t="str">
        <f t="shared" si="365"/>
        <v/>
      </c>
      <c r="ES148" s="109" t="str">
        <f t="shared" si="291"/>
        <v/>
      </c>
      <c r="ET148" s="110" t="str">
        <f t="shared" si="235"/>
        <v/>
      </c>
      <c r="EV148" s="108" t="str">
        <f t="shared" si="292"/>
        <v/>
      </c>
      <c r="EW148" s="109" t="str">
        <f t="shared" si="366"/>
        <v/>
      </c>
      <c r="EX148" s="109" t="str">
        <f t="shared" si="293"/>
        <v/>
      </c>
      <c r="EY148" s="110" t="str">
        <f t="shared" si="236"/>
        <v/>
      </c>
      <c r="FA148" s="108" t="str">
        <f t="shared" si="367"/>
        <v/>
      </c>
      <c r="FB148" s="109" t="str">
        <f t="shared" si="368"/>
        <v/>
      </c>
      <c r="FC148" s="109" t="str">
        <f t="shared" si="294"/>
        <v/>
      </c>
      <c r="FD148" s="110" t="str">
        <f t="shared" si="237"/>
        <v/>
      </c>
      <c r="FF148" s="108" t="str">
        <f t="shared" si="295"/>
        <v/>
      </c>
      <c r="FG148" s="109" t="str">
        <f t="shared" si="369"/>
        <v/>
      </c>
      <c r="FH148" s="109" t="str">
        <f t="shared" si="296"/>
        <v/>
      </c>
      <c r="FI148" s="110" t="str">
        <f t="shared" si="238"/>
        <v/>
      </c>
      <c r="FK148" s="108" t="str">
        <f t="shared" si="370"/>
        <v/>
      </c>
      <c r="FL148" s="109" t="str">
        <f t="shared" si="371"/>
        <v/>
      </c>
      <c r="FM148" s="109" t="str">
        <f t="shared" si="297"/>
        <v/>
      </c>
      <c r="FN148" s="110" t="str">
        <f t="shared" si="239"/>
        <v/>
      </c>
      <c r="FP148" s="108" t="str">
        <f t="shared" si="298"/>
        <v/>
      </c>
      <c r="FQ148" s="109" t="str">
        <f t="shared" si="372"/>
        <v/>
      </c>
      <c r="FR148" s="109" t="str">
        <f t="shared" si="299"/>
        <v/>
      </c>
      <c r="FS148" s="110" t="str">
        <f t="shared" si="240"/>
        <v/>
      </c>
      <c r="FU148" s="108" t="str">
        <f t="shared" si="373"/>
        <v/>
      </c>
      <c r="FV148" s="109" t="str">
        <f t="shared" si="374"/>
        <v/>
      </c>
      <c r="FW148" s="109" t="str">
        <f t="shared" si="300"/>
        <v/>
      </c>
      <c r="FX148" s="110" t="str">
        <f t="shared" si="241"/>
        <v/>
      </c>
      <c r="FZ148" s="108" t="str">
        <f t="shared" si="301"/>
        <v/>
      </c>
      <c r="GA148" s="109" t="str">
        <f t="shared" si="375"/>
        <v/>
      </c>
      <c r="GB148" s="109" t="str">
        <f t="shared" si="302"/>
        <v/>
      </c>
      <c r="GC148" s="110" t="str">
        <f t="shared" si="242"/>
        <v/>
      </c>
      <c r="GE148" s="108" t="str">
        <f t="shared" si="376"/>
        <v/>
      </c>
      <c r="GF148" s="109" t="str">
        <f t="shared" si="377"/>
        <v/>
      </c>
      <c r="GG148" s="109" t="str">
        <f t="shared" si="378"/>
        <v/>
      </c>
      <c r="GH148" s="110" t="str">
        <f t="shared" si="243"/>
        <v/>
      </c>
      <c r="GL148" s="108" t="str">
        <f t="shared" si="303"/>
        <v/>
      </c>
      <c r="GM148" s="109" t="str">
        <f t="shared" si="304"/>
        <v/>
      </c>
      <c r="GN148" s="109" t="str">
        <f t="shared" si="305"/>
        <v/>
      </c>
      <c r="GO148" s="110" t="str">
        <f t="shared" si="306"/>
        <v/>
      </c>
      <c r="GP148" s="51"/>
      <c r="GQ148" s="108" t="str">
        <f t="shared" si="307"/>
        <v/>
      </c>
      <c r="GR148" s="109" t="str">
        <f t="shared" si="379"/>
        <v/>
      </c>
      <c r="GS148" s="109" t="str">
        <f t="shared" si="308"/>
        <v/>
      </c>
      <c r="GT148" s="110" t="str">
        <f t="shared" si="309"/>
        <v/>
      </c>
      <c r="GU148" s="51"/>
      <c r="GV148" s="108" t="str">
        <f t="shared" si="380"/>
        <v/>
      </c>
      <c r="GW148" s="109" t="str">
        <f t="shared" si="381"/>
        <v/>
      </c>
      <c r="GX148" s="109" t="str">
        <f t="shared" si="310"/>
        <v/>
      </c>
      <c r="GY148" s="110" t="str">
        <f t="shared" si="382"/>
        <v/>
      </c>
      <c r="GZ148" s="51"/>
      <c r="HA148" s="108" t="str">
        <f t="shared" si="311"/>
        <v/>
      </c>
      <c r="HB148" s="109" t="str">
        <f t="shared" si="383"/>
        <v/>
      </c>
      <c r="HC148" s="109" t="str">
        <f t="shared" si="312"/>
        <v/>
      </c>
      <c r="HD148" s="110" t="str">
        <f t="shared" si="417"/>
        <v/>
      </c>
      <c r="HE148" s="51"/>
      <c r="HF148" s="108" t="str">
        <f t="shared" si="384"/>
        <v/>
      </c>
      <c r="HG148" s="109" t="str">
        <f t="shared" si="385"/>
        <v/>
      </c>
      <c r="HH148" s="109" t="str">
        <f t="shared" si="313"/>
        <v/>
      </c>
      <c r="HI148" s="110" t="str">
        <f t="shared" si="386"/>
        <v/>
      </c>
      <c r="HJ148" s="51"/>
      <c r="HK148" s="108" t="str">
        <f t="shared" si="314"/>
        <v/>
      </c>
      <c r="HL148" s="109" t="str">
        <f t="shared" si="387"/>
        <v/>
      </c>
      <c r="HM148" s="109" t="str">
        <f t="shared" si="315"/>
        <v/>
      </c>
      <c r="HN148" s="110" t="str">
        <f t="shared" si="418"/>
        <v/>
      </c>
      <c r="HO148" s="51"/>
      <c r="HP148" s="108" t="str">
        <f t="shared" si="388"/>
        <v/>
      </c>
      <c r="HQ148" s="109" t="str">
        <f t="shared" si="389"/>
        <v/>
      </c>
      <c r="HR148" s="109" t="str">
        <f t="shared" si="316"/>
        <v/>
      </c>
      <c r="HS148" s="110" t="str">
        <f t="shared" si="390"/>
        <v/>
      </c>
      <c r="HT148" s="51"/>
      <c r="HU148" s="108" t="str">
        <f t="shared" si="317"/>
        <v/>
      </c>
      <c r="HV148" s="109" t="str">
        <f t="shared" si="391"/>
        <v/>
      </c>
      <c r="HW148" s="109" t="str">
        <f t="shared" si="318"/>
        <v/>
      </c>
      <c r="HX148" s="110" t="str">
        <f t="shared" si="419"/>
        <v/>
      </c>
      <c r="HY148" s="51"/>
      <c r="HZ148" s="108" t="str">
        <f t="shared" si="392"/>
        <v/>
      </c>
      <c r="IA148" s="109" t="str">
        <f t="shared" si="393"/>
        <v/>
      </c>
      <c r="IB148" s="109" t="str">
        <f t="shared" si="319"/>
        <v/>
      </c>
      <c r="IC148" s="110" t="str">
        <f t="shared" si="394"/>
        <v/>
      </c>
      <c r="ID148" s="51"/>
      <c r="IE148" s="108" t="str">
        <f t="shared" si="320"/>
        <v/>
      </c>
      <c r="IF148" s="109" t="str">
        <f t="shared" si="395"/>
        <v/>
      </c>
      <c r="IG148" s="109" t="str">
        <f t="shared" si="321"/>
        <v/>
      </c>
      <c r="IH148" s="110" t="str">
        <f t="shared" si="420"/>
        <v/>
      </c>
      <c r="II148" s="51"/>
      <c r="IJ148" s="108" t="str">
        <f t="shared" si="396"/>
        <v/>
      </c>
      <c r="IK148" s="109" t="str">
        <f t="shared" si="397"/>
        <v/>
      </c>
      <c r="IL148" s="109" t="str">
        <f t="shared" si="322"/>
        <v/>
      </c>
      <c r="IM148" s="110" t="str">
        <f t="shared" si="398"/>
        <v/>
      </c>
      <c r="IN148" s="51"/>
      <c r="IO148" s="108" t="str">
        <f t="shared" si="323"/>
        <v/>
      </c>
      <c r="IP148" s="109" t="str">
        <f t="shared" si="399"/>
        <v/>
      </c>
      <c r="IQ148" s="109" t="str">
        <f t="shared" si="324"/>
        <v/>
      </c>
      <c r="IR148" s="110" t="str">
        <f t="shared" si="421"/>
        <v/>
      </c>
      <c r="IS148" s="51"/>
      <c r="IT148" s="108" t="str">
        <f t="shared" si="400"/>
        <v/>
      </c>
      <c r="IU148" s="109" t="str">
        <f t="shared" si="401"/>
        <v/>
      </c>
      <c r="IV148" s="109" t="str">
        <f t="shared" si="325"/>
        <v/>
      </c>
      <c r="IW148" s="110" t="str">
        <f t="shared" si="402"/>
        <v/>
      </c>
      <c r="IX148" s="51"/>
      <c r="IY148" s="108" t="str">
        <f t="shared" si="326"/>
        <v/>
      </c>
      <c r="IZ148" s="109" t="str">
        <f t="shared" si="403"/>
        <v/>
      </c>
      <c r="JA148" s="109" t="str">
        <f t="shared" si="327"/>
        <v/>
      </c>
      <c r="JB148" s="110" t="str">
        <f t="shared" si="422"/>
        <v/>
      </c>
      <c r="JC148" s="51"/>
      <c r="JD148" s="108" t="str">
        <f t="shared" si="404"/>
        <v/>
      </c>
      <c r="JE148" s="109" t="str">
        <f t="shared" si="405"/>
        <v/>
      </c>
      <c r="JF148" s="109" t="str">
        <f t="shared" si="328"/>
        <v/>
      </c>
      <c r="JG148" s="110" t="str">
        <f t="shared" si="406"/>
        <v/>
      </c>
      <c r="JH148" s="51"/>
      <c r="JI148" s="108" t="str">
        <f t="shared" si="329"/>
        <v/>
      </c>
      <c r="JJ148" s="109" t="str">
        <f t="shared" si="407"/>
        <v/>
      </c>
      <c r="JK148" s="109" t="str">
        <f t="shared" si="330"/>
        <v/>
      </c>
      <c r="JL148" s="110" t="str">
        <f t="shared" si="423"/>
        <v/>
      </c>
      <c r="JM148" s="51"/>
      <c r="JN148" s="108" t="str">
        <f t="shared" si="408"/>
        <v/>
      </c>
      <c r="JO148" s="109" t="str">
        <f t="shared" si="409"/>
        <v/>
      </c>
      <c r="JP148" s="109" t="str">
        <f t="shared" si="331"/>
        <v/>
      </c>
      <c r="JQ148" s="110" t="str">
        <f t="shared" si="410"/>
        <v/>
      </c>
      <c r="JR148" s="51"/>
      <c r="JS148" s="108" t="str">
        <f t="shared" si="332"/>
        <v/>
      </c>
      <c r="JT148" s="109" t="str">
        <f t="shared" si="411"/>
        <v/>
      </c>
      <c r="JU148" s="109" t="str">
        <f t="shared" si="333"/>
        <v/>
      </c>
      <c r="JV148" s="110" t="str">
        <f t="shared" si="424"/>
        <v/>
      </c>
      <c r="JW148" s="51"/>
      <c r="JX148" s="108" t="str">
        <f t="shared" si="412"/>
        <v/>
      </c>
      <c r="JY148" s="109" t="str">
        <f t="shared" si="413"/>
        <v/>
      </c>
      <c r="JZ148" s="109" t="str">
        <f t="shared" si="334"/>
        <v/>
      </c>
      <c r="KA148" s="110" t="str">
        <f t="shared" si="335"/>
        <v/>
      </c>
    </row>
    <row r="149" spans="1:287" ht="12" customHeight="1">
      <c r="A149" s="105">
        <f t="array" ref="A149">MAX(IF($J$80:J148&gt;0,$C$80:C148,0))</f>
        <v>43536</v>
      </c>
      <c r="B149" s="81" t="str">
        <f t="shared" si="248"/>
        <v/>
      </c>
      <c r="C149" s="82">
        <f t="shared" si="414"/>
        <v>0</v>
      </c>
      <c r="D149" s="83" t="str">
        <f t="shared" si="249"/>
        <v/>
      </c>
      <c r="E149" s="83" t="str">
        <f t="shared" si="336"/>
        <v/>
      </c>
      <c r="F149" s="83" t="str">
        <f t="shared" si="250"/>
        <v/>
      </c>
      <c r="G149" s="83" t="str">
        <f t="shared" si="251"/>
        <v/>
      </c>
      <c r="H149" s="83" t="str">
        <f t="shared" si="252"/>
        <v/>
      </c>
      <c r="I149" s="105">
        <f t="array" ref="I149">MAX(IF($R$80:R148&gt;0,$L$80:L148,0))</f>
        <v>0</v>
      </c>
      <c r="J149" s="106"/>
      <c r="K149" s="2" t="str">
        <f t="shared" si="253"/>
        <v/>
      </c>
      <c r="L149" s="82">
        <f t="shared" si="415"/>
        <v>0</v>
      </c>
      <c r="M149" s="83" t="str">
        <f t="shared" si="337"/>
        <v/>
      </c>
      <c r="N149" s="83" t="str">
        <f t="shared" si="254"/>
        <v/>
      </c>
      <c r="O149" s="83" t="str">
        <f t="shared" si="255"/>
        <v/>
      </c>
      <c r="P149" s="83" t="str">
        <f t="shared" si="256"/>
        <v/>
      </c>
      <c r="Q149" s="83" t="str">
        <f t="shared" si="257"/>
        <v/>
      </c>
      <c r="R149" s="106"/>
      <c r="S149" s="1"/>
      <c r="U149" s="85" t="e">
        <f t="shared" si="244"/>
        <v>#NUM!</v>
      </c>
      <c r="V149" s="86" t="e">
        <f t="shared" si="338"/>
        <v>#NUM!</v>
      </c>
      <c r="W149" s="87" t="e">
        <f t="shared" si="258"/>
        <v>#NUM!</v>
      </c>
      <c r="X149" s="87" t="e">
        <f t="shared" si="259"/>
        <v>#NUM!</v>
      </c>
      <c r="Y149" s="87" t="e">
        <f t="shared" si="260"/>
        <v>#NUM!</v>
      </c>
      <c r="Z149" s="88" t="e">
        <f t="shared" si="245"/>
        <v>#NUM!</v>
      </c>
      <c r="AA149" t="s">
        <v>282</v>
      </c>
      <c r="AB149" s="89">
        <f t="shared" si="339"/>
        <v>0</v>
      </c>
      <c r="AC149" s="87">
        <f t="shared" si="340"/>
        <v>0</v>
      </c>
      <c r="AD149" s="87" t="str">
        <f t="shared" si="261"/>
        <v/>
      </c>
      <c r="AE149" s="87" t="str">
        <f t="shared" si="262"/>
        <v/>
      </c>
      <c r="AF149" s="86">
        <f t="shared" si="341"/>
        <v>0</v>
      </c>
      <c r="AG149" s="87">
        <f t="shared" si="246"/>
        <v>0</v>
      </c>
      <c r="AH149" s="87">
        <f t="shared" si="342"/>
        <v>0</v>
      </c>
      <c r="AI149" s="90"/>
      <c r="AJ149" s="87" t="e">
        <f t="shared" si="263"/>
        <v>#NUM!</v>
      </c>
      <c r="AK149" s="87" t="e">
        <f t="shared" si="343"/>
        <v>#NUM!</v>
      </c>
      <c r="AL149" s="87" t="e">
        <f t="shared" si="344"/>
        <v>#NUM!</v>
      </c>
      <c r="AM149" s="87" t="e">
        <f t="shared" si="345"/>
        <v>#NUM!</v>
      </c>
      <c r="AN149" s="86">
        <f t="shared" si="264"/>
        <v>0</v>
      </c>
      <c r="AO149" s="87">
        <f t="shared" si="265"/>
        <v>0</v>
      </c>
      <c r="AP149" s="88">
        <f t="shared" si="266"/>
        <v>0</v>
      </c>
      <c r="AR149" s="89">
        <f t="shared" si="267"/>
        <v>0</v>
      </c>
      <c r="AS149" s="87">
        <f t="shared" si="268"/>
        <v>0</v>
      </c>
      <c r="AT149" s="87" t="str">
        <f t="shared" si="269"/>
        <v/>
      </c>
      <c r="AU149" s="87" t="str">
        <f t="shared" si="270"/>
        <v/>
      </c>
      <c r="AV149" s="86">
        <f t="shared" si="346"/>
        <v>0</v>
      </c>
      <c r="AW149" s="87">
        <f t="shared" si="347"/>
        <v>0</v>
      </c>
      <c r="AX149" s="87">
        <f t="shared" si="348"/>
        <v>0</v>
      </c>
      <c r="AY149" s="93"/>
      <c r="AZ149" s="87">
        <f t="shared" si="425"/>
        <v>0</v>
      </c>
      <c r="BA149" s="87">
        <f t="shared" si="349"/>
        <v>0</v>
      </c>
      <c r="BB149" s="87">
        <f t="shared" si="350"/>
        <v>0</v>
      </c>
      <c r="BC149" s="87">
        <f t="shared" si="416"/>
        <v>0</v>
      </c>
      <c r="BD149" s="86" t="e">
        <f t="shared" si="271"/>
        <v>#NUM!</v>
      </c>
      <c r="BE149" s="87" t="e">
        <f t="shared" si="247"/>
        <v>#NUM!</v>
      </c>
      <c r="BF149" s="88">
        <f t="shared" si="351"/>
        <v>0</v>
      </c>
      <c r="BH149" s="87" t="e">
        <f t="shared" si="272"/>
        <v>#NUM!</v>
      </c>
      <c r="BK149" s="95">
        <v>41041</v>
      </c>
      <c r="BL149" s="96">
        <v>70</v>
      </c>
      <c r="BT149" s="51"/>
      <c r="BU149" s="51"/>
      <c r="BV149" s="30"/>
      <c r="BW149" s="107"/>
      <c r="CS149" s="108" t="str">
        <f t="shared" si="273"/>
        <v/>
      </c>
      <c r="CT149" s="109" t="str">
        <f t="shared" si="274"/>
        <v/>
      </c>
      <c r="CU149" s="109" t="str">
        <f t="shared" si="275"/>
        <v/>
      </c>
      <c r="CV149" s="110" t="str">
        <f t="shared" si="225"/>
        <v/>
      </c>
      <c r="CX149" s="108" t="str">
        <f t="shared" si="276"/>
        <v/>
      </c>
      <c r="CY149" s="109" t="str">
        <f t="shared" si="352"/>
        <v/>
      </c>
      <c r="CZ149" s="109" t="str">
        <f t="shared" si="277"/>
        <v/>
      </c>
      <c r="DA149" s="110" t="str">
        <f t="shared" si="226"/>
        <v/>
      </c>
      <c r="DC149" s="108" t="str">
        <f t="shared" si="353"/>
        <v/>
      </c>
      <c r="DD149" s="109" t="str">
        <f t="shared" si="354"/>
        <v/>
      </c>
      <c r="DE149" s="109" t="str">
        <f t="shared" si="278"/>
        <v/>
      </c>
      <c r="DF149" s="110" t="str">
        <f t="shared" si="227"/>
        <v/>
      </c>
      <c r="DH149" s="108" t="str">
        <f t="shared" si="279"/>
        <v/>
      </c>
      <c r="DI149" s="109" t="str">
        <f t="shared" si="280"/>
        <v/>
      </c>
      <c r="DJ149" s="109" t="str">
        <f t="shared" si="281"/>
        <v/>
      </c>
      <c r="DK149" s="110" t="str">
        <f t="shared" si="228"/>
        <v/>
      </c>
      <c r="DM149" s="108" t="str">
        <f t="shared" si="355"/>
        <v/>
      </c>
      <c r="DN149" s="109" t="str">
        <f t="shared" si="356"/>
        <v/>
      </c>
      <c r="DO149" s="109" t="str">
        <f t="shared" si="282"/>
        <v/>
      </c>
      <c r="DP149" s="110" t="str">
        <f t="shared" si="229"/>
        <v/>
      </c>
      <c r="DR149" s="108" t="str">
        <f t="shared" si="283"/>
        <v/>
      </c>
      <c r="DS149" s="109" t="str">
        <f t="shared" si="357"/>
        <v/>
      </c>
      <c r="DT149" s="109" t="str">
        <f t="shared" si="284"/>
        <v/>
      </c>
      <c r="DU149" s="110" t="str">
        <f t="shared" si="230"/>
        <v/>
      </c>
      <c r="DW149" s="108" t="str">
        <f t="shared" si="358"/>
        <v/>
      </c>
      <c r="DX149" s="109" t="str">
        <f t="shared" si="359"/>
        <v/>
      </c>
      <c r="DY149" s="109" t="str">
        <f t="shared" si="285"/>
        <v/>
      </c>
      <c r="DZ149" s="110" t="str">
        <f t="shared" si="231"/>
        <v/>
      </c>
      <c r="EB149" s="108" t="str">
        <f t="shared" si="286"/>
        <v/>
      </c>
      <c r="EC149" s="109" t="str">
        <f t="shared" si="360"/>
        <v/>
      </c>
      <c r="ED149" s="109" t="str">
        <f t="shared" si="287"/>
        <v/>
      </c>
      <c r="EE149" s="110" t="str">
        <f t="shared" si="232"/>
        <v/>
      </c>
      <c r="EG149" s="108" t="str">
        <f t="shared" si="361"/>
        <v/>
      </c>
      <c r="EH149" s="109" t="str">
        <f t="shared" si="362"/>
        <v/>
      </c>
      <c r="EI149" s="109" t="str">
        <f t="shared" si="288"/>
        <v/>
      </c>
      <c r="EJ149" s="110" t="str">
        <f t="shared" si="233"/>
        <v/>
      </c>
      <c r="EL149" s="108" t="str">
        <f t="shared" si="289"/>
        <v/>
      </c>
      <c r="EM149" s="109" t="str">
        <f t="shared" si="363"/>
        <v/>
      </c>
      <c r="EN149" s="109" t="str">
        <f t="shared" si="290"/>
        <v/>
      </c>
      <c r="EO149" s="110" t="str">
        <f t="shared" si="234"/>
        <v/>
      </c>
      <c r="EQ149" s="108" t="str">
        <f t="shared" si="364"/>
        <v/>
      </c>
      <c r="ER149" s="109" t="str">
        <f t="shared" si="365"/>
        <v/>
      </c>
      <c r="ES149" s="109" t="str">
        <f t="shared" si="291"/>
        <v/>
      </c>
      <c r="ET149" s="110" t="str">
        <f t="shared" si="235"/>
        <v/>
      </c>
      <c r="EV149" s="108" t="str">
        <f t="shared" si="292"/>
        <v/>
      </c>
      <c r="EW149" s="109" t="str">
        <f t="shared" si="366"/>
        <v/>
      </c>
      <c r="EX149" s="109" t="str">
        <f t="shared" si="293"/>
        <v/>
      </c>
      <c r="EY149" s="110" t="str">
        <f t="shared" si="236"/>
        <v/>
      </c>
      <c r="FA149" s="108" t="str">
        <f t="shared" si="367"/>
        <v/>
      </c>
      <c r="FB149" s="109" t="str">
        <f t="shared" si="368"/>
        <v/>
      </c>
      <c r="FC149" s="109" t="str">
        <f t="shared" si="294"/>
        <v/>
      </c>
      <c r="FD149" s="110" t="str">
        <f t="shared" si="237"/>
        <v/>
      </c>
      <c r="FF149" s="108" t="str">
        <f t="shared" si="295"/>
        <v/>
      </c>
      <c r="FG149" s="109" t="str">
        <f t="shared" si="369"/>
        <v/>
      </c>
      <c r="FH149" s="109" t="str">
        <f t="shared" si="296"/>
        <v/>
      </c>
      <c r="FI149" s="110" t="str">
        <f t="shared" si="238"/>
        <v/>
      </c>
      <c r="FK149" s="108" t="str">
        <f t="shared" si="370"/>
        <v/>
      </c>
      <c r="FL149" s="109" t="str">
        <f t="shared" si="371"/>
        <v/>
      </c>
      <c r="FM149" s="109" t="str">
        <f t="shared" si="297"/>
        <v/>
      </c>
      <c r="FN149" s="110" t="str">
        <f t="shared" si="239"/>
        <v/>
      </c>
      <c r="FP149" s="108" t="str">
        <f t="shared" si="298"/>
        <v/>
      </c>
      <c r="FQ149" s="109" t="str">
        <f t="shared" si="372"/>
        <v/>
      </c>
      <c r="FR149" s="109" t="str">
        <f t="shared" si="299"/>
        <v/>
      </c>
      <c r="FS149" s="110" t="str">
        <f t="shared" si="240"/>
        <v/>
      </c>
      <c r="FU149" s="108" t="str">
        <f t="shared" si="373"/>
        <v/>
      </c>
      <c r="FV149" s="109" t="str">
        <f t="shared" si="374"/>
        <v/>
      </c>
      <c r="FW149" s="109" t="str">
        <f t="shared" si="300"/>
        <v/>
      </c>
      <c r="FX149" s="110" t="str">
        <f t="shared" si="241"/>
        <v/>
      </c>
      <c r="FZ149" s="108" t="str">
        <f t="shared" si="301"/>
        <v/>
      </c>
      <c r="GA149" s="109" t="str">
        <f t="shared" si="375"/>
        <v/>
      </c>
      <c r="GB149" s="109" t="str">
        <f t="shared" si="302"/>
        <v/>
      </c>
      <c r="GC149" s="110" t="str">
        <f t="shared" si="242"/>
        <v/>
      </c>
      <c r="GE149" s="108" t="str">
        <f t="shared" si="376"/>
        <v/>
      </c>
      <c r="GF149" s="109" t="str">
        <f t="shared" si="377"/>
        <v/>
      </c>
      <c r="GG149" s="109" t="str">
        <f t="shared" si="378"/>
        <v/>
      </c>
      <c r="GH149" s="110" t="str">
        <f t="shared" si="243"/>
        <v/>
      </c>
      <c r="GL149" s="108" t="str">
        <f t="shared" si="303"/>
        <v/>
      </c>
      <c r="GM149" s="109" t="str">
        <f t="shared" si="304"/>
        <v/>
      </c>
      <c r="GN149" s="109" t="str">
        <f t="shared" si="305"/>
        <v/>
      </c>
      <c r="GO149" s="110" t="str">
        <f t="shared" si="306"/>
        <v/>
      </c>
      <c r="GP149" s="51"/>
      <c r="GQ149" s="108" t="str">
        <f t="shared" si="307"/>
        <v/>
      </c>
      <c r="GR149" s="109" t="str">
        <f t="shared" si="379"/>
        <v/>
      </c>
      <c r="GS149" s="109" t="str">
        <f t="shared" si="308"/>
        <v/>
      </c>
      <c r="GT149" s="110" t="str">
        <f t="shared" si="309"/>
        <v/>
      </c>
      <c r="GU149" s="51"/>
      <c r="GV149" s="108" t="str">
        <f t="shared" si="380"/>
        <v/>
      </c>
      <c r="GW149" s="109" t="str">
        <f t="shared" si="381"/>
        <v/>
      </c>
      <c r="GX149" s="109" t="str">
        <f t="shared" si="310"/>
        <v/>
      </c>
      <c r="GY149" s="110" t="str">
        <f t="shared" si="382"/>
        <v/>
      </c>
      <c r="GZ149" s="51"/>
      <c r="HA149" s="108" t="str">
        <f t="shared" si="311"/>
        <v/>
      </c>
      <c r="HB149" s="109" t="str">
        <f t="shared" si="383"/>
        <v/>
      </c>
      <c r="HC149" s="109" t="str">
        <f t="shared" si="312"/>
        <v/>
      </c>
      <c r="HD149" s="110" t="str">
        <f t="shared" si="417"/>
        <v/>
      </c>
      <c r="HE149" s="51"/>
      <c r="HF149" s="108" t="str">
        <f t="shared" si="384"/>
        <v/>
      </c>
      <c r="HG149" s="109" t="str">
        <f t="shared" si="385"/>
        <v/>
      </c>
      <c r="HH149" s="109" t="str">
        <f t="shared" si="313"/>
        <v/>
      </c>
      <c r="HI149" s="110" t="str">
        <f t="shared" si="386"/>
        <v/>
      </c>
      <c r="HJ149" s="51"/>
      <c r="HK149" s="108" t="str">
        <f t="shared" si="314"/>
        <v/>
      </c>
      <c r="HL149" s="109" t="str">
        <f t="shared" si="387"/>
        <v/>
      </c>
      <c r="HM149" s="109" t="str">
        <f t="shared" si="315"/>
        <v/>
      </c>
      <c r="HN149" s="110" t="str">
        <f t="shared" si="418"/>
        <v/>
      </c>
      <c r="HO149" s="51"/>
      <c r="HP149" s="108" t="str">
        <f t="shared" si="388"/>
        <v/>
      </c>
      <c r="HQ149" s="109" t="str">
        <f t="shared" si="389"/>
        <v/>
      </c>
      <c r="HR149" s="109" t="str">
        <f t="shared" si="316"/>
        <v/>
      </c>
      <c r="HS149" s="110" t="str">
        <f t="shared" si="390"/>
        <v/>
      </c>
      <c r="HT149" s="51"/>
      <c r="HU149" s="108" t="str">
        <f t="shared" si="317"/>
        <v/>
      </c>
      <c r="HV149" s="109" t="str">
        <f t="shared" si="391"/>
        <v/>
      </c>
      <c r="HW149" s="109" t="str">
        <f t="shared" si="318"/>
        <v/>
      </c>
      <c r="HX149" s="110" t="str">
        <f t="shared" si="419"/>
        <v/>
      </c>
      <c r="HY149" s="51"/>
      <c r="HZ149" s="108" t="str">
        <f t="shared" si="392"/>
        <v/>
      </c>
      <c r="IA149" s="109" t="str">
        <f t="shared" si="393"/>
        <v/>
      </c>
      <c r="IB149" s="109" t="str">
        <f t="shared" si="319"/>
        <v/>
      </c>
      <c r="IC149" s="110" t="str">
        <f t="shared" si="394"/>
        <v/>
      </c>
      <c r="ID149" s="51"/>
      <c r="IE149" s="108" t="str">
        <f t="shared" si="320"/>
        <v/>
      </c>
      <c r="IF149" s="109" t="str">
        <f t="shared" si="395"/>
        <v/>
      </c>
      <c r="IG149" s="109" t="str">
        <f t="shared" si="321"/>
        <v/>
      </c>
      <c r="IH149" s="110" t="str">
        <f t="shared" si="420"/>
        <v/>
      </c>
      <c r="II149" s="51"/>
      <c r="IJ149" s="108" t="str">
        <f t="shared" si="396"/>
        <v/>
      </c>
      <c r="IK149" s="109" t="str">
        <f t="shared" si="397"/>
        <v/>
      </c>
      <c r="IL149" s="109" t="str">
        <f t="shared" si="322"/>
        <v/>
      </c>
      <c r="IM149" s="110" t="str">
        <f t="shared" si="398"/>
        <v/>
      </c>
      <c r="IN149" s="51"/>
      <c r="IO149" s="108" t="str">
        <f t="shared" si="323"/>
        <v/>
      </c>
      <c r="IP149" s="109" t="str">
        <f t="shared" si="399"/>
        <v/>
      </c>
      <c r="IQ149" s="109" t="str">
        <f t="shared" si="324"/>
        <v/>
      </c>
      <c r="IR149" s="110" t="str">
        <f t="shared" si="421"/>
        <v/>
      </c>
      <c r="IS149" s="51"/>
      <c r="IT149" s="108" t="str">
        <f t="shared" si="400"/>
        <v/>
      </c>
      <c r="IU149" s="109" t="str">
        <f t="shared" si="401"/>
        <v/>
      </c>
      <c r="IV149" s="109" t="str">
        <f t="shared" si="325"/>
        <v/>
      </c>
      <c r="IW149" s="110" t="str">
        <f t="shared" si="402"/>
        <v/>
      </c>
      <c r="IX149" s="51"/>
      <c r="IY149" s="108" t="str">
        <f t="shared" si="326"/>
        <v/>
      </c>
      <c r="IZ149" s="109" t="str">
        <f t="shared" si="403"/>
        <v/>
      </c>
      <c r="JA149" s="109" t="str">
        <f t="shared" si="327"/>
        <v/>
      </c>
      <c r="JB149" s="110" t="str">
        <f t="shared" si="422"/>
        <v/>
      </c>
      <c r="JC149" s="51"/>
      <c r="JD149" s="108" t="str">
        <f t="shared" si="404"/>
        <v/>
      </c>
      <c r="JE149" s="109" t="str">
        <f t="shared" si="405"/>
        <v/>
      </c>
      <c r="JF149" s="109" t="str">
        <f t="shared" si="328"/>
        <v/>
      </c>
      <c r="JG149" s="110" t="str">
        <f t="shared" si="406"/>
        <v/>
      </c>
      <c r="JH149" s="51"/>
      <c r="JI149" s="108" t="str">
        <f t="shared" si="329"/>
        <v/>
      </c>
      <c r="JJ149" s="109" t="str">
        <f t="shared" si="407"/>
        <v/>
      </c>
      <c r="JK149" s="109" t="str">
        <f t="shared" si="330"/>
        <v/>
      </c>
      <c r="JL149" s="110" t="str">
        <f t="shared" si="423"/>
        <v/>
      </c>
      <c r="JM149" s="51"/>
      <c r="JN149" s="108" t="str">
        <f t="shared" si="408"/>
        <v/>
      </c>
      <c r="JO149" s="109" t="str">
        <f t="shared" si="409"/>
        <v/>
      </c>
      <c r="JP149" s="109" t="str">
        <f t="shared" si="331"/>
        <v/>
      </c>
      <c r="JQ149" s="110" t="str">
        <f t="shared" si="410"/>
        <v/>
      </c>
      <c r="JR149" s="51"/>
      <c r="JS149" s="108" t="str">
        <f t="shared" si="332"/>
        <v/>
      </c>
      <c r="JT149" s="109" t="str">
        <f t="shared" si="411"/>
        <v/>
      </c>
      <c r="JU149" s="109" t="str">
        <f t="shared" si="333"/>
        <v/>
      </c>
      <c r="JV149" s="110" t="str">
        <f t="shared" si="424"/>
        <v/>
      </c>
      <c r="JW149" s="51"/>
      <c r="JX149" s="108" t="str">
        <f t="shared" si="412"/>
        <v/>
      </c>
      <c r="JY149" s="109" t="str">
        <f t="shared" si="413"/>
        <v/>
      </c>
      <c r="JZ149" s="109" t="str">
        <f t="shared" si="334"/>
        <v/>
      </c>
      <c r="KA149" s="110" t="str">
        <f t="shared" si="335"/>
        <v/>
      </c>
    </row>
    <row r="150" spans="1:287" ht="12" customHeight="1">
      <c r="A150" s="105">
        <f t="array" ref="A150">MAX(IF($J$80:J149&gt;0,$C$80:C149,0))</f>
        <v>43536</v>
      </c>
      <c r="B150" s="81" t="str">
        <f t="shared" si="248"/>
        <v/>
      </c>
      <c r="C150" s="82">
        <f t="shared" si="414"/>
        <v>0</v>
      </c>
      <c r="D150" s="83" t="str">
        <f t="shared" si="249"/>
        <v/>
      </c>
      <c r="E150" s="83" t="str">
        <f t="shared" si="336"/>
        <v/>
      </c>
      <c r="F150" s="83" t="str">
        <f t="shared" si="250"/>
        <v/>
      </c>
      <c r="G150" s="83" t="str">
        <f t="shared" si="251"/>
        <v/>
      </c>
      <c r="H150" s="83" t="str">
        <f t="shared" si="252"/>
        <v/>
      </c>
      <c r="I150" s="105">
        <f t="array" ref="I150">MAX(IF($R$80:R149&gt;0,$L$80:L149,0))</f>
        <v>0</v>
      </c>
      <c r="J150" s="106"/>
      <c r="K150" s="2" t="str">
        <f t="shared" si="253"/>
        <v/>
      </c>
      <c r="L150" s="82">
        <f t="shared" si="415"/>
        <v>0</v>
      </c>
      <c r="M150" s="83" t="str">
        <f t="shared" si="337"/>
        <v/>
      </c>
      <c r="N150" s="83" t="str">
        <f t="shared" si="254"/>
        <v/>
      </c>
      <c r="O150" s="83" t="str">
        <f t="shared" si="255"/>
        <v/>
      </c>
      <c r="P150" s="83" t="str">
        <f t="shared" si="256"/>
        <v/>
      </c>
      <c r="Q150" s="83" t="str">
        <f t="shared" si="257"/>
        <v/>
      </c>
      <c r="R150" s="106"/>
      <c r="S150" s="1"/>
      <c r="U150" s="85" t="e">
        <f t="shared" si="244"/>
        <v>#NUM!</v>
      </c>
      <c r="V150" s="86" t="e">
        <f t="shared" si="338"/>
        <v>#NUM!</v>
      </c>
      <c r="W150" s="87" t="e">
        <f t="shared" si="258"/>
        <v>#NUM!</v>
      </c>
      <c r="X150" s="87" t="e">
        <f t="shared" si="259"/>
        <v>#NUM!</v>
      </c>
      <c r="Y150" s="87" t="e">
        <f t="shared" si="260"/>
        <v>#NUM!</v>
      </c>
      <c r="Z150" s="88" t="e">
        <f t="shared" si="245"/>
        <v>#NUM!</v>
      </c>
      <c r="AA150" t="s">
        <v>282</v>
      </c>
      <c r="AB150" s="89">
        <f t="shared" si="339"/>
        <v>0</v>
      </c>
      <c r="AC150" s="87">
        <f t="shared" si="340"/>
        <v>0</v>
      </c>
      <c r="AD150" s="87" t="str">
        <f t="shared" si="261"/>
        <v/>
      </c>
      <c r="AE150" s="87" t="str">
        <f t="shared" si="262"/>
        <v/>
      </c>
      <c r="AF150" s="86">
        <f t="shared" si="341"/>
        <v>0</v>
      </c>
      <c r="AG150" s="87">
        <f t="shared" si="246"/>
        <v>0</v>
      </c>
      <c r="AH150" s="87">
        <f t="shared" si="342"/>
        <v>0</v>
      </c>
      <c r="AI150" s="90"/>
      <c r="AJ150" s="87" t="e">
        <f t="shared" si="263"/>
        <v>#NUM!</v>
      </c>
      <c r="AK150" s="87" t="e">
        <f t="shared" si="343"/>
        <v>#NUM!</v>
      </c>
      <c r="AL150" s="87" t="e">
        <f t="shared" si="344"/>
        <v>#NUM!</v>
      </c>
      <c r="AM150" s="87" t="e">
        <f t="shared" si="345"/>
        <v>#NUM!</v>
      </c>
      <c r="AN150" s="86">
        <f t="shared" si="264"/>
        <v>0</v>
      </c>
      <c r="AO150" s="87">
        <f t="shared" si="265"/>
        <v>0</v>
      </c>
      <c r="AP150" s="88">
        <f t="shared" si="266"/>
        <v>0</v>
      </c>
      <c r="AR150" s="89">
        <f t="shared" si="267"/>
        <v>0</v>
      </c>
      <c r="AS150" s="87">
        <f t="shared" si="268"/>
        <v>0</v>
      </c>
      <c r="AT150" s="87" t="str">
        <f t="shared" si="269"/>
        <v/>
      </c>
      <c r="AU150" s="87" t="str">
        <f t="shared" si="270"/>
        <v/>
      </c>
      <c r="AV150" s="86">
        <f t="shared" si="346"/>
        <v>0</v>
      </c>
      <c r="AW150" s="87">
        <f t="shared" si="347"/>
        <v>0</v>
      </c>
      <c r="AX150" s="87">
        <f t="shared" si="348"/>
        <v>0</v>
      </c>
      <c r="AY150" s="93"/>
      <c r="AZ150" s="87">
        <f t="shared" si="425"/>
        <v>0</v>
      </c>
      <c r="BA150" s="87">
        <f t="shared" si="349"/>
        <v>0</v>
      </c>
      <c r="BB150" s="87">
        <f t="shared" si="350"/>
        <v>0</v>
      </c>
      <c r="BC150" s="87">
        <f t="shared" si="416"/>
        <v>0</v>
      </c>
      <c r="BD150" s="86" t="e">
        <f t="shared" si="271"/>
        <v>#NUM!</v>
      </c>
      <c r="BE150" s="87" t="e">
        <f t="shared" si="247"/>
        <v>#NUM!</v>
      </c>
      <c r="BF150" s="88">
        <f t="shared" si="351"/>
        <v>0</v>
      </c>
      <c r="BH150" s="87" t="e">
        <f t="shared" si="272"/>
        <v>#NUM!</v>
      </c>
      <c r="BK150" s="95">
        <v>41055</v>
      </c>
      <c r="BL150" s="96">
        <v>71</v>
      </c>
      <c r="BT150" s="51"/>
      <c r="BU150" s="51"/>
      <c r="BV150" s="30"/>
      <c r="BW150" s="107"/>
      <c r="CS150" s="108" t="str">
        <f t="shared" si="273"/>
        <v/>
      </c>
      <c r="CT150" s="109" t="str">
        <f t="shared" si="274"/>
        <v/>
      </c>
      <c r="CU150" s="109" t="str">
        <f t="shared" si="275"/>
        <v/>
      </c>
      <c r="CV150" s="110" t="str">
        <f t="shared" si="225"/>
        <v/>
      </c>
      <c r="CX150" s="108" t="str">
        <f t="shared" si="276"/>
        <v/>
      </c>
      <c r="CY150" s="109" t="str">
        <f t="shared" si="352"/>
        <v/>
      </c>
      <c r="CZ150" s="109" t="str">
        <f t="shared" si="277"/>
        <v/>
      </c>
      <c r="DA150" s="110" t="str">
        <f t="shared" si="226"/>
        <v/>
      </c>
      <c r="DC150" s="108" t="str">
        <f t="shared" si="353"/>
        <v/>
      </c>
      <c r="DD150" s="109" t="str">
        <f t="shared" si="354"/>
        <v/>
      </c>
      <c r="DE150" s="109" t="str">
        <f t="shared" si="278"/>
        <v/>
      </c>
      <c r="DF150" s="110" t="str">
        <f t="shared" si="227"/>
        <v/>
      </c>
      <c r="DH150" s="108" t="str">
        <f t="shared" si="279"/>
        <v/>
      </c>
      <c r="DI150" s="109" t="str">
        <f t="shared" si="280"/>
        <v/>
      </c>
      <c r="DJ150" s="109" t="str">
        <f t="shared" si="281"/>
        <v/>
      </c>
      <c r="DK150" s="110" t="str">
        <f t="shared" si="228"/>
        <v/>
      </c>
      <c r="DM150" s="108" t="str">
        <f t="shared" si="355"/>
        <v/>
      </c>
      <c r="DN150" s="109" t="str">
        <f t="shared" si="356"/>
        <v/>
      </c>
      <c r="DO150" s="109" t="str">
        <f t="shared" si="282"/>
        <v/>
      </c>
      <c r="DP150" s="110" t="str">
        <f t="shared" si="229"/>
        <v/>
      </c>
      <c r="DR150" s="108" t="str">
        <f t="shared" si="283"/>
        <v/>
      </c>
      <c r="DS150" s="109" t="str">
        <f t="shared" si="357"/>
        <v/>
      </c>
      <c r="DT150" s="109" t="str">
        <f t="shared" si="284"/>
        <v/>
      </c>
      <c r="DU150" s="110" t="str">
        <f t="shared" si="230"/>
        <v/>
      </c>
      <c r="DW150" s="108" t="str">
        <f t="shared" si="358"/>
        <v/>
      </c>
      <c r="DX150" s="109" t="str">
        <f t="shared" si="359"/>
        <v/>
      </c>
      <c r="DY150" s="109" t="str">
        <f t="shared" si="285"/>
        <v/>
      </c>
      <c r="DZ150" s="110" t="str">
        <f t="shared" si="231"/>
        <v/>
      </c>
      <c r="EB150" s="108" t="str">
        <f t="shared" si="286"/>
        <v/>
      </c>
      <c r="EC150" s="109" t="str">
        <f t="shared" si="360"/>
        <v/>
      </c>
      <c r="ED150" s="109" t="str">
        <f t="shared" si="287"/>
        <v/>
      </c>
      <c r="EE150" s="110" t="str">
        <f t="shared" si="232"/>
        <v/>
      </c>
      <c r="EG150" s="108" t="str">
        <f t="shared" si="361"/>
        <v/>
      </c>
      <c r="EH150" s="109" t="str">
        <f t="shared" si="362"/>
        <v/>
      </c>
      <c r="EI150" s="109" t="str">
        <f t="shared" si="288"/>
        <v/>
      </c>
      <c r="EJ150" s="110" t="str">
        <f t="shared" si="233"/>
        <v/>
      </c>
      <c r="EL150" s="108" t="str">
        <f t="shared" si="289"/>
        <v/>
      </c>
      <c r="EM150" s="109" t="str">
        <f t="shared" si="363"/>
        <v/>
      </c>
      <c r="EN150" s="109" t="str">
        <f t="shared" si="290"/>
        <v/>
      </c>
      <c r="EO150" s="110" t="str">
        <f t="shared" si="234"/>
        <v/>
      </c>
      <c r="EQ150" s="108" t="str">
        <f t="shared" si="364"/>
        <v/>
      </c>
      <c r="ER150" s="109" t="str">
        <f t="shared" si="365"/>
        <v/>
      </c>
      <c r="ES150" s="109" t="str">
        <f t="shared" si="291"/>
        <v/>
      </c>
      <c r="ET150" s="110" t="str">
        <f t="shared" si="235"/>
        <v/>
      </c>
      <c r="EV150" s="108" t="str">
        <f t="shared" si="292"/>
        <v/>
      </c>
      <c r="EW150" s="109" t="str">
        <f t="shared" si="366"/>
        <v/>
      </c>
      <c r="EX150" s="109" t="str">
        <f t="shared" si="293"/>
        <v/>
      </c>
      <c r="EY150" s="110" t="str">
        <f t="shared" si="236"/>
        <v/>
      </c>
      <c r="FA150" s="108" t="str">
        <f t="shared" si="367"/>
        <v/>
      </c>
      <c r="FB150" s="109" t="str">
        <f t="shared" si="368"/>
        <v/>
      </c>
      <c r="FC150" s="109" t="str">
        <f t="shared" si="294"/>
        <v/>
      </c>
      <c r="FD150" s="110" t="str">
        <f t="shared" si="237"/>
        <v/>
      </c>
      <c r="FF150" s="108" t="str">
        <f t="shared" si="295"/>
        <v/>
      </c>
      <c r="FG150" s="109" t="str">
        <f t="shared" si="369"/>
        <v/>
      </c>
      <c r="FH150" s="109" t="str">
        <f t="shared" si="296"/>
        <v/>
      </c>
      <c r="FI150" s="110" t="str">
        <f t="shared" si="238"/>
        <v/>
      </c>
      <c r="FK150" s="108" t="str">
        <f t="shared" si="370"/>
        <v/>
      </c>
      <c r="FL150" s="109" t="str">
        <f t="shared" si="371"/>
        <v/>
      </c>
      <c r="FM150" s="109" t="str">
        <f t="shared" si="297"/>
        <v/>
      </c>
      <c r="FN150" s="110" t="str">
        <f t="shared" si="239"/>
        <v/>
      </c>
      <c r="FP150" s="108" t="str">
        <f t="shared" si="298"/>
        <v/>
      </c>
      <c r="FQ150" s="109" t="str">
        <f t="shared" si="372"/>
        <v/>
      </c>
      <c r="FR150" s="109" t="str">
        <f t="shared" si="299"/>
        <v/>
      </c>
      <c r="FS150" s="110" t="str">
        <f t="shared" si="240"/>
        <v/>
      </c>
      <c r="FU150" s="108" t="str">
        <f t="shared" si="373"/>
        <v/>
      </c>
      <c r="FV150" s="109" t="str">
        <f t="shared" si="374"/>
        <v/>
      </c>
      <c r="FW150" s="109" t="str">
        <f t="shared" si="300"/>
        <v/>
      </c>
      <c r="FX150" s="110" t="str">
        <f t="shared" si="241"/>
        <v/>
      </c>
      <c r="FZ150" s="108" t="str">
        <f t="shared" si="301"/>
        <v/>
      </c>
      <c r="GA150" s="109" t="str">
        <f t="shared" si="375"/>
        <v/>
      </c>
      <c r="GB150" s="109" t="str">
        <f t="shared" si="302"/>
        <v/>
      </c>
      <c r="GC150" s="110" t="str">
        <f t="shared" si="242"/>
        <v/>
      </c>
      <c r="GE150" s="108" t="str">
        <f t="shared" si="376"/>
        <v/>
      </c>
      <c r="GF150" s="109" t="str">
        <f t="shared" si="377"/>
        <v/>
      </c>
      <c r="GG150" s="109" t="str">
        <f t="shared" si="378"/>
        <v/>
      </c>
      <c r="GH150" s="110" t="str">
        <f t="shared" si="243"/>
        <v/>
      </c>
      <c r="GL150" s="108" t="str">
        <f t="shared" si="303"/>
        <v/>
      </c>
      <c r="GM150" s="109" t="str">
        <f t="shared" si="304"/>
        <v/>
      </c>
      <c r="GN150" s="109" t="str">
        <f t="shared" si="305"/>
        <v/>
      </c>
      <c r="GO150" s="110" t="str">
        <f t="shared" si="306"/>
        <v/>
      </c>
      <c r="GP150" s="51"/>
      <c r="GQ150" s="108" t="str">
        <f t="shared" si="307"/>
        <v/>
      </c>
      <c r="GR150" s="109" t="str">
        <f t="shared" si="379"/>
        <v/>
      </c>
      <c r="GS150" s="109" t="str">
        <f t="shared" si="308"/>
        <v/>
      </c>
      <c r="GT150" s="110" t="str">
        <f t="shared" si="309"/>
        <v/>
      </c>
      <c r="GU150" s="51"/>
      <c r="GV150" s="108" t="str">
        <f t="shared" si="380"/>
        <v/>
      </c>
      <c r="GW150" s="109" t="str">
        <f t="shared" si="381"/>
        <v/>
      </c>
      <c r="GX150" s="109" t="str">
        <f t="shared" si="310"/>
        <v/>
      </c>
      <c r="GY150" s="110" t="str">
        <f t="shared" si="382"/>
        <v/>
      </c>
      <c r="GZ150" s="51"/>
      <c r="HA150" s="108" t="str">
        <f t="shared" si="311"/>
        <v/>
      </c>
      <c r="HB150" s="109" t="str">
        <f t="shared" si="383"/>
        <v/>
      </c>
      <c r="HC150" s="109" t="str">
        <f t="shared" si="312"/>
        <v/>
      </c>
      <c r="HD150" s="110" t="str">
        <f t="shared" si="417"/>
        <v/>
      </c>
      <c r="HE150" s="51"/>
      <c r="HF150" s="108" t="str">
        <f t="shared" si="384"/>
        <v/>
      </c>
      <c r="HG150" s="109" t="str">
        <f t="shared" si="385"/>
        <v/>
      </c>
      <c r="HH150" s="109" t="str">
        <f t="shared" si="313"/>
        <v/>
      </c>
      <c r="HI150" s="110" t="str">
        <f t="shared" si="386"/>
        <v/>
      </c>
      <c r="HJ150" s="51"/>
      <c r="HK150" s="108" t="str">
        <f t="shared" si="314"/>
        <v/>
      </c>
      <c r="HL150" s="109" t="str">
        <f t="shared" si="387"/>
        <v/>
      </c>
      <c r="HM150" s="109" t="str">
        <f t="shared" si="315"/>
        <v/>
      </c>
      <c r="HN150" s="110" t="str">
        <f t="shared" si="418"/>
        <v/>
      </c>
      <c r="HO150" s="51"/>
      <c r="HP150" s="108" t="str">
        <f t="shared" si="388"/>
        <v/>
      </c>
      <c r="HQ150" s="109" t="str">
        <f t="shared" si="389"/>
        <v/>
      </c>
      <c r="HR150" s="109" t="str">
        <f t="shared" si="316"/>
        <v/>
      </c>
      <c r="HS150" s="110" t="str">
        <f t="shared" si="390"/>
        <v/>
      </c>
      <c r="HT150" s="51"/>
      <c r="HU150" s="108" t="str">
        <f t="shared" si="317"/>
        <v/>
      </c>
      <c r="HV150" s="109" t="str">
        <f t="shared" si="391"/>
        <v/>
      </c>
      <c r="HW150" s="109" t="str">
        <f t="shared" si="318"/>
        <v/>
      </c>
      <c r="HX150" s="110" t="str">
        <f t="shared" si="419"/>
        <v/>
      </c>
      <c r="HY150" s="51"/>
      <c r="HZ150" s="108" t="str">
        <f t="shared" si="392"/>
        <v/>
      </c>
      <c r="IA150" s="109" t="str">
        <f t="shared" si="393"/>
        <v/>
      </c>
      <c r="IB150" s="109" t="str">
        <f t="shared" si="319"/>
        <v/>
      </c>
      <c r="IC150" s="110" t="str">
        <f t="shared" si="394"/>
        <v/>
      </c>
      <c r="ID150" s="51"/>
      <c r="IE150" s="108" t="str">
        <f t="shared" si="320"/>
        <v/>
      </c>
      <c r="IF150" s="109" t="str">
        <f t="shared" si="395"/>
        <v/>
      </c>
      <c r="IG150" s="109" t="str">
        <f t="shared" si="321"/>
        <v/>
      </c>
      <c r="IH150" s="110" t="str">
        <f t="shared" si="420"/>
        <v/>
      </c>
      <c r="II150" s="51"/>
      <c r="IJ150" s="108" t="str">
        <f t="shared" si="396"/>
        <v/>
      </c>
      <c r="IK150" s="109" t="str">
        <f t="shared" si="397"/>
        <v/>
      </c>
      <c r="IL150" s="109" t="str">
        <f t="shared" si="322"/>
        <v/>
      </c>
      <c r="IM150" s="110" t="str">
        <f t="shared" si="398"/>
        <v/>
      </c>
      <c r="IN150" s="51"/>
      <c r="IO150" s="108" t="str">
        <f t="shared" si="323"/>
        <v/>
      </c>
      <c r="IP150" s="109" t="str">
        <f t="shared" si="399"/>
        <v/>
      </c>
      <c r="IQ150" s="109" t="str">
        <f t="shared" si="324"/>
        <v/>
      </c>
      <c r="IR150" s="110" t="str">
        <f t="shared" si="421"/>
        <v/>
      </c>
      <c r="IS150" s="51"/>
      <c r="IT150" s="108" t="str">
        <f t="shared" si="400"/>
        <v/>
      </c>
      <c r="IU150" s="109" t="str">
        <f t="shared" si="401"/>
        <v/>
      </c>
      <c r="IV150" s="109" t="str">
        <f t="shared" si="325"/>
        <v/>
      </c>
      <c r="IW150" s="110" t="str">
        <f t="shared" si="402"/>
        <v/>
      </c>
      <c r="IX150" s="51"/>
      <c r="IY150" s="108" t="str">
        <f t="shared" si="326"/>
        <v/>
      </c>
      <c r="IZ150" s="109" t="str">
        <f t="shared" si="403"/>
        <v/>
      </c>
      <c r="JA150" s="109" t="str">
        <f t="shared" si="327"/>
        <v/>
      </c>
      <c r="JB150" s="110" t="str">
        <f t="shared" si="422"/>
        <v/>
      </c>
      <c r="JC150" s="51"/>
      <c r="JD150" s="108" t="str">
        <f t="shared" si="404"/>
        <v/>
      </c>
      <c r="JE150" s="109" t="str">
        <f t="shared" si="405"/>
        <v/>
      </c>
      <c r="JF150" s="109" t="str">
        <f t="shared" si="328"/>
        <v/>
      </c>
      <c r="JG150" s="110" t="str">
        <f t="shared" si="406"/>
        <v/>
      </c>
      <c r="JH150" s="51"/>
      <c r="JI150" s="108" t="str">
        <f t="shared" si="329"/>
        <v/>
      </c>
      <c r="JJ150" s="109" t="str">
        <f t="shared" si="407"/>
        <v/>
      </c>
      <c r="JK150" s="109" t="str">
        <f t="shared" si="330"/>
        <v/>
      </c>
      <c r="JL150" s="110" t="str">
        <f t="shared" si="423"/>
        <v/>
      </c>
      <c r="JM150" s="51"/>
      <c r="JN150" s="108" t="str">
        <f t="shared" si="408"/>
        <v/>
      </c>
      <c r="JO150" s="109" t="str">
        <f t="shared" si="409"/>
        <v/>
      </c>
      <c r="JP150" s="109" t="str">
        <f t="shared" si="331"/>
        <v/>
      </c>
      <c r="JQ150" s="110" t="str">
        <f t="shared" si="410"/>
        <v/>
      </c>
      <c r="JR150" s="51"/>
      <c r="JS150" s="108" t="str">
        <f t="shared" si="332"/>
        <v/>
      </c>
      <c r="JT150" s="109" t="str">
        <f t="shared" si="411"/>
        <v/>
      </c>
      <c r="JU150" s="109" t="str">
        <f t="shared" si="333"/>
        <v/>
      </c>
      <c r="JV150" s="110" t="str">
        <f t="shared" si="424"/>
        <v/>
      </c>
      <c r="JW150" s="51"/>
      <c r="JX150" s="108" t="str">
        <f t="shared" si="412"/>
        <v/>
      </c>
      <c r="JY150" s="109" t="str">
        <f t="shared" si="413"/>
        <v/>
      </c>
      <c r="JZ150" s="109" t="str">
        <f t="shared" si="334"/>
        <v/>
      </c>
      <c r="KA150" s="110" t="str">
        <f t="shared" si="335"/>
        <v/>
      </c>
    </row>
    <row r="151" spans="1:287" ht="12" customHeight="1">
      <c r="A151" s="105">
        <f t="array" ref="A151">MAX(IF($J$80:J150&gt;0,$C$80:C150,0))</f>
        <v>43536</v>
      </c>
      <c r="B151" s="81" t="str">
        <f t="shared" si="248"/>
        <v/>
      </c>
      <c r="C151" s="82">
        <f t="shared" si="414"/>
        <v>0</v>
      </c>
      <c r="D151" s="83" t="str">
        <f t="shared" si="249"/>
        <v/>
      </c>
      <c r="E151" s="83" t="str">
        <f t="shared" si="336"/>
        <v/>
      </c>
      <c r="F151" s="83" t="str">
        <f t="shared" si="250"/>
        <v/>
      </c>
      <c r="G151" s="83" t="str">
        <f t="shared" si="251"/>
        <v/>
      </c>
      <c r="H151" s="83" t="str">
        <f t="shared" si="252"/>
        <v/>
      </c>
      <c r="I151" s="105">
        <f t="array" ref="I151">MAX(IF($R$80:R150&gt;0,$L$80:L150,0))</f>
        <v>0</v>
      </c>
      <c r="J151" s="106"/>
      <c r="K151" s="2" t="str">
        <f t="shared" si="253"/>
        <v/>
      </c>
      <c r="L151" s="82">
        <f t="shared" si="415"/>
        <v>0</v>
      </c>
      <c r="M151" s="83" t="str">
        <f t="shared" si="337"/>
        <v/>
      </c>
      <c r="N151" s="83" t="str">
        <f t="shared" si="254"/>
        <v/>
      </c>
      <c r="O151" s="83" t="str">
        <f t="shared" si="255"/>
        <v/>
      </c>
      <c r="P151" s="83" t="str">
        <f t="shared" si="256"/>
        <v/>
      </c>
      <c r="Q151" s="83" t="str">
        <f t="shared" si="257"/>
        <v/>
      </c>
      <c r="R151" s="106"/>
      <c r="S151" s="1"/>
      <c r="U151" s="85" t="e">
        <f t="shared" si="244"/>
        <v>#NUM!</v>
      </c>
      <c r="V151" s="86" t="e">
        <f t="shared" si="338"/>
        <v>#NUM!</v>
      </c>
      <c r="W151" s="87" t="e">
        <f t="shared" si="258"/>
        <v>#NUM!</v>
      </c>
      <c r="X151" s="87" t="e">
        <f t="shared" si="259"/>
        <v>#NUM!</v>
      </c>
      <c r="Y151" s="87" t="e">
        <f t="shared" si="260"/>
        <v>#NUM!</v>
      </c>
      <c r="Z151" s="88" t="e">
        <f t="shared" si="245"/>
        <v>#NUM!</v>
      </c>
      <c r="AA151" t="s">
        <v>282</v>
      </c>
      <c r="AB151" s="89">
        <f t="shared" si="339"/>
        <v>0</v>
      </c>
      <c r="AC151" s="87">
        <f t="shared" si="340"/>
        <v>0</v>
      </c>
      <c r="AD151" s="87" t="str">
        <f t="shared" si="261"/>
        <v/>
      </c>
      <c r="AE151" s="87" t="str">
        <f t="shared" si="262"/>
        <v/>
      </c>
      <c r="AF151" s="86">
        <f t="shared" si="341"/>
        <v>0</v>
      </c>
      <c r="AG151" s="87">
        <f t="shared" si="246"/>
        <v>0</v>
      </c>
      <c r="AH151" s="87">
        <f t="shared" si="342"/>
        <v>0</v>
      </c>
      <c r="AI151" s="90"/>
      <c r="AJ151" s="87" t="e">
        <f t="shared" si="263"/>
        <v>#NUM!</v>
      </c>
      <c r="AK151" s="87" t="e">
        <f t="shared" si="343"/>
        <v>#NUM!</v>
      </c>
      <c r="AL151" s="87" t="e">
        <f t="shared" si="344"/>
        <v>#NUM!</v>
      </c>
      <c r="AM151" s="87" t="e">
        <f t="shared" si="345"/>
        <v>#NUM!</v>
      </c>
      <c r="AN151" s="86">
        <f t="shared" si="264"/>
        <v>0</v>
      </c>
      <c r="AO151" s="87">
        <f t="shared" si="265"/>
        <v>0</v>
      </c>
      <c r="AP151" s="88">
        <f t="shared" si="266"/>
        <v>0</v>
      </c>
      <c r="AR151" s="89">
        <f t="shared" si="267"/>
        <v>0</v>
      </c>
      <c r="AS151" s="87">
        <f t="shared" si="268"/>
        <v>0</v>
      </c>
      <c r="AT151" s="87" t="str">
        <f t="shared" si="269"/>
        <v/>
      </c>
      <c r="AU151" s="87" t="str">
        <f t="shared" si="270"/>
        <v/>
      </c>
      <c r="AV151" s="86">
        <f t="shared" si="346"/>
        <v>0</v>
      </c>
      <c r="AW151" s="87">
        <f t="shared" si="347"/>
        <v>0</v>
      </c>
      <c r="AX151" s="87">
        <f t="shared" si="348"/>
        <v>0</v>
      </c>
      <c r="AY151" s="93"/>
      <c r="AZ151" s="87">
        <f t="shared" si="425"/>
        <v>0</v>
      </c>
      <c r="BA151" s="87">
        <f t="shared" si="349"/>
        <v>0</v>
      </c>
      <c r="BB151" s="87">
        <f t="shared" si="350"/>
        <v>0</v>
      </c>
      <c r="BC151" s="87">
        <f t="shared" si="416"/>
        <v>0</v>
      </c>
      <c r="BD151" s="86" t="e">
        <f t="shared" si="271"/>
        <v>#NUM!</v>
      </c>
      <c r="BE151" s="87" t="e">
        <f t="shared" si="247"/>
        <v>#NUM!</v>
      </c>
      <c r="BF151" s="88">
        <f t="shared" si="351"/>
        <v>0</v>
      </c>
      <c r="BH151" s="87" t="e">
        <f t="shared" si="272"/>
        <v>#NUM!</v>
      </c>
      <c r="BK151" s="95">
        <v>41149</v>
      </c>
      <c r="BL151" s="96">
        <v>72</v>
      </c>
      <c r="BT151" s="51"/>
      <c r="BU151" s="51"/>
      <c r="BV151" s="30"/>
      <c r="BW151" s="107"/>
      <c r="CS151" s="108" t="str">
        <f t="shared" si="273"/>
        <v/>
      </c>
      <c r="CT151" s="109" t="str">
        <f t="shared" si="274"/>
        <v/>
      </c>
      <c r="CU151" s="109" t="str">
        <f t="shared" si="275"/>
        <v/>
      </c>
      <c r="CV151" s="110" t="str">
        <f t="shared" si="225"/>
        <v/>
      </c>
      <c r="CX151" s="108" t="str">
        <f t="shared" si="276"/>
        <v/>
      </c>
      <c r="CY151" s="109" t="str">
        <f t="shared" si="352"/>
        <v/>
      </c>
      <c r="CZ151" s="109" t="str">
        <f t="shared" si="277"/>
        <v/>
      </c>
      <c r="DA151" s="110" t="str">
        <f t="shared" si="226"/>
        <v/>
      </c>
      <c r="DC151" s="108" t="str">
        <f t="shared" si="353"/>
        <v/>
      </c>
      <c r="DD151" s="109" t="str">
        <f t="shared" si="354"/>
        <v/>
      </c>
      <c r="DE151" s="109" t="str">
        <f t="shared" si="278"/>
        <v/>
      </c>
      <c r="DF151" s="110" t="str">
        <f t="shared" si="227"/>
        <v/>
      </c>
      <c r="DH151" s="108" t="str">
        <f t="shared" si="279"/>
        <v/>
      </c>
      <c r="DI151" s="109" t="str">
        <f t="shared" si="280"/>
        <v/>
      </c>
      <c r="DJ151" s="109" t="str">
        <f t="shared" si="281"/>
        <v/>
      </c>
      <c r="DK151" s="110" t="str">
        <f t="shared" si="228"/>
        <v/>
      </c>
      <c r="DM151" s="108" t="str">
        <f t="shared" si="355"/>
        <v/>
      </c>
      <c r="DN151" s="109" t="str">
        <f t="shared" si="356"/>
        <v/>
      </c>
      <c r="DO151" s="109" t="str">
        <f t="shared" si="282"/>
        <v/>
      </c>
      <c r="DP151" s="110" t="str">
        <f t="shared" si="229"/>
        <v/>
      </c>
      <c r="DR151" s="108" t="str">
        <f t="shared" si="283"/>
        <v/>
      </c>
      <c r="DS151" s="109" t="str">
        <f t="shared" si="357"/>
        <v/>
      </c>
      <c r="DT151" s="109" t="str">
        <f t="shared" si="284"/>
        <v/>
      </c>
      <c r="DU151" s="110" t="str">
        <f t="shared" si="230"/>
        <v/>
      </c>
      <c r="DW151" s="108" t="str">
        <f t="shared" si="358"/>
        <v/>
      </c>
      <c r="DX151" s="109" t="str">
        <f t="shared" si="359"/>
        <v/>
      </c>
      <c r="DY151" s="109" t="str">
        <f t="shared" si="285"/>
        <v/>
      </c>
      <c r="DZ151" s="110" t="str">
        <f t="shared" si="231"/>
        <v/>
      </c>
      <c r="EB151" s="108" t="str">
        <f t="shared" si="286"/>
        <v/>
      </c>
      <c r="EC151" s="109" t="str">
        <f t="shared" si="360"/>
        <v/>
      </c>
      <c r="ED151" s="109" t="str">
        <f t="shared" si="287"/>
        <v/>
      </c>
      <c r="EE151" s="110" t="str">
        <f t="shared" si="232"/>
        <v/>
      </c>
      <c r="EG151" s="108" t="str">
        <f t="shared" si="361"/>
        <v/>
      </c>
      <c r="EH151" s="109" t="str">
        <f t="shared" si="362"/>
        <v/>
      </c>
      <c r="EI151" s="109" t="str">
        <f t="shared" si="288"/>
        <v/>
      </c>
      <c r="EJ151" s="110" t="str">
        <f t="shared" si="233"/>
        <v/>
      </c>
      <c r="EL151" s="108" t="str">
        <f t="shared" si="289"/>
        <v/>
      </c>
      <c r="EM151" s="109" t="str">
        <f t="shared" si="363"/>
        <v/>
      </c>
      <c r="EN151" s="109" t="str">
        <f t="shared" si="290"/>
        <v/>
      </c>
      <c r="EO151" s="110" t="str">
        <f t="shared" si="234"/>
        <v/>
      </c>
      <c r="EQ151" s="108" t="str">
        <f t="shared" si="364"/>
        <v/>
      </c>
      <c r="ER151" s="109" t="str">
        <f t="shared" si="365"/>
        <v/>
      </c>
      <c r="ES151" s="109" t="str">
        <f t="shared" si="291"/>
        <v/>
      </c>
      <c r="ET151" s="110" t="str">
        <f t="shared" si="235"/>
        <v/>
      </c>
      <c r="EV151" s="108" t="str">
        <f t="shared" si="292"/>
        <v/>
      </c>
      <c r="EW151" s="109" t="str">
        <f t="shared" si="366"/>
        <v/>
      </c>
      <c r="EX151" s="109" t="str">
        <f t="shared" si="293"/>
        <v/>
      </c>
      <c r="EY151" s="110" t="str">
        <f t="shared" si="236"/>
        <v/>
      </c>
      <c r="FA151" s="108" t="str">
        <f t="shared" si="367"/>
        <v/>
      </c>
      <c r="FB151" s="109" t="str">
        <f t="shared" si="368"/>
        <v/>
      </c>
      <c r="FC151" s="109" t="str">
        <f t="shared" si="294"/>
        <v/>
      </c>
      <c r="FD151" s="110" t="str">
        <f t="shared" si="237"/>
        <v/>
      </c>
      <c r="FF151" s="108" t="str">
        <f t="shared" si="295"/>
        <v/>
      </c>
      <c r="FG151" s="109" t="str">
        <f t="shared" si="369"/>
        <v/>
      </c>
      <c r="FH151" s="109" t="str">
        <f t="shared" si="296"/>
        <v/>
      </c>
      <c r="FI151" s="110" t="str">
        <f t="shared" si="238"/>
        <v/>
      </c>
      <c r="FK151" s="108" t="str">
        <f t="shared" si="370"/>
        <v/>
      </c>
      <c r="FL151" s="109" t="str">
        <f t="shared" si="371"/>
        <v/>
      </c>
      <c r="FM151" s="109" t="str">
        <f t="shared" si="297"/>
        <v/>
      </c>
      <c r="FN151" s="110" t="str">
        <f t="shared" si="239"/>
        <v/>
      </c>
      <c r="FP151" s="108" t="str">
        <f t="shared" si="298"/>
        <v/>
      </c>
      <c r="FQ151" s="109" t="str">
        <f t="shared" si="372"/>
        <v/>
      </c>
      <c r="FR151" s="109" t="str">
        <f t="shared" si="299"/>
        <v/>
      </c>
      <c r="FS151" s="110" t="str">
        <f t="shared" si="240"/>
        <v/>
      </c>
      <c r="FU151" s="108" t="str">
        <f t="shared" si="373"/>
        <v/>
      </c>
      <c r="FV151" s="109" t="str">
        <f t="shared" si="374"/>
        <v/>
      </c>
      <c r="FW151" s="109" t="str">
        <f t="shared" si="300"/>
        <v/>
      </c>
      <c r="FX151" s="110" t="str">
        <f t="shared" si="241"/>
        <v/>
      </c>
      <c r="FZ151" s="108" t="str">
        <f t="shared" si="301"/>
        <v/>
      </c>
      <c r="GA151" s="109" t="str">
        <f t="shared" si="375"/>
        <v/>
      </c>
      <c r="GB151" s="109" t="str">
        <f t="shared" si="302"/>
        <v/>
      </c>
      <c r="GC151" s="110" t="str">
        <f t="shared" si="242"/>
        <v/>
      </c>
      <c r="GE151" s="108" t="str">
        <f t="shared" si="376"/>
        <v/>
      </c>
      <c r="GF151" s="109" t="str">
        <f t="shared" si="377"/>
        <v/>
      </c>
      <c r="GG151" s="109" t="str">
        <f t="shared" si="378"/>
        <v/>
      </c>
      <c r="GH151" s="110" t="str">
        <f t="shared" si="243"/>
        <v/>
      </c>
      <c r="GL151" s="108" t="str">
        <f t="shared" si="303"/>
        <v/>
      </c>
      <c r="GM151" s="109" t="str">
        <f t="shared" si="304"/>
        <v/>
      </c>
      <c r="GN151" s="109" t="str">
        <f t="shared" si="305"/>
        <v/>
      </c>
      <c r="GO151" s="110" t="str">
        <f t="shared" si="306"/>
        <v/>
      </c>
      <c r="GP151" s="51"/>
      <c r="GQ151" s="108" t="str">
        <f t="shared" si="307"/>
        <v/>
      </c>
      <c r="GR151" s="109" t="str">
        <f t="shared" si="379"/>
        <v/>
      </c>
      <c r="GS151" s="109" t="str">
        <f t="shared" si="308"/>
        <v/>
      </c>
      <c r="GT151" s="110" t="str">
        <f t="shared" si="309"/>
        <v/>
      </c>
      <c r="GU151" s="51"/>
      <c r="GV151" s="108" t="str">
        <f t="shared" si="380"/>
        <v/>
      </c>
      <c r="GW151" s="109" t="str">
        <f t="shared" si="381"/>
        <v/>
      </c>
      <c r="GX151" s="109" t="str">
        <f t="shared" si="310"/>
        <v/>
      </c>
      <c r="GY151" s="110" t="str">
        <f t="shared" si="382"/>
        <v/>
      </c>
      <c r="GZ151" s="51"/>
      <c r="HA151" s="108" t="str">
        <f t="shared" si="311"/>
        <v/>
      </c>
      <c r="HB151" s="109" t="str">
        <f t="shared" si="383"/>
        <v/>
      </c>
      <c r="HC151" s="109" t="str">
        <f t="shared" si="312"/>
        <v/>
      </c>
      <c r="HD151" s="110" t="str">
        <f t="shared" si="417"/>
        <v/>
      </c>
      <c r="HE151" s="51"/>
      <c r="HF151" s="108" t="str">
        <f t="shared" si="384"/>
        <v/>
      </c>
      <c r="HG151" s="109" t="str">
        <f t="shared" si="385"/>
        <v/>
      </c>
      <c r="HH151" s="109" t="str">
        <f t="shared" si="313"/>
        <v/>
      </c>
      <c r="HI151" s="110" t="str">
        <f t="shared" si="386"/>
        <v/>
      </c>
      <c r="HJ151" s="51"/>
      <c r="HK151" s="108" t="str">
        <f t="shared" si="314"/>
        <v/>
      </c>
      <c r="HL151" s="109" t="str">
        <f t="shared" si="387"/>
        <v/>
      </c>
      <c r="HM151" s="109" t="str">
        <f t="shared" si="315"/>
        <v/>
      </c>
      <c r="HN151" s="110" t="str">
        <f t="shared" si="418"/>
        <v/>
      </c>
      <c r="HO151" s="51"/>
      <c r="HP151" s="108" t="str">
        <f t="shared" si="388"/>
        <v/>
      </c>
      <c r="HQ151" s="109" t="str">
        <f t="shared" si="389"/>
        <v/>
      </c>
      <c r="HR151" s="109" t="str">
        <f t="shared" si="316"/>
        <v/>
      </c>
      <c r="HS151" s="110" t="str">
        <f t="shared" si="390"/>
        <v/>
      </c>
      <c r="HT151" s="51"/>
      <c r="HU151" s="108" t="str">
        <f t="shared" si="317"/>
        <v/>
      </c>
      <c r="HV151" s="109" t="str">
        <f t="shared" si="391"/>
        <v/>
      </c>
      <c r="HW151" s="109" t="str">
        <f t="shared" si="318"/>
        <v/>
      </c>
      <c r="HX151" s="110" t="str">
        <f t="shared" si="419"/>
        <v/>
      </c>
      <c r="HY151" s="51"/>
      <c r="HZ151" s="108" t="str">
        <f t="shared" si="392"/>
        <v/>
      </c>
      <c r="IA151" s="109" t="str">
        <f t="shared" si="393"/>
        <v/>
      </c>
      <c r="IB151" s="109" t="str">
        <f t="shared" si="319"/>
        <v/>
      </c>
      <c r="IC151" s="110" t="str">
        <f t="shared" si="394"/>
        <v/>
      </c>
      <c r="ID151" s="51"/>
      <c r="IE151" s="108" t="str">
        <f t="shared" si="320"/>
        <v/>
      </c>
      <c r="IF151" s="109" t="str">
        <f t="shared" si="395"/>
        <v/>
      </c>
      <c r="IG151" s="109" t="str">
        <f t="shared" si="321"/>
        <v/>
      </c>
      <c r="IH151" s="110" t="str">
        <f t="shared" si="420"/>
        <v/>
      </c>
      <c r="II151" s="51"/>
      <c r="IJ151" s="108" t="str">
        <f t="shared" si="396"/>
        <v/>
      </c>
      <c r="IK151" s="109" t="str">
        <f t="shared" si="397"/>
        <v/>
      </c>
      <c r="IL151" s="109" t="str">
        <f t="shared" si="322"/>
        <v/>
      </c>
      <c r="IM151" s="110" t="str">
        <f t="shared" si="398"/>
        <v/>
      </c>
      <c r="IN151" s="51"/>
      <c r="IO151" s="108" t="str">
        <f t="shared" si="323"/>
        <v/>
      </c>
      <c r="IP151" s="109" t="str">
        <f t="shared" si="399"/>
        <v/>
      </c>
      <c r="IQ151" s="109" t="str">
        <f t="shared" si="324"/>
        <v/>
      </c>
      <c r="IR151" s="110" t="str">
        <f t="shared" si="421"/>
        <v/>
      </c>
      <c r="IS151" s="51"/>
      <c r="IT151" s="108" t="str">
        <f t="shared" si="400"/>
        <v/>
      </c>
      <c r="IU151" s="109" t="str">
        <f t="shared" si="401"/>
        <v/>
      </c>
      <c r="IV151" s="109" t="str">
        <f t="shared" si="325"/>
        <v/>
      </c>
      <c r="IW151" s="110" t="str">
        <f t="shared" si="402"/>
        <v/>
      </c>
      <c r="IX151" s="51"/>
      <c r="IY151" s="108" t="str">
        <f t="shared" si="326"/>
        <v/>
      </c>
      <c r="IZ151" s="109" t="str">
        <f t="shared" si="403"/>
        <v/>
      </c>
      <c r="JA151" s="109" t="str">
        <f t="shared" si="327"/>
        <v/>
      </c>
      <c r="JB151" s="110" t="str">
        <f t="shared" si="422"/>
        <v/>
      </c>
      <c r="JC151" s="51"/>
      <c r="JD151" s="108" t="str">
        <f t="shared" si="404"/>
        <v/>
      </c>
      <c r="JE151" s="109" t="str">
        <f t="shared" si="405"/>
        <v/>
      </c>
      <c r="JF151" s="109" t="str">
        <f t="shared" si="328"/>
        <v/>
      </c>
      <c r="JG151" s="110" t="str">
        <f t="shared" si="406"/>
        <v/>
      </c>
      <c r="JH151" s="51"/>
      <c r="JI151" s="108" t="str">
        <f t="shared" si="329"/>
        <v/>
      </c>
      <c r="JJ151" s="109" t="str">
        <f t="shared" si="407"/>
        <v/>
      </c>
      <c r="JK151" s="109" t="str">
        <f t="shared" si="330"/>
        <v/>
      </c>
      <c r="JL151" s="110" t="str">
        <f t="shared" si="423"/>
        <v/>
      </c>
      <c r="JM151" s="51"/>
      <c r="JN151" s="108" t="str">
        <f t="shared" si="408"/>
        <v/>
      </c>
      <c r="JO151" s="109" t="str">
        <f t="shared" si="409"/>
        <v/>
      </c>
      <c r="JP151" s="109" t="str">
        <f t="shared" si="331"/>
        <v/>
      </c>
      <c r="JQ151" s="110" t="str">
        <f t="shared" si="410"/>
        <v/>
      </c>
      <c r="JR151" s="51"/>
      <c r="JS151" s="108" t="str">
        <f t="shared" si="332"/>
        <v/>
      </c>
      <c r="JT151" s="109" t="str">
        <f t="shared" si="411"/>
        <v/>
      </c>
      <c r="JU151" s="109" t="str">
        <f t="shared" si="333"/>
        <v/>
      </c>
      <c r="JV151" s="110" t="str">
        <f t="shared" si="424"/>
        <v/>
      </c>
      <c r="JW151" s="51"/>
      <c r="JX151" s="108" t="str">
        <f t="shared" si="412"/>
        <v/>
      </c>
      <c r="JY151" s="109" t="str">
        <f t="shared" si="413"/>
        <v/>
      </c>
      <c r="JZ151" s="109" t="str">
        <f t="shared" si="334"/>
        <v/>
      </c>
      <c r="KA151" s="110" t="str">
        <f t="shared" si="335"/>
        <v/>
      </c>
    </row>
    <row r="152" spans="1:287" ht="12" customHeight="1">
      <c r="A152" s="105">
        <f t="array" ref="A152">MAX(IF($J$80:J151&gt;0,$C$80:C151,0))</f>
        <v>43536</v>
      </c>
      <c r="B152" s="81" t="str">
        <f t="shared" si="248"/>
        <v/>
      </c>
      <c r="C152" s="82">
        <f t="shared" si="414"/>
        <v>0</v>
      </c>
      <c r="D152" s="83" t="str">
        <f t="shared" si="249"/>
        <v/>
      </c>
      <c r="E152" s="83" t="str">
        <f t="shared" si="336"/>
        <v/>
      </c>
      <c r="F152" s="83" t="str">
        <f t="shared" si="250"/>
        <v/>
      </c>
      <c r="G152" s="83" t="str">
        <f t="shared" si="251"/>
        <v/>
      </c>
      <c r="H152" s="83" t="str">
        <f t="shared" si="252"/>
        <v/>
      </c>
      <c r="I152" s="105">
        <f t="array" ref="I152">MAX(IF($R$80:R151&gt;0,$L$80:L151,0))</f>
        <v>0</v>
      </c>
      <c r="J152" s="106"/>
      <c r="K152" s="2" t="str">
        <f t="shared" si="253"/>
        <v/>
      </c>
      <c r="L152" s="82">
        <f t="shared" si="415"/>
        <v>0</v>
      </c>
      <c r="M152" s="83" t="str">
        <f t="shared" si="337"/>
        <v/>
      </c>
      <c r="N152" s="83" t="str">
        <f t="shared" si="254"/>
        <v/>
      </c>
      <c r="O152" s="83" t="str">
        <f t="shared" si="255"/>
        <v/>
      </c>
      <c r="P152" s="83" t="str">
        <f t="shared" si="256"/>
        <v/>
      </c>
      <c r="Q152" s="83" t="str">
        <f t="shared" si="257"/>
        <v/>
      </c>
      <c r="R152" s="106"/>
      <c r="S152" s="1"/>
      <c r="U152" s="85" t="e">
        <f t="shared" si="244"/>
        <v>#NUM!</v>
      </c>
      <c r="V152" s="86" t="e">
        <f t="shared" si="338"/>
        <v>#NUM!</v>
      </c>
      <c r="W152" s="87" t="e">
        <f t="shared" si="258"/>
        <v>#NUM!</v>
      </c>
      <c r="X152" s="87" t="e">
        <f t="shared" si="259"/>
        <v>#NUM!</v>
      </c>
      <c r="Y152" s="87" t="e">
        <f t="shared" si="260"/>
        <v>#NUM!</v>
      </c>
      <c r="Z152" s="88" t="e">
        <f t="shared" si="245"/>
        <v>#NUM!</v>
      </c>
      <c r="AA152" t="s">
        <v>282</v>
      </c>
      <c r="AB152" s="89">
        <f t="shared" si="339"/>
        <v>0</v>
      </c>
      <c r="AC152" s="87">
        <f t="shared" si="340"/>
        <v>0</v>
      </c>
      <c r="AD152" s="87" t="str">
        <f t="shared" si="261"/>
        <v/>
      </c>
      <c r="AE152" s="87" t="str">
        <f t="shared" si="262"/>
        <v/>
      </c>
      <c r="AF152" s="86">
        <f t="shared" si="341"/>
        <v>0</v>
      </c>
      <c r="AG152" s="87">
        <f t="shared" si="246"/>
        <v>0</v>
      </c>
      <c r="AH152" s="87">
        <f t="shared" si="342"/>
        <v>0</v>
      </c>
      <c r="AI152" s="90"/>
      <c r="AJ152" s="87" t="e">
        <f t="shared" si="263"/>
        <v>#NUM!</v>
      </c>
      <c r="AK152" s="87" t="e">
        <f t="shared" si="343"/>
        <v>#NUM!</v>
      </c>
      <c r="AL152" s="87" t="e">
        <f t="shared" si="344"/>
        <v>#NUM!</v>
      </c>
      <c r="AM152" s="87" t="e">
        <f t="shared" si="345"/>
        <v>#NUM!</v>
      </c>
      <c r="AN152" s="86">
        <f t="shared" si="264"/>
        <v>0</v>
      </c>
      <c r="AO152" s="87">
        <f t="shared" si="265"/>
        <v>0</v>
      </c>
      <c r="AP152" s="88">
        <f t="shared" si="266"/>
        <v>0</v>
      </c>
      <c r="AR152" s="89">
        <f t="shared" si="267"/>
        <v>0</v>
      </c>
      <c r="AS152" s="87">
        <f t="shared" si="268"/>
        <v>0</v>
      </c>
      <c r="AT152" s="87" t="str">
        <f t="shared" si="269"/>
        <v/>
      </c>
      <c r="AU152" s="87" t="str">
        <f t="shared" si="270"/>
        <v/>
      </c>
      <c r="AV152" s="86">
        <f t="shared" si="346"/>
        <v>0</v>
      </c>
      <c r="AW152" s="87">
        <f t="shared" si="347"/>
        <v>0</v>
      </c>
      <c r="AX152" s="87">
        <f t="shared" si="348"/>
        <v>0</v>
      </c>
      <c r="AY152" s="93"/>
      <c r="AZ152" s="87">
        <f t="shared" si="425"/>
        <v>0</v>
      </c>
      <c r="BA152" s="87">
        <f t="shared" si="349"/>
        <v>0</v>
      </c>
      <c r="BB152" s="87">
        <f t="shared" si="350"/>
        <v>0</v>
      </c>
      <c r="BC152" s="87">
        <f t="shared" si="416"/>
        <v>0</v>
      </c>
      <c r="BD152" s="86" t="e">
        <f t="shared" si="271"/>
        <v>#NUM!</v>
      </c>
      <c r="BE152" s="87" t="e">
        <f t="shared" si="247"/>
        <v>#NUM!</v>
      </c>
      <c r="BF152" s="88">
        <f t="shared" si="351"/>
        <v>0</v>
      </c>
      <c r="BH152" s="87" t="e">
        <f t="shared" si="272"/>
        <v>#NUM!</v>
      </c>
      <c r="BK152" s="95">
        <v>41196</v>
      </c>
      <c r="BL152" s="96">
        <v>73</v>
      </c>
      <c r="BT152" s="51"/>
      <c r="BU152" s="51"/>
      <c r="BV152" s="30"/>
      <c r="BW152" s="107"/>
      <c r="CS152" s="108" t="str">
        <f t="shared" si="273"/>
        <v/>
      </c>
      <c r="CT152" s="109" t="str">
        <f t="shared" si="274"/>
        <v/>
      </c>
      <c r="CU152" s="109" t="str">
        <f t="shared" si="275"/>
        <v/>
      </c>
      <c r="CV152" s="110" t="str">
        <f t="shared" si="225"/>
        <v/>
      </c>
      <c r="CX152" s="108" t="str">
        <f t="shared" si="276"/>
        <v/>
      </c>
      <c r="CY152" s="109" t="str">
        <f t="shared" si="352"/>
        <v/>
      </c>
      <c r="CZ152" s="109" t="str">
        <f t="shared" si="277"/>
        <v/>
      </c>
      <c r="DA152" s="110" t="str">
        <f t="shared" si="226"/>
        <v/>
      </c>
      <c r="DC152" s="108" t="str">
        <f t="shared" si="353"/>
        <v/>
      </c>
      <c r="DD152" s="109" t="str">
        <f t="shared" si="354"/>
        <v/>
      </c>
      <c r="DE152" s="109" t="str">
        <f t="shared" si="278"/>
        <v/>
      </c>
      <c r="DF152" s="110" t="str">
        <f t="shared" si="227"/>
        <v/>
      </c>
      <c r="DH152" s="108" t="str">
        <f t="shared" si="279"/>
        <v/>
      </c>
      <c r="DI152" s="109" t="str">
        <f t="shared" si="280"/>
        <v/>
      </c>
      <c r="DJ152" s="109" t="str">
        <f t="shared" si="281"/>
        <v/>
      </c>
      <c r="DK152" s="110" t="str">
        <f t="shared" si="228"/>
        <v/>
      </c>
      <c r="DM152" s="108" t="str">
        <f t="shared" si="355"/>
        <v/>
      </c>
      <c r="DN152" s="109" t="str">
        <f t="shared" si="356"/>
        <v/>
      </c>
      <c r="DO152" s="109" t="str">
        <f t="shared" si="282"/>
        <v/>
      </c>
      <c r="DP152" s="110" t="str">
        <f t="shared" si="229"/>
        <v/>
      </c>
      <c r="DR152" s="108" t="str">
        <f t="shared" si="283"/>
        <v/>
      </c>
      <c r="DS152" s="109" t="str">
        <f t="shared" si="357"/>
        <v/>
      </c>
      <c r="DT152" s="109" t="str">
        <f t="shared" si="284"/>
        <v/>
      </c>
      <c r="DU152" s="110" t="str">
        <f t="shared" si="230"/>
        <v/>
      </c>
      <c r="DW152" s="108" t="str">
        <f t="shared" si="358"/>
        <v/>
      </c>
      <c r="DX152" s="109" t="str">
        <f t="shared" si="359"/>
        <v/>
      </c>
      <c r="DY152" s="109" t="str">
        <f t="shared" si="285"/>
        <v/>
      </c>
      <c r="DZ152" s="110" t="str">
        <f t="shared" si="231"/>
        <v/>
      </c>
      <c r="EB152" s="108" t="str">
        <f t="shared" si="286"/>
        <v/>
      </c>
      <c r="EC152" s="109" t="str">
        <f t="shared" si="360"/>
        <v/>
      </c>
      <c r="ED152" s="109" t="str">
        <f t="shared" si="287"/>
        <v/>
      </c>
      <c r="EE152" s="110" t="str">
        <f t="shared" si="232"/>
        <v/>
      </c>
      <c r="EG152" s="108" t="str">
        <f t="shared" si="361"/>
        <v/>
      </c>
      <c r="EH152" s="109" t="str">
        <f t="shared" si="362"/>
        <v/>
      </c>
      <c r="EI152" s="109" t="str">
        <f t="shared" si="288"/>
        <v/>
      </c>
      <c r="EJ152" s="110" t="str">
        <f t="shared" si="233"/>
        <v/>
      </c>
      <c r="EL152" s="108" t="str">
        <f t="shared" si="289"/>
        <v/>
      </c>
      <c r="EM152" s="109" t="str">
        <f t="shared" si="363"/>
        <v/>
      </c>
      <c r="EN152" s="109" t="str">
        <f t="shared" si="290"/>
        <v/>
      </c>
      <c r="EO152" s="110" t="str">
        <f t="shared" si="234"/>
        <v/>
      </c>
      <c r="EQ152" s="108" t="str">
        <f t="shared" si="364"/>
        <v/>
      </c>
      <c r="ER152" s="109" t="str">
        <f t="shared" si="365"/>
        <v/>
      </c>
      <c r="ES152" s="109" t="str">
        <f t="shared" si="291"/>
        <v/>
      </c>
      <c r="ET152" s="110" t="str">
        <f t="shared" si="235"/>
        <v/>
      </c>
      <c r="EV152" s="108" t="str">
        <f t="shared" si="292"/>
        <v/>
      </c>
      <c r="EW152" s="109" t="str">
        <f t="shared" si="366"/>
        <v/>
      </c>
      <c r="EX152" s="109" t="str">
        <f t="shared" si="293"/>
        <v/>
      </c>
      <c r="EY152" s="110" t="str">
        <f t="shared" si="236"/>
        <v/>
      </c>
      <c r="FA152" s="108" t="str">
        <f t="shared" si="367"/>
        <v/>
      </c>
      <c r="FB152" s="109" t="str">
        <f t="shared" si="368"/>
        <v/>
      </c>
      <c r="FC152" s="109" t="str">
        <f t="shared" si="294"/>
        <v/>
      </c>
      <c r="FD152" s="110" t="str">
        <f t="shared" si="237"/>
        <v/>
      </c>
      <c r="FF152" s="108" t="str">
        <f t="shared" si="295"/>
        <v/>
      </c>
      <c r="FG152" s="109" t="str">
        <f t="shared" si="369"/>
        <v/>
      </c>
      <c r="FH152" s="109" t="str">
        <f t="shared" si="296"/>
        <v/>
      </c>
      <c r="FI152" s="110" t="str">
        <f t="shared" si="238"/>
        <v/>
      </c>
      <c r="FK152" s="108" t="str">
        <f t="shared" si="370"/>
        <v/>
      </c>
      <c r="FL152" s="109" t="str">
        <f t="shared" si="371"/>
        <v/>
      </c>
      <c r="FM152" s="109" t="str">
        <f t="shared" si="297"/>
        <v/>
      </c>
      <c r="FN152" s="110" t="str">
        <f t="shared" si="239"/>
        <v/>
      </c>
      <c r="FP152" s="108" t="str">
        <f t="shared" si="298"/>
        <v/>
      </c>
      <c r="FQ152" s="109" t="str">
        <f t="shared" si="372"/>
        <v/>
      </c>
      <c r="FR152" s="109" t="str">
        <f t="shared" si="299"/>
        <v/>
      </c>
      <c r="FS152" s="110" t="str">
        <f t="shared" si="240"/>
        <v/>
      </c>
      <c r="FU152" s="108" t="str">
        <f t="shared" si="373"/>
        <v/>
      </c>
      <c r="FV152" s="109" t="str">
        <f t="shared" si="374"/>
        <v/>
      </c>
      <c r="FW152" s="109" t="str">
        <f t="shared" si="300"/>
        <v/>
      </c>
      <c r="FX152" s="110" t="str">
        <f t="shared" si="241"/>
        <v/>
      </c>
      <c r="FZ152" s="108" t="str">
        <f t="shared" si="301"/>
        <v/>
      </c>
      <c r="GA152" s="109" t="str">
        <f t="shared" si="375"/>
        <v/>
      </c>
      <c r="GB152" s="109" t="str">
        <f t="shared" si="302"/>
        <v/>
      </c>
      <c r="GC152" s="110" t="str">
        <f t="shared" si="242"/>
        <v/>
      </c>
      <c r="GE152" s="108" t="str">
        <f t="shared" si="376"/>
        <v/>
      </c>
      <c r="GF152" s="109" t="str">
        <f t="shared" si="377"/>
        <v/>
      </c>
      <c r="GG152" s="109" t="str">
        <f t="shared" si="378"/>
        <v/>
      </c>
      <c r="GH152" s="110" t="str">
        <f t="shared" si="243"/>
        <v/>
      </c>
      <c r="GL152" s="108" t="str">
        <f t="shared" si="303"/>
        <v/>
      </c>
      <c r="GM152" s="109" t="str">
        <f t="shared" si="304"/>
        <v/>
      </c>
      <c r="GN152" s="109" t="str">
        <f t="shared" si="305"/>
        <v/>
      </c>
      <c r="GO152" s="110" t="str">
        <f t="shared" si="306"/>
        <v/>
      </c>
      <c r="GP152" s="51"/>
      <c r="GQ152" s="108" t="str">
        <f t="shared" si="307"/>
        <v/>
      </c>
      <c r="GR152" s="109" t="str">
        <f t="shared" si="379"/>
        <v/>
      </c>
      <c r="GS152" s="109" t="str">
        <f t="shared" si="308"/>
        <v/>
      </c>
      <c r="GT152" s="110" t="str">
        <f t="shared" si="309"/>
        <v/>
      </c>
      <c r="GU152" s="51"/>
      <c r="GV152" s="108" t="str">
        <f t="shared" si="380"/>
        <v/>
      </c>
      <c r="GW152" s="109" t="str">
        <f t="shared" si="381"/>
        <v/>
      </c>
      <c r="GX152" s="109" t="str">
        <f t="shared" si="310"/>
        <v/>
      </c>
      <c r="GY152" s="110" t="str">
        <f t="shared" si="382"/>
        <v/>
      </c>
      <c r="GZ152" s="51"/>
      <c r="HA152" s="108" t="str">
        <f t="shared" si="311"/>
        <v/>
      </c>
      <c r="HB152" s="109" t="str">
        <f t="shared" si="383"/>
        <v/>
      </c>
      <c r="HC152" s="109" t="str">
        <f t="shared" si="312"/>
        <v/>
      </c>
      <c r="HD152" s="110" t="str">
        <f t="shared" si="417"/>
        <v/>
      </c>
      <c r="HE152" s="51"/>
      <c r="HF152" s="108" t="str">
        <f t="shared" si="384"/>
        <v/>
      </c>
      <c r="HG152" s="109" t="str">
        <f t="shared" si="385"/>
        <v/>
      </c>
      <c r="HH152" s="109" t="str">
        <f t="shared" si="313"/>
        <v/>
      </c>
      <c r="HI152" s="110" t="str">
        <f t="shared" si="386"/>
        <v/>
      </c>
      <c r="HJ152" s="51"/>
      <c r="HK152" s="108" t="str">
        <f t="shared" si="314"/>
        <v/>
      </c>
      <c r="HL152" s="109" t="str">
        <f t="shared" si="387"/>
        <v/>
      </c>
      <c r="HM152" s="109" t="str">
        <f t="shared" si="315"/>
        <v/>
      </c>
      <c r="HN152" s="110" t="str">
        <f t="shared" si="418"/>
        <v/>
      </c>
      <c r="HO152" s="51"/>
      <c r="HP152" s="108" t="str">
        <f t="shared" si="388"/>
        <v/>
      </c>
      <c r="HQ152" s="109" t="str">
        <f t="shared" si="389"/>
        <v/>
      </c>
      <c r="HR152" s="109" t="str">
        <f t="shared" si="316"/>
        <v/>
      </c>
      <c r="HS152" s="110" t="str">
        <f t="shared" si="390"/>
        <v/>
      </c>
      <c r="HT152" s="51"/>
      <c r="HU152" s="108" t="str">
        <f t="shared" si="317"/>
        <v/>
      </c>
      <c r="HV152" s="109" t="str">
        <f t="shared" si="391"/>
        <v/>
      </c>
      <c r="HW152" s="109" t="str">
        <f t="shared" si="318"/>
        <v/>
      </c>
      <c r="HX152" s="110" t="str">
        <f t="shared" si="419"/>
        <v/>
      </c>
      <c r="HY152" s="51"/>
      <c r="HZ152" s="108" t="str">
        <f t="shared" si="392"/>
        <v/>
      </c>
      <c r="IA152" s="109" t="str">
        <f t="shared" si="393"/>
        <v/>
      </c>
      <c r="IB152" s="109" t="str">
        <f t="shared" si="319"/>
        <v/>
      </c>
      <c r="IC152" s="110" t="str">
        <f t="shared" si="394"/>
        <v/>
      </c>
      <c r="ID152" s="51"/>
      <c r="IE152" s="108" t="str">
        <f t="shared" si="320"/>
        <v/>
      </c>
      <c r="IF152" s="109" t="str">
        <f t="shared" si="395"/>
        <v/>
      </c>
      <c r="IG152" s="109" t="str">
        <f t="shared" si="321"/>
        <v/>
      </c>
      <c r="IH152" s="110" t="str">
        <f t="shared" si="420"/>
        <v/>
      </c>
      <c r="II152" s="51"/>
      <c r="IJ152" s="108" t="str">
        <f t="shared" si="396"/>
        <v/>
      </c>
      <c r="IK152" s="109" t="str">
        <f t="shared" si="397"/>
        <v/>
      </c>
      <c r="IL152" s="109" t="str">
        <f t="shared" si="322"/>
        <v/>
      </c>
      <c r="IM152" s="110" t="str">
        <f t="shared" si="398"/>
        <v/>
      </c>
      <c r="IN152" s="51"/>
      <c r="IO152" s="108" t="str">
        <f t="shared" si="323"/>
        <v/>
      </c>
      <c r="IP152" s="109" t="str">
        <f t="shared" si="399"/>
        <v/>
      </c>
      <c r="IQ152" s="109" t="str">
        <f t="shared" si="324"/>
        <v/>
      </c>
      <c r="IR152" s="110" t="str">
        <f t="shared" si="421"/>
        <v/>
      </c>
      <c r="IS152" s="51"/>
      <c r="IT152" s="108" t="str">
        <f t="shared" si="400"/>
        <v/>
      </c>
      <c r="IU152" s="109" t="str">
        <f t="shared" si="401"/>
        <v/>
      </c>
      <c r="IV152" s="109" t="str">
        <f t="shared" si="325"/>
        <v/>
      </c>
      <c r="IW152" s="110" t="str">
        <f t="shared" si="402"/>
        <v/>
      </c>
      <c r="IX152" s="51"/>
      <c r="IY152" s="108" t="str">
        <f t="shared" si="326"/>
        <v/>
      </c>
      <c r="IZ152" s="109" t="str">
        <f t="shared" si="403"/>
        <v/>
      </c>
      <c r="JA152" s="109" t="str">
        <f t="shared" si="327"/>
        <v/>
      </c>
      <c r="JB152" s="110" t="str">
        <f t="shared" si="422"/>
        <v/>
      </c>
      <c r="JC152" s="51"/>
      <c r="JD152" s="108" t="str">
        <f t="shared" si="404"/>
        <v/>
      </c>
      <c r="JE152" s="109" t="str">
        <f t="shared" si="405"/>
        <v/>
      </c>
      <c r="JF152" s="109" t="str">
        <f t="shared" si="328"/>
        <v/>
      </c>
      <c r="JG152" s="110" t="str">
        <f t="shared" si="406"/>
        <v/>
      </c>
      <c r="JH152" s="51"/>
      <c r="JI152" s="108" t="str">
        <f t="shared" si="329"/>
        <v/>
      </c>
      <c r="JJ152" s="109" t="str">
        <f t="shared" si="407"/>
        <v/>
      </c>
      <c r="JK152" s="109" t="str">
        <f t="shared" si="330"/>
        <v/>
      </c>
      <c r="JL152" s="110" t="str">
        <f t="shared" si="423"/>
        <v/>
      </c>
      <c r="JM152" s="51"/>
      <c r="JN152" s="108" t="str">
        <f t="shared" si="408"/>
        <v/>
      </c>
      <c r="JO152" s="109" t="str">
        <f t="shared" si="409"/>
        <v/>
      </c>
      <c r="JP152" s="109" t="str">
        <f t="shared" si="331"/>
        <v/>
      </c>
      <c r="JQ152" s="110" t="str">
        <f t="shared" si="410"/>
        <v/>
      </c>
      <c r="JR152" s="51"/>
      <c r="JS152" s="108" t="str">
        <f t="shared" si="332"/>
        <v/>
      </c>
      <c r="JT152" s="109" t="str">
        <f t="shared" si="411"/>
        <v/>
      </c>
      <c r="JU152" s="109" t="str">
        <f t="shared" si="333"/>
        <v/>
      </c>
      <c r="JV152" s="110" t="str">
        <f t="shared" si="424"/>
        <v/>
      </c>
      <c r="JW152" s="51"/>
      <c r="JX152" s="108" t="str">
        <f t="shared" si="412"/>
        <v/>
      </c>
      <c r="JY152" s="109" t="str">
        <f t="shared" si="413"/>
        <v/>
      </c>
      <c r="JZ152" s="109" t="str">
        <f t="shared" si="334"/>
        <v/>
      </c>
      <c r="KA152" s="110" t="str">
        <f t="shared" si="335"/>
        <v/>
      </c>
    </row>
    <row r="153" spans="1:287" ht="12" customHeight="1">
      <c r="A153" s="105">
        <f t="array" ref="A153">MAX(IF($J$80:J152&gt;0,$C$80:C152,0))</f>
        <v>43536</v>
      </c>
      <c r="B153" s="81" t="str">
        <f t="shared" si="248"/>
        <v/>
      </c>
      <c r="C153" s="82">
        <f t="shared" si="414"/>
        <v>0</v>
      </c>
      <c r="D153" s="83" t="str">
        <f t="shared" si="249"/>
        <v/>
      </c>
      <c r="E153" s="83" t="str">
        <f t="shared" si="336"/>
        <v/>
      </c>
      <c r="F153" s="83" t="str">
        <f t="shared" si="250"/>
        <v/>
      </c>
      <c r="G153" s="83" t="str">
        <f t="shared" si="251"/>
        <v/>
      </c>
      <c r="H153" s="83" t="str">
        <f t="shared" si="252"/>
        <v/>
      </c>
      <c r="I153" s="105">
        <f t="array" ref="I153">MAX(IF($R$80:R152&gt;0,$L$80:L152,0))</f>
        <v>0</v>
      </c>
      <c r="J153" s="106"/>
      <c r="K153" s="2" t="str">
        <f t="shared" si="253"/>
        <v/>
      </c>
      <c r="L153" s="82">
        <f t="shared" si="415"/>
        <v>0</v>
      </c>
      <c r="M153" s="83" t="str">
        <f t="shared" si="337"/>
        <v/>
      </c>
      <c r="N153" s="83" t="str">
        <f t="shared" si="254"/>
        <v/>
      </c>
      <c r="O153" s="83" t="str">
        <f t="shared" si="255"/>
        <v/>
      </c>
      <c r="P153" s="83" t="str">
        <f t="shared" si="256"/>
        <v/>
      </c>
      <c r="Q153" s="83" t="str">
        <f t="shared" si="257"/>
        <v/>
      </c>
      <c r="R153" s="106"/>
      <c r="S153" s="1"/>
      <c r="U153" s="85" t="e">
        <f t="shared" si="244"/>
        <v>#NUM!</v>
      </c>
      <c r="V153" s="86" t="e">
        <f t="shared" si="338"/>
        <v>#NUM!</v>
      </c>
      <c r="W153" s="87" t="e">
        <f t="shared" si="258"/>
        <v>#NUM!</v>
      </c>
      <c r="X153" s="87" t="e">
        <f t="shared" si="259"/>
        <v>#NUM!</v>
      </c>
      <c r="Y153" s="87" t="e">
        <f t="shared" si="260"/>
        <v>#NUM!</v>
      </c>
      <c r="Z153" s="88" t="e">
        <f t="shared" si="245"/>
        <v>#NUM!</v>
      </c>
      <c r="AA153" t="s">
        <v>282</v>
      </c>
      <c r="AB153" s="89">
        <f t="shared" si="339"/>
        <v>0</v>
      </c>
      <c r="AC153" s="87">
        <f t="shared" si="340"/>
        <v>0</v>
      </c>
      <c r="AD153" s="87" t="str">
        <f t="shared" si="261"/>
        <v/>
      </c>
      <c r="AE153" s="87" t="str">
        <f t="shared" si="262"/>
        <v/>
      </c>
      <c r="AF153" s="86">
        <f t="shared" si="341"/>
        <v>0</v>
      </c>
      <c r="AG153" s="87">
        <f t="shared" si="246"/>
        <v>0</v>
      </c>
      <c r="AH153" s="87">
        <f t="shared" si="342"/>
        <v>0</v>
      </c>
      <c r="AI153" s="90"/>
      <c r="AJ153" s="87" t="e">
        <f t="shared" si="263"/>
        <v>#NUM!</v>
      </c>
      <c r="AK153" s="87" t="e">
        <f t="shared" si="343"/>
        <v>#NUM!</v>
      </c>
      <c r="AL153" s="87" t="e">
        <f t="shared" si="344"/>
        <v>#NUM!</v>
      </c>
      <c r="AM153" s="87" t="e">
        <f t="shared" si="345"/>
        <v>#NUM!</v>
      </c>
      <c r="AN153" s="86">
        <f t="shared" si="264"/>
        <v>0</v>
      </c>
      <c r="AO153" s="87">
        <f t="shared" si="265"/>
        <v>0</v>
      </c>
      <c r="AP153" s="88">
        <f t="shared" si="266"/>
        <v>0</v>
      </c>
      <c r="AR153" s="89">
        <f t="shared" si="267"/>
        <v>0</v>
      </c>
      <c r="AS153" s="87">
        <f t="shared" si="268"/>
        <v>0</v>
      </c>
      <c r="AT153" s="87" t="str">
        <f t="shared" si="269"/>
        <v/>
      </c>
      <c r="AU153" s="87" t="str">
        <f t="shared" si="270"/>
        <v/>
      </c>
      <c r="AV153" s="86">
        <f t="shared" si="346"/>
        <v>0</v>
      </c>
      <c r="AW153" s="87">
        <f t="shared" si="347"/>
        <v>0</v>
      </c>
      <c r="AX153" s="87">
        <f t="shared" si="348"/>
        <v>0</v>
      </c>
      <c r="AY153" s="93"/>
      <c r="AZ153" s="87">
        <f t="shared" si="425"/>
        <v>0</v>
      </c>
      <c r="BA153" s="87">
        <f t="shared" si="349"/>
        <v>0</v>
      </c>
      <c r="BB153" s="87">
        <f t="shared" si="350"/>
        <v>0</v>
      </c>
      <c r="BC153" s="87">
        <f t="shared" si="416"/>
        <v>0</v>
      </c>
      <c r="BD153" s="86" t="e">
        <f t="shared" si="271"/>
        <v>#NUM!</v>
      </c>
      <c r="BE153" s="87" t="e">
        <f t="shared" si="247"/>
        <v>#NUM!</v>
      </c>
      <c r="BF153" s="88">
        <f t="shared" si="351"/>
        <v>0</v>
      </c>
      <c r="BH153" s="87" t="e">
        <f t="shared" si="272"/>
        <v>#NUM!</v>
      </c>
      <c r="BK153" s="95">
        <v>41236</v>
      </c>
      <c r="BL153" s="96">
        <v>74</v>
      </c>
      <c r="BT153" s="51"/>
      <c r="BU153" s="51"/>
      <c r="BV153" s="30"/>
      <c r="BW153" s="107"/>
      <c r="CS153" s="108" t="str">
        <f t="shared" si="273"/>
        <v/>
      </c>
      <c r="CT153" s="109" t="str">
        <f t="shared" si="274"/>
        <v/>
      </c>
      <c r="CU153" s="109" t="str">
        <f t="shared" si="275"/>
        <v/>
      </c>
      <c r="CV153" s="110" t="str">
        <f t="shared" si="225"/>
        <v/>
      </c>
      <c r="CX153" s="108" t="str">
        <f t="shared" si="276"/>
        <v/>
      </c>
      <c r="CY153" s="109" t="str">
        <f t="shared" si="352"/>
        <v/>
      </c>
      <c r="CZ153" s="109" t="str">
        <f t="shared" si="277"/>
        <v/>
      </c>
      <c r="DA153" s="110" t="str">
        <f t="shared" si="226"/>
        <v/>
      </c>
      <c r="DC153" s="108" t="str">
        <f t="shared" si="353"/>
        <v/>
      </c>
      <c r="DD153" s="109" t="str">
        <f t="shared" si="354"/>
        <v/>
      </c>
      <c r="DE153" s="109" t="str">
        <f t="shared" si="278"/>
        <v/>
      </c>
      <c r="DF153" s="110" t="str">
        <f t="shared" si="227"/>
        <v/>
      </c>
      <c r="DH153" s="108" t="str">
        <f t="shared" si="279"/>
        <v/>
      </c>
      <c r="DI153" s="109" t="str">
        <f t="shared" si="280"/>
        <v/>
      </c>
      <c r="DJ153" s="109" t="str">
        <f t="shared" si="281"/>
        <v/>
      </c>
      <c r="DK153" s="110" t="str">
        <f t="shared" si="228"/>
        <v/>
      </c>
      <c r="DM153" s="108" t="str">
        <f t="shared" si="355"/>
        <v/>
      </c>
      <c r="DN153" s="109" t="str">
        <f t="shared" si="356"/>
        <v/>
      </c>
      <c r="DO153" s="109" t="str">
        <f t="shared" si="282"/>
        <v/>
      </c>
      <c r="DP153" s="110" t="str">
        <f t="shared" si="229"/>
        <v/>
      </c>
      <c r="DR153" s="108" t="str">
        <f t="shared" si="283"/>
        <v/>
      </c>
      <c r="DS153" s="109" t="str">
        <f t="shared" si="357"/>
        <v/>
      </c>
      <c r="DT153" s="109" t="str">
        <f t="shared" si="284"/>
        <v/>
      </c>
      <c r="DU153" s="110" t="str">
        <f t="shared" si="230"/>
        <v/>
      </c>
      <c r="DW153" s="108" t="str">
        <f t="shared" si="358"/>
        <v/>
      </c>
      <c r="DX153" s="109" t="str">
        <f t="shared" si="359"/>
        <v/>
      </c>
      <c r="DY153" s="109" t="str">
        <f t="shared" si="285"/>
        <v/>
      </c>
      <c r="DZ153" s="110" t="str">
        <f t="shared" si="231"/>
        <v/>
      </c>
      <c r="EB153" s="108" t="str">
        <f t="shared" si="286"/>
        <v/>
      </c>
      <c r="EC153" s="109" t="str">
        <f t="shared" si="360"/>
        <v/>
      </c>
      <c r="ED153" s="109" t="str">
        <f t="shared" si="287"/>
        <v/>
      </c>
      <c r="EE153" s="110" t="str">
        <f t="shared" si="232"/>
        <v/>
      </c>
      <c r="EG153" s="108" t="str">
        <f t="shared" si="361"/>
        <v/>
      </c>
      <c r="EH153" s="109" t="str">
        <f t="shared" si="362"/>
        <v/>
      </c>
      <c r="EI153" s="109" t="str">
        <f t="shared" si="288"/>
        <v/>
      </c>
      <c r="EJ153" s="110" t="str">
        <f t="shared" si="233"/>
        <v/>
      </c>
      <c r="EL153" s="108" t="str">
        <f t="shared" si="289"/>
        <v/>
      </c>
      <c r="EM153" s="109" t="str">
        <f t="shared" si="363"/>
        <v/>
      </c>
      <c r="EN153" s="109" t="str">
        <f t="shared" si="290"/>
        <v/>
      </c>
      <c r="EO153" s="110" t="str">
        <f t="shared" si="234"/>
        <v/>
      </c>
      <c r="EQ153" s="108" t="str">
        <f t="shared" si="364"/>
        <v/>
      </c>
      <c r="ER153" s="109" t="str">
        <f t="shared" si="365"/>
        <v/>
      </c>
      <c r="ES153" s="109" t="str">
        <f t="shared" si="291"/>
        <v/>
      </c>
      <c r="ET153" s="110" t="str">
        <f t="shared" si="235"/>
        <v/>
      </c>
      <c r="EV153" s="108" t="str">
        <f t="shared" si="292"/>
        <v/>
      </c>
      <c r="EW153" s="109" t="str">
        <f t="shared" si="366"/>
        <v/>
      </c>
      <c r="EX153" s="109" t="str">
        <f t="shared" si="293"/>
        <v/>
      </c>
      <c r="EY153" s="110" t="str">
        <f t="shared" si="236"/>
        <v/>
      </c>
      <c r="FA153" s="108" t="str">
        <f t="shared" si="367"/>
        <v/>
      </c>
      <c r="FB153" s="109" t="str">
        <f t="shared" si="368"/>
        <v/>
      </c>
      <c r="FC153" s="109" t="str">
        <f t="shared" si="294"/>
        <v/>
      </c>
      <c r="FD153" s="110" t="str">
        <f t="shared" si="237"/>
        <v/>
      </c>
      <c r="FF153" s="108" t="str">
        <f t="shared" si="295"/>
        <v/>
      </c>
      <c r="FG153" s="109" t="str">
        <f t="shared" si="369"/>
        <v/>
      </c>
      <c r="FH153" s="109" t="str">
        <f t="shared" si="296"/>
        <v/>
      </c>
      <c r="FI153" s="110" t="str">
        <f t="shared" si="238"/>
        <v/>
      </c>
      <c r="FK153" s="108" t="str">
        <f t="shared" si="370"/>
        <v/>
      </c>
      <c r="FL153" s="109" t="str">
        <f t="shared" si="371"/>
        <v/>
      </c>
      <c r="FM153" s="109" t="str">
        <f t="shared" si="297"/>
        <v/>
      </c>
      <c r="FN153" s="110" t="str">
        <f t="shared" si="239"/>
        <v/>
      </c>
      <c r="FP153" s="108" t="str">
        <f t="shared" si="298"/>
        <v/>
      </c>
      <c r="FQ153" s="109" t="str">
        <f t="shared" si="372"/>
        <v/>
      </c>
      <c r="FR153" s="109" t="str">
        <f t="shared" si="299"/>
        <v/>
      </c>
      <c r="FS153" s="110" t="str">
        <f t="shared" si="240"/>
        <v/>
      </c>
      <c r="FU153" s="108" t="str">
        <f t="shared" si="373"/>
        <v/>
      </c>
      <c r="FV153" s="109" t="str">
        <f t="shared" si="374"/>
        <v/>
      </c>
      <c r="FW153" s="109" t="str">
        <f t="shared" si="300"/>
        <v/>
      </c>
      <c r="FX153" s="110" t="str">
        <f t="shared" si="241"/>
        <v/>
      </c>
      <c r="FZ153" s="108" t="str">
        <f t="shared" si="301"/>
        <v/>
      </c>
      <c r="GA153" s="109" t="str">
        <f t="shared" si="375"/>
        <v/>
      </c>
      <c r="GB153" s="109" t="str">
        <f t="shared" si="302"/>
        <v/>
      </c>
      <c r="GC153" s="110" t="str">
        <f t="shared" si="242"/>
        <v/>
      </c>
      <c r="GE153" s="108" t="str">
        <f t="shared" si="376"/>
        <v/>
      </c>
      <c r="GF153" s="109" t="str">
        <f t="shared" si="377"/>
        <v/>
      </c>
      <c r="GG153" s="109" t="str">
        <f t="shared" si="378"/>
        <v/>
      </c>
      <c r="GH153" s="110" t="str">
        <f t="shared" si="243"/>
        <v/>
      </c>
      <c r="GL153" s="108" t="str">
        <f t="shared" si="303"/>
        <v/>
      </c>
      <c r="GM153" s="109" t="str">
        <f t="shared" si="304"/>
        <v/>
      </c>
      <c r="GN153" s="109" t="str">
        <f t="shared" si="305"/>
        <v/>
      </c>
      <c r="GO153" s="110" t="str">
        <f t="shared" si="306"/>
        <v/>
      </c>
      <c r="GP153" s="51"/>
      <c r="GQ153" s="108" t="str">
        <f t="shared" si="307"/>
        <v/>
      </c>
      <c r="GR153" s="109" t="str">
        <f t="shared" si="379"/>
        <v/>
      </c>
      <c r="GS153" s="109" t="str">
        <f t="shared" si="308"/>
        <v/>
      </c>
      <c r="GT153" s="110" t="str">
        <f t="shared" si="309"/>
        <v/>
      </c>
      <c r="GU153" s="51"/>
      <c r="GV153" s="108" t="str">
        <f t="shared" si="380"/>
        <v/>
      </c>
      <c r="GW153" s="109" t="str">
        <f t="shared" si="381"/>
        <v/>
      </c>
      <c r="GX153" s="109" t="str">
        <f t="shared" si="310"/>
        <v/>
      </c>
      <c r="GY153" s="110" t="str">
        <f t="shared" si="382"/>
        <v/>
      </c>
      <c r="GZ153" s="51"/>
      <c r="HA153" s="108" t="str">
        <f t="shared" si="311"/>
        <v/>
      </c>
      <c r="HB153" s="109" t="str">
        <f t="shared" si="383"/>
        <v/>
      </c>
      <c r="HC153" s="109" t="str">
        <f t="shared" si="312"/>
        <v/>
      </c>
      <c r="HD153" s="110" t="str">
        <f t="shared" si="417"/>
        <v/>
      </c>
      <c r="HE153" s="51"/>
      <c r="HF153" s="108" t="str">
        <f t="shared" si="384"/>
        <v/>
      </c>
      <c r="HG153" s="109" t="str">
        <f t="shared" si="385"/>
        <v/>
      </c>
      <c r="HH153" s="109" t="str">
        <f t="shared" si="313"/>
        <v/>
      </c>
      <c r="HI153" s="110" t="str">
        <f t="shared" si="386"/>
        <v/>
      </c>
      <c r="HJ153" s="51"/>
      <c r="HK153" s="108" t="str">
        <f t="shared" si="314"/>
        <v/>
      </c>
      <c r="HL153" s="109" t="str">
        <f t="shared" si="387"/>
        <v/>
      </c>
      <c r="HM153" s="109" t="str">
        <f t="shared" si="315"/>
        <v/>
      </c>
      <c r="HN153" s="110" t="str">
        <f t="shared" si="418"/>
        <v/>
      </c>
      <c r="HO153" s="51"/>
      <c r="HP153" s="108" t="str">
        <f t="shared" si="388"/>
        <v/>
      </c>
      <c r="HQ153" s="109" t="str">
        <f t="shared" si="389"/>
        <v/>
      </c>
      <c r="HR153" s="109" t="str">
        <f t="shared" si="316"/>
        <v/>
      </c>
      <c r="HS153" s="110" t="str">
        <f t="shared" si="390"/>
        <v/>
      </c>
      <c r="HT153" s="51"/>
      <c r="HU153" s="108" t="str">
        <f t="shared" si="317"/>
        <v/>
      </c>
      <c r="HV153" s="109" t="str">
        <f t="shared" si="391"/>
        <v/>
      </c>
      <c r="HW153" s="109" t="str">
        <f t="shared" si="318"/>
        <v/>
      </c>
      <c r="HX153" s="110" t="str">
        <f t="shared" si="419"/>
        <v/>
      </c>
      <c r="HY153" s="51"/>
      <c r="HZ153" s="108" t="str">
        <f t="shared" si="392"/>
        <v/>
      </c>
      <c r="IA153" s="109" t="str">
        <f t="shared" si="393"/>
        <v/>
      </c>
      <c r="IB153" s="109" t="str">
        <f t="shared" si="319"/>
        <v/>
      </c>
      <c r="IC153" s="110" t="str">
        <f t="shared" si="394"/>
        <v/>
      </c>
      <c r="ID153" s="51"/>
      <c r="IE153" s="108" t="str">
        <f t="shared" si="320"/>
        <v/>
      </c>
      <c r="IF153" s="109" t="str">
        <f t="shared" si="395"/>
        <v/>
      </c>
      <c r="IG153" s="109" t="str">
        <f t="shared" si="321"/>
        <v/>
      </c>
      <c r="IH153" s="110" t="str">
        <f t="shared" si="420"/>
        <v/>
      </c>
      <c r="II153" s="51"/>
      <c r="IJ153" s="108" t="str">
        <f t="shared" si="396"/>
        <v/>
      </c>
      <c r="IK153" s="109" t="str">
        <f t="shared" si="397"/>
        <v/>
      </c>
      <c r="IL153" s="109" t="str">
        <f t="shared" si="322"/>
        <v/>
      </c>
      <c r="IM153" s="110" t="str">
        <f t="shared" si="398"/>
        <v/>
      </c>
      <c r="IN153" s="51"/>
      <c r="IO153" s="108" t="str">
        <f t="shared" si="323"/>
        <v/>
      </c>
      <c r="IP153" s="109" t="str">
        <f t="shared" si="399"/>
        <v/>
      </c>
      <c r="IQ153" s="109" t="str">
        <f t="shared" si="324"/>
        <v/>
      </c>
      <c r="IR153" s="110" t="str">
        <f t="shared" si="421"/>
        <v/>
      </c>
      <c r="IS153" s="51"/>
      <c r="IT153" s="108" t="str">
        <f t="shared" si="400"/>
        <v/>
      </c>
      <c r="IU153" s="109" t="str">
        <f t="shared" si="401"/>
        <v/>
      </c>
      <c r="IV153" s="109" t="str">
        <f t="shared" si="325"/>
        <v/>
      </c>
      <c r="IW153" s="110" t="str">
        <f t="shared" si="402"/>
        <v/>
      </c>
      <c r="IX153" s="51"/>
      <c r="IY153" s="108" t="str">
        <f t="shared" si="326"/>
        <v/>
      </c>
      <c r="IZ153" s="109" t="str">
        <f t="shared" si="403"/>
        <v/>
      </c>
      <c r="JA153" s="109" t="str">
        <f t="shared" si="327"/>
        <v/>
      </c>
      <c r="JB153" s="110" t="str">
        <f t="shared" si="422"/>
        <v/>
      </c>
      <c r="JC153" s="51"/>
      <c r="JD153" s="108" t="str">
        <f t="shared" si="404"/>
        <v/>
      </c>
      <c r="JE153" s="109" t="str">
        <f t="shared" si="405"/>
        <v/>
      </c>
      <c r="JF153" s="109" t="str">
        <f t="shared" si="328"/>
        <v/>
      </c>
      <c r="JG153" s="110" t="str">
        <f t="shared" si="406"/>
        <v/>
      </c>
      <c r="JH153" s="51"/>
      <c r="JI153" s="108" t="str">
        <f t="shared" si="329"/>
        <v/>
      </c>
      <c r="JJ153" s="109" t="str">
        <f t="shared" si="407"/>
        <v/>
      </c>
      <c r="JK153" s="109" t="str">
        <f t="shared" si="330"/>
        <v/>
      </c>
      <c r="JL153" s="110" t="str">
        <f t="shared" si="423"/>
        <v/>
      </c>
      <c r="JM153" s="51"/>
      <c r="JN153" s="108" t="str">
        <f t="shared" si="408"/>
        <v/>
      </c>
      <c r="JO153" s="109" t="str">
        <f t="shared" si="409"/>
        <v/>
      </c>
      <c r="JP153" s="109" t="str">
        <f t="shared" si="331"/>
        <v/>
      </c>
      <c r="JQ153" s="110" t="str">
        <f t="shared" si="410"/>
        <v/>
      </c>
      <c r="JR153" s="51"/>
      <c r="JS153" s="108" t="str">
        <f t="shared" si="332"/>
        <v/>
      </c>
      <c r="JT153" s="109" t="str">
        <f t="shared" si="411"/>
        <v/>
      </c>
      <c r="JU153" s="109" t="str">
        <f t="shared" si="333"/>
        <v/>
      </c>
      <c r="JV153" s="110" t="str">
        <f t="shared" si="424"/>
        <v/>
      </c>
      <c r="JW153" s="51"/>
      <c r="JX153" s="108" t="str">
        <f t="shared" si="412"/>
        <v/>
      </c>
      <c r="JY153" s="109" t="str">
        <f t="shared" si="413"/>
        <v/>
      </c>
      <c r="JZ153" s="109" t="str">
        <f t="shared" si="334"/>
        <v/>
      </c>
      <c r="KA153" s="110" t="str">
        <f t="shared" si="335"/>
        <v/>
      </c>
    </row>
    <row r="154" spans="1:287" ht="12" customHeight="1">
      <c r="A154" s="105">
        <f t="array" ref="A154">MAX(IF($J$80:J153&gt;0,$C$80:C153,0))</f>
        <v>43536</v>
      </c>
      <c r="B154" s="81" t="str">
        <f t="shared" si="248"/>
        <v/>
      </c>
      <c r="C154" s="82">
        <f t="shared" si="414"/>
        <v>0</v>
      </c>
      <c r="D154" s="83" t="str">
        <f t="shared" si="249"/>
        <v/>
      </c>
      <c r="E154" s="83" t="str">
        <f t="shared" si="336"/>
        <v/>
      </c>
      <c r="F154" s="83" t="str">
        <f t="shared" si="250"/>
        <v/>
      </c>
      <c r="G154" s="83" t="str">
        <f t="shared" si="251"/>
        <v/>
      </c>
      <c r="H154" s="83" t="str">
        <f t="shared" si="252"/>
        <v/>
      </c>
      <c r="I154" s="105">
        <f t="array" ref="I154">MAX(IF($R$80:R153&gt;0,$L$80:L153,0))</f>
        <v>0</v>
      </c>
      <c r="J154" s="106"/>
      <c r="K154" s="2" t="str">
        <f t="shared" si="253"/>
        <v/>
      </c>
      <c r="L154" s="82">
        <f t="shared" si="415"/>
        <v>0</v>
      </c>
      <c r="M154" s="83" t="str">
        <f t="shared" si="337"/>
        <v/>
      </c>
      <c r="N154" s="83" t="str">
        <f t="shared" si="254"/>
        <v/>
      </c>
      <c r="O154" s="83" t="str">
        <f t="shared" si="255"/>
        <v/>
      </c>
      <c r="P154" s="83" t="str">
        <f t="shared" si="256"/>
        <v/>
      </c>
      <c r="Q154" s="83" t="str">
        <f t="shared" si="257"/>
        <v/>
      </c>
      <c r="R154" s="106"/>
      <c r="S154" s="1"/>
      <c r="U154" s="85" t="e">
        <f t="shared" si="244"/>
        <v>#NUM!</v>
      </c>
      <c r="V154" s="86" t="e">
        <f t="shared" si="338"/>
        <v>#NUM!</v>
      </c>
      <c r="W154" s="87" t="e">
        <f t="shared" si="258"/>
        <v>#NUM!</v>
      </c>
      <c r="X154" s="87" t="e">
        <f t="shared" si="259"/>
        <v>#NUM!</v>
      </c>
      <c r="Y154" s="87" t="e">
        <f t="shared" si="260"/>
        <v>#NUM!</v>
      </c>
      <c r="Z154" s="88" t="e">
        <f t="shared" si="245"/>
        <v>#NUM!</v>
      </c>
      <c r="AA154" t="s">
        <v>282</v>
      </c>
      <c r="AB154" s="89">
        <f t="shared" si="339"/>
        <v>0</v>
      </c>
      <c r="AC154" s="87">
        <f t="shared" si="340"/>
        <v>0</v>
      </c>
      <c r="AD154" s="87" t="str">
        <f t="shared" si="261"/>
        <v/>
      </c>
      <c r="AE154" s="87" t="str">
        <f t="shared" si="262"/>
        <v/>
      </c>
      <c r="AF154" s="86">
        <f t="shared" si="341"/>
        <v>0</v>
      </c>
      <c r="AG154" s="87">
        <f t="shared" si="246"/>
        <v>0</v>
      </c>
      <c r="AH154" s="87">
        <f t="shared" si="342"/>
        <v>0</v>
      </c>
      <c r="AI154" s="90"/>
      <c r="AJ154" s="87" t="e">
        <f t="shared" si="263"/>
        <v>#NUM!</v>
      </c>
      <c r="AK154" s="87" t="e">
        <f t="shared" si="343"/>
        <v>#NUM!</v>
      </c>
      <c r="AL154" s="87" t="e">
        <f t="shared" si="344"/>
        <v>#NUM!</v>
      </c>
      <c r="AM154" s="87" t="e">
        <f t="shared" si="345"/>
        <v>#NUM!</v>
      </c>
      <c r="AN154" s="86">
        <f t="shared" si="264"/>
        <v>0</v>
      </c>
      <c r="AO154" s="87">
        <f t="shared" si="265"/>
        <v>0</v>
      </c>
      <c r="AP154" s="88">
        <f t="shared" si="266"/>
        <v>0</v>
      </c>
      <c r="AR154" s="89">
        <f t="shared" si="267"/>
        <v>0</v>
      </c>
      <c r="AS154" s="87">
        <f t="shared" si="268"/>
        <v>0</v>
      </c>
      <c r="AT154" s="87" t="str">
        <f t="shared" si="269"/>
        <v/>
      </c>
      <c r="AU154" s="87" t="str">
        <f t="shared" si="270"/>
        <v/>
      </c>
      <c r="AV154" s="86">
        <f t="shared" si="346"/>
        <v>0</v>
      </c>
      <c r="AW154" s="87">
        <f t="shared" si="347"/>
        <v>0</v>
      </c>
      <c r="AX154" s="87">
        <f t="shared" si="348"/>
        <v>0</v>
      </c>
      <c r="AY154" s="93"/>
      <c r="AZ154" s="87">
        <f t="shared" si="425"/>
        <v>0</v>
      </c>
      <c r="BA154" s="87">
        <f t="shared" si="349"/>
        <v>0</v>
      </c>
      <c r="BB154" s="87">
        <f t="shared" si="350"/>
        <v>0</v>
      </c>
      <c r="BC154" s="87">
        <f t="shared" si="416"/>
        <v>0</v>
      </c>
      <c r="BD154" s="86" t="e">
        <f t="shared" si="271"/>
        <v>#NUM!</v>
      </c>
      <c r="BE154" s="87" t="e">
        <f t="shared" si="247"/>
        <v>#NUM!</v>
      </c>
      <c r="BF154" s="88">
        <f t="shared" si="351"/>
        <v>0</v>
      </c>
      <c r="BH154" s="87" t="e">
        <f t="shared" si="272"/>
        <v>#NUM!</v>
      </c>
      <c r="BK154" s="95">
        <v>41275</v>
      </c>
      <c r="BL154" s="96">
        <v>75</v>
      </c>
      <c r="BT154" s="51"/>
      <c r="BU154" s="51"/>
      <c r="BV154" s="30"/>
      <c r="BW154" s="30"/>
      <c r="CS154" s="108" t="str">
        <f t="shared" si="273"/>
        <v/>
      </c>
      <c r="CT154" s="109" t="str">
        <f t="shared" si="274"/>
        <v/>
      </c>
      <c r="CU154" s="109" t="str">
        <f t="shared" si="275"/>
        <v/>
      </c>
      <c r="CV154" s="110" t="str">
        <f t="shared" si="225"/>
        <v/>
      </c>
      <c r="CX154" s="108" t="str">
        <f t="shared" si="276"/>
        <v/>
      </c>
      <c r="CY154" s="109" t="str">
        <f t="shared" si="352"/>
        <v/>
      </c>
      <c r="CZ154" s="109" t="str">
        <f t="shared" si="277"/>
        <v/>
      </c>
      <c r="DA154" s="110" t="str">
        <f t="shared" si="226"/>
        <v/>
      </c>
      <c r="DC154" s="108" t="str">
        <f t="shared" si="353"/>
        <v/>
      </c>
      <c r="DD154" s="109" t="str">
        <f t="shared" si="354"/>
        <v/>
      </c>
      <c r="DE154" s="109" t="str">
        <f t="shared" si="278"/>
        <v/>
      </c>
      <c r="DF154" s="110" t="str">
        <f t="shared" si="227"/>
        <v/>
      </c>
      <c r="DH154" s="108" t="str">
        <f t="shared" si="279"/>
        <v/>
      </c>
      <c r="DI154" s="109" t="str">
        <f t="shared" si="280"/>
        <v/>
      </c>
      <c r="DJ154" s="109" t="str">
        <f t="shared" si="281"/>
        <v/>
      </c>
      <c r="DK154" s="110" t="str">
        <f t="shared" si="228"/>
        <v/>
      </c>
      <c r="DM154" s="108" t="str">
        <f t="shared" si="355"/>
        <v/>
      </c>
      <c r="DN154" s="109" t="str">
        <f t="shared" si="356"/>
        <v/>
      </c>
      <c r="DO154" s="109" t="str">
        <f t="shared" si="282"/>
        <v/>
      </c>
      <c r="DP154" s="110" t="str">
        <f t="shared" si="229"/>
        <v/>
      </c>
      <c r="DR154" s="108" t="str">
        <f t="shared" si="283"/>
        <v/>
      </c>
      <c r="DS154" s="109" t="str">
        <f t="shared" si="357"/>
        <v/>
      </c>
      <c r="DT154" s="109" t="str">
        <f t="shared" si="284"/>
        <v/>
      </c>
      <c r="DU154" s="110" t="str">
        <f t="shared" si="230"/>
        <v/>
      </c>
      <c r="DW154" s="108" t="str">
        <f t="shared" si="358"/>
        <v/>
      </c>
      <c r="DX154" s="109" t="str">
        <f t="shared" si="359"/>
        <v/>
      </c>
      <c r="DY154" s="109" t="str">
        <f t="shared" si="285"/>
        <v/>
      </c>
      <c r="DZ154" s="110" t="str">
        <f t="shared" si="231"/>
        <v/>
      </c>
      <c r="EB154" s="108" t="str">
        <f t="shared" si="286"/>
        <v/>
      </c>
      <c r="EC154" s="109" t="str">
        <f t="shared" si="360"/>
        <v/>
      </c>
      <c r="ED154" s="109" t="str">
        <f t="shared" si="287"/>
        <v/>
      </c>
      <c r="EE154" s="110" t="str">
        <f t="shared" si="232"/>
        <v/>
      </c>
      <c r="EG154" s="108" t="str">
        <f t="shared" si="361"/>
        <v/>
      </c>
      <c r="EH154" s="109" t="str">
        <f t="shared" si="362"/>
        <v/>
      </c>
      <c r="EI154" s="109" t="str">
        <f t="shared" si="288"/>
        <v/>
      </c>
      <c r="EJ154" s="110" t="str">
        <f t="shared" si="233"/>
        <v/>
      </c>
      <c r="EL154" s="108" t="str">
        <f t="shared" si="289"/>
        <v/>
      </c>
      <c r="EM154" s="109" t="str">
        <f t="shared" si="363"/>
        <v/>
      </c>
      <c r="EN154" s="109" t="str">
        <f t="shared" si="290"/>
        <v/>
      </c>
      <c r="EO154" s="110" t="str">
        <f t="shared" si="234"/>
        <v/>
      </c>
      <c r="EQ154" s="108" t="str">
        <f t="shared" si="364"/>
        <v/>
      </c>
      <c r="ER154" s="109" t="str">
        <f t="shared" si="365"/>
        <v/>
      </c>
      <c r="ES154" s="109" t="str">
        <f t="shared" si="291"/>
        <v/>
      </c>
      <c r="ET154" s="110" t="str">
        <f t="shared" si="235"/>
        <v/>
      </c>
      <c r="EV154" s="108" t="str">
        <f t="shared" si="292"/>
        <v/>
      </c>
      <c r="EW154" s="109" t="str">
        <f t="shared" si="366"/>
        <v/>
      </c>
      <c r="EX154" s="109" t="str">
        <f t="shared" si="293"/>
        <v/>
      </c>
      <c r="EY154" s="110" t="str">
        <f t="shared" si="236"/>
        <v/>
      </c>
      <c r="FA154" s="108" t="str">
        <f t="shared" si="367"/>
        <v/>
      </c>
      <c r="FB154" s="109" t="str">
        <f t="shared" si="368"/>
        <v/>
      </c>
      <c r="FC154" s="109" t="str">
        <f t="shared" si="294"/>
        <v/>
      </c>
      <c r="FD154" s="110" t="str">
        <f t="shared" si="237"/>
        <v/>
      </c>
      <c r="FF154" s="108" t="str">
        <f t="shared" si="295"/>
        <v/>
      </c>
      <c r="FG154" s="109" t="str">
        <f t="shared" si="369"/>
        <v/>
      </c>
      <c r="FH154" s="109" t="str">
        <f t="shared" si="296"/>
        <v/>
      </c>
      <c r="FI154" s="110" t="str">
        <f t="shared" si="238"/>
        <v/>
      </c>
      <c r="FK154" s="108" t="str">
        <f t="shared" si="370"/>
        <v/>
      </c>
      <c r="FL154" s="109" t="str">
        <f t="shared" si="371"/>
        <v/>
      </c>
      <c r="FM154" s="109" t="str">
        <f t="shared" si="297"/>
        <v/>
      </c>
      <c r="FN154" s="110" t="str">
        <f t="shared" si="239"/>
        <v/>
      </c>
      <c r="FP154" s="108" t="str">
        <f t="shared" si="298"/>
        <v/>
      </c>
      <c r="FQ154" s="109" t="str">
        <f t="shared" si="372"/>
        <v/>
      </c>
      <c r="FR154" s="109" t="str">
        <f t="shared" si="299"/>
        <v/>
      </c>
      <c r="FS154" s="110" t="str">
        <f t="shared" si="240"/>
        <v/>
      </c>
      <c r="FU154" s="108" t="str">
        <f t="shared" si="373"/>
        <v/>
      </c>
      <c r="FV154" s="109" t="str">
        <f t="shared" si="374"/>
        <v/>
      </c>
      <c r="FW154" s="109" t="str">
        <f t="shared" si="300"/>
        <v/>
      </c>
      <c r="FX154" s="110" t="str">
        <f t="shared" si="241"/>
        <v/>
      </c>
      <c r="FZ154" s="108" t="str">
        <f t="shared" si="301"/>
        <v/>
      </c>
      <c r="GA154" s="109" t="str">
        <f t="shared" si="375"/>
        <v/>
      </c>
      <c r="GB154" s="109" t="str">
        <f t="shared" si="302"/>
        <v/>
      </c>
      <c r="GC154" s="110" t="str">
        <f t="shared" si="242"/>
        <v/>
      </c>
      <c r="GE154" s="108" t="str">
        <f t="shared" si="376"/>
        <v/>
      </c>
      <c r="GF154" s="109" t="str">
        <f t="shared" si="377"/>
        <v/>
      </c>
      <c r="GG154" s="109" t="str">
        <f t="shared" si="378"/>
        <v/>
      </c>
      <c r="GH154" s="110" t="str">
        <f t="shared" si="243"/>
        <v/>
      </c>
      <c r="GL154" s="108" t="str">
        <f t="shared" si="303"/>
        <v/>
      </c>
      <c r="GM154" s="109" t="str">
        <f t="shared" si="304"/>
        <v/>
      </c>
      <c r="GN154" s="109" t="str">
        <f t="shared" si="305"/>
        <v/>
      </c>
      <c r="GO154" s="110" t="str">
        <f t="shared" si="306"/>
        <v/>
      </c>
      <c r="GP154" s="51"/>
      <c r="GQ154" s="108" t="str">
        <f t="shared" si="307"/>
        <v/>
      </c>
      <c r="GR154" s="109" t="str">
        <f t="shared" si="379"/>
        <v/>
      </c>
      <c r="GS154" s="109" t="str">
        <f t="shared" si="308"/>
        <v/>
      </c>
      <c r="GT154" s="110" t="str">
        <f t="shared" si="309"/>
        <v/>
      </c>
      <c r="GU154" s="51"/>
      <c r="GV154" s="108" t="str">
        <f t="shared" si="380"/>
        <v/>
      </c>
      <c r="GW154" s="109" t="str">
        <f t="shared" si="381"/>
        <v/>
      </c>
      <c r="GX154" s="109" t="str">
        <f t="shared" si="310"/>
        <v/>
      </c>
      <c r="GY154" s="110" t="str">
        <f t="shared" si="382"/>
        <v/>
      </c>
      <c r="GZ154" s="51"/>
      <c r="HA154" s="108" t="str">
        <f t="shared" si="311"/>
        <v/>
      </c>
      <c r="HB154" s="109" t="str">
        <f t="shared" si="383"/>
        <v/>
      </c>
      <c r="HC154" s="109" t="str">
        <f t="shared" si="312"/>
        <v/>
      </c>
      <c r="HD154" s="110" t="str">
        <f t="shared" si="417"/>
        <v/>
      </c>
      <c r="HE154" s="51"/>
      <c r="HF154" s="108" t="str">
        <f t="shared" si="384"/>
        <v/>
      </c>
      <c r="HG154" s="109" t="str">
        <f t="shared" si="385"/>
        <v/>
      </c>
      <c r="HH154" s="109" t="str">
        <f t="shared" si="313"/>
        <v/>
      </c>
      <c r="HI154" s="110" t="str">
        <f t="shared" si="386"/>
        <v/>
      </c>
      <c r="HJ154" s="51"/>
      <c r="HK154" s="108" t="str">
        <f t="shared" si="314"/>
        <v/>
      </c>
      <c r="HL154" s="109" t="str">
        <f t="shared" si="387"/>
        <v/>
      </c>
      <c r="HM154" s="109" t="str">
        <f t="shared" si="315"/>
        <v/>
      </c>
      <c r="HN154" s="110" t="str">
        <f t="shared" si="418"/>
        <v/>
      </c>
      <c r="HO154" s="51"/>
      <c r="HP154" s="108" t="str">
        <f t="shared" si="388"/>
        <v/>
      </c>
      <c r="HQ154" s="109" t="str">
        <f t="shared" si="389"/>
        <v/>
      </c>
      <c r="HR154" s="109" t="str">
        <f t="shared" si="316"/>
        <v/>
      </c>
      <c r="HS154" s="110" t="str">
        <f t="shared" si="390"/>
        <v/>
      </c>
      <c r="HT154" s="51"/>
      <c r="HU154" s="108" t="str">
        <f t="shared" si="317"/>
        <v/>
      </c>
      <c r="HV154" s="109" t="str">
        <f t="shared" si="391"/>
        <v/>
      </c>
      <c r="HW154" s="109" t="str">
        <f t="shared" si="318"/>
        <v/>
      </c>
      <c r="HX154" s="110" t="str">
        <f t="shared" si="419"/>
        <v/>
      </c>
      <c r="HY154" s="51"/>
      <c r="HZ154" s="108" t="str">
        <f t="shared" si="392"/>
        <v/>
      </c>
      <c r="IA154" s="109" t="str">
        <f t="shared" si="393"/>
        <v/>
      </c>
      <c r="IB154" s="109" t="str">
        <f t="shared" si="319"/>
        <v/>
      </c>
      <c r="IC154" s="110" t="str">
        <f t="shared" si="394"/>
        <v/>
      </c>
      <c r="ID154" s="51"/>
      <c r="IE154" s="108" t="str">
        <f t="shared" si="320"/>
        <v/>
      </c>
      <c r="IF154" s="109" t="str">
        <f t="shared" si="395"/>
        <v/>
      </c>
      <c r="IG154" s="109" t="str">
        <f t="shared" si="321"/>
        <v/>
      </c>
      <c r="IH154" s="110" t="str">
        <f t="shared" si="420"/>
        <v/>
      </c>
      <c r="II154" s="51"/>
      <c r="IJ154" s="108" t="str">
        <f t="shared" si="396"/>
        <v/>
      </c>
      <c r="IK154" s="109" t="str">
        <f t="shared" si="397"/>
        <v/>
      </c>
      <c r="IL154" s="109" t="str">
        <f t="shared" si="322"/>
        <v/>
      </c>
      <c r="IM154" s="110" t="str">
        <f t="shared" si="398"/>
        <v/>
      </c>
      <c r="IN154" s="51"/>
      <c r="IO154" s="108" t="str">
        <f t="shared" si="323"/>
        <v/>
      </c>
      <c r="IP154" s="109" t="str">
        <f t="shared" si="399"/>
        <v/>
      </c>
      <c r="IQ154" s="109" t="str">
        <f t="shared" si="324"/>
        <v/>
      </c>
      <c r="IR154" s="110" t="str">
        <f t="shared" si="421"/>
        <v/>
      </c>
      <c r="IS154" s="51"/>
      <c r="IT154" s="108" t="str">
        <f t="shared" si="400"/>
        <v/>
      </c>
      <c r="IU154" s="109" t="str">
        <f t="shared" si="401"/>
        <v/>
      </c>
      <c r="IV154" s="109" t="str">
        <f t="shared" si="325"/>
        <v/>
      </c>
      <c r="IW154" s="110" t="str">
        <f t="shared" si="402"/>
        <v/>
      </c>
      <c r="IX154" s="51"/>
      <c r="IY154" s="108" t="str">
        <f t="shared" si="326"/>
        <v/>
      </c>
      <c r="IZ154" s="109" t="str">
        <f t="shared" si="403"/>
        <v/>
      </c>
      <c r="JA154" s="109" t="str">
        <f t="shared" si="327"/>
        <v/>
      </c>
      <c r="JB154" s="110" t="str">
        <f t="shared" si="422"/>
        <v/>
      </c>
      <c r="JC154" s="51"/>
      <c r="JD154" s="108" t="str">
        <f t="shared" si="404"/>
        <v/>
      </c>
      <c r="JE154" s="109" t="str">
        <f t="shared" si="405"/>
        <v/>
      </c>
      <c r="JF154" s="109" t="str">
        <f t="shared" si="328"/>
        <v/>
      </c>
      <c r="JG154" s="110" t="str">
        <f t="shared" si="406"/>
        <v/>
      </c>
      <c r="JH154" s="51"/>
      <c r="JI154" s="108" t="str">
        <f t="shared" si="329"/>
        <v/>
      </c>
      <c r="JJ154" s="109" t="str">
        <f t="shared" si="407"/>
        <v/>
      </c>
      <c r="JK154" s="109" t="str">
        <f t="shared" si="330"/>
        <v/>
      </c>
      <c r="JL154" s="110" t="str">
        <f t="shared" si="423"/>
        <v/>
      </c>
      <c r="JM154" s="51"/>
      <c r="JN154" s="108" t="str">
        <f t="shared" si="408"/>
        <v/>
      </c>
      <c r="JO154" s="109" t="str">
        <f t="shared" si="409"/>
        <v/>
      </c>
      <c r="JP154" s="109" t="str">
        <f t="shared" si="331"/>
        <v/>
      </c>
      <c r="JQ154" s="110" t="str">
        <f t="shared" si="410"/>
        <v/>
      </c>
      <c r="JR154" s="51"/>
      <c r="JS154" s="108" t="str">
        <f t="shared" si="332"/>
        <v/>
      </c>
      <c r="JT154" s="109" t="str">
        <f t="shared" si="411"/>
        <v/>
      </c>
      <c r="JU154" s="109" t="str">
        <f t="shared" si="333"/>
        <v/>
      </c>
      <c r="JV154" s="110" t="str">
        <f t="shared" si="424"/>
        <v/>
      </c>
      <c r="JW154" s="51"/>
      <c r="JX154" s="108" t="str">
        <f t="shared" si="412"/>
        <v/>
      </c>
      <c r="JY154" s="109" t="str">
        <f t="shared" si="413"/>
        <v/>
      </c>
      <c r="JZ154" s="109" t="str">
        <f t="shared" si="334"/>
        <v/>
      </c>
      <c r="KA154" s="110" t="str">
        <f t="shared" si="335"/>
        <v/>
      </c>
    </row>
    <row r="155" spans="1:287" ht="12" customHeight="1">
      <c r="A155" s="105">
        <f t="array" ref="A155">MAX(IF($J$80:J154&gt;0,$C$80:C154,0))</f>
        <v>43536</v>
      </c>
      <c r="B155" s="81" t="str">
        <f t="shared" si="248"/>
        <v/>
      </c>
      <c r="C155" s="82">
        <f t="shared" si="414"/>
        <v>0</v>
      </c>
      <c r="D155" s="83" t="str">
        <f t="shared" si="249"/>
        <v/>
      </c>
      <c r="E155" s="83" t="str">
        <f t="shared" si="336"/>
        <v/>
      </c>
      <c r="F155" s="83" t="str">
        <f t="shared" si="250"/>
        <v/>
      </c>
      <c r="G155" s="83" t="str">
        <f t="shared" si="251"/>
        <v/>
      </c>
      <c r="H155" s="83" t="str">
        <f t="shared" si="252"/>
        <v/>
      </c>
      <c r="I155" s="105">
        <f t="array" ref="I155">MAX(IF($R$80:R154&gt;0,$L$80:L154,0))</f>
        <v>0</v>
      </c>
      <c r="J155" s="106"/>
      <c r="K155" s="2" t="str">
        <f t="shared" si="253"/>
        <v/>
      </c>
      <c r="L155" s="82">
        <f t="shared" si="415"/>
        <v>0</v>
      </c>
      <c r="M155" s="83" t="str">
        <f t="shared" si="337"/>
        <v/>
      </c>
      <c r="N155" s="83" t="str">
        <f t="shared" si="254"/>
        <v/>
      </c>
      <c r="O155" s="83" t="str">
        <f t="shared" si="255"/>
        <v/>
      </c>
      <c r="P155" s="83" t="str">
        <f t="shared" si="256"/>
        <v/>
      </c>
      <c r="Q155" s="83" t="str">
        <f t="shared" si="257"/>
        <v/>
      </c>
      <c r="R155" s="106"/>
      <c r="S155" s="1"/>
      <c r="U155" s="85" t="e">
        <f t="shared" si="244"/>
        <v>#NUM!</v>
      </c>
      <c r="V155" s="86" t="e">
        <f t="shared" si="338"/>
        <v>#NUM!</v>
      </c>
      <c r="W155" s="87" t="e">
        <f t="shared" si="258"/>
        <v>#NUM!</v>
      </c>
      <c r="X155" s="87" t="e">
        <f t="shared" si="259"/>
        <v>#NUM!</v>
      </c>
      <c r="Y155" s="87" t="e">
        <f t="shared" si="260"/>
        <v>#NUM!</v>
      </c>
      <c r="Z155" s="88" t="e">
        <f t="shared" si="245"/>
        <v>#NUM!</v>
      </c>
      <c r="AA155" t="s">
        <v>282</v>
      </c>
      <c r="AB155" s="89">
        <f t="shared" si="339"/>
        <v>0</v>
      </c>
      <c r="AC155" s="87">
        <f t="shared" si="340"/>
        <v>0</v>
      </c>
      <c r="AD155" s="87" t="str">
        <f t="shared" si="261"/>
        <v/>
      </c>
      <c r="AE155" s="87" t="str">
        <f t="shared" si="262"/>
        <v/>
      </c>
      <c r="AF155" s="86">
        <f t="shared" si="341"/>
        <v>0</v>
      </c>
      <c r="AG155" s="87">
        <f t="shared" si="246"/>
        <v>0</v>
      </c>
      <c r="AH155" s="87">
        <f t="shared" si="342"/>
        <v>0</v>
      </c>
      <c r="AI155" s="90"/>
      <c r="AJ155" s="87" t="e">
        <f t="shared" si="263"/>
        <v>#NUM!</v>
      </c>
      <c r="AK155" s="87" t="e">
        <f t="shared" si="343"/>
        <v>#NUM!</v>
      </c>
      <c r="AL155" s="87" t="e">
        <f t="shared" si="344"/>
        <v>#NUM!</v>
      </c>
      <c r="AM155" s="87" t="e">
        <f t="shared" si="345"/>
        <v>#NUM!</v>
      </c>
      <c r="AN155" s="86">
        <f t="shared" si="264"/>
        <v>0</v>
      </c>
      <c r="AO155" s="87">
        <f t="shared" si="265"/>
        <v>0</v>
      </c>
      <c r="AP155" s="88">
        <f t="shared" si="266"/>
        <v>0</v>
      </c>
      <c r="AR155" s="89">
        <f t="shared" si="267"/>
        <v>0</v>
      </c>
      <c r="AS155" s="87">
        <f t="shared" si="268"/>
        <v>0</v>
      </c>
      <c r="AT155" s="87" t="str">
        <f t="shared" si="269"/>
        <v/>
      </c>
      <c r="AU155" s="87" t="str">
        <f t="shared" si="270"/>
        <v/>
      </c>
      <c r="AV155" s="86">
        <f t="shared" si="346"/>
        <v>0</v>
      </c>
      <c r="AW155" s="87">
        <f t="shared" si="347"/>
        <v>0</v>
      </c>
      <c r="AX155" s="87">
        <f t="shared" si="348"/>
        <v>0</v>
      </c>
      <c r="AY155" s="93"/>
      <c r="AZ155" s="87">
        <f t="shared" si="425"/>
        <v>0</v>
      </c>
      <c r="BA155" s="87">
        <f t="shared" si="349"/>
        <v>0</v>
      </c>
      <c r="BB155" s="87">
        <f t="shared" si="350"/>
        <v>0</v>
      </c>
      <c r="BC155" s="87">
        <f t="shared" si="416"/>
        <v>0</v>
      </c>
      <c r="BD155" s="86" t="e">
        <f t="shared" si="271"/>
        <v>#NUM!</v>
      </c>
      <c r="BE155" s="87" t="e">
        <f t="shared" si="247"/>
        <v>#NUM!</v>
      </c>
      <c r="BF155" s="88">
        <f t="shared" si="351"/>
        <v>0</v>
      </c>
      <c r="BH155" s="87" t="e">
        <f t="shared" si="272"/>
        <v>#NUM!</v>
      </c>
      <c r="BK155" s="95">
        <v>41276</v>
      </c>
      <c r="BL155" s="96">
        <v>76</v>
      </c>
      <c r="CS155" s="108" t="str">
        <f t="shared" si="273"/>
        <v/>
      </c>
      <c r="CT155" s="109" t="str">
        <f t="shared" si="274"/>
        <v/>
      </c>
      <c r="CU155" s="109" t="str">
        <f t="shared" si="275"/>
        <v/>
      </c>
      <c r="CV155" s="110" t="str">
        <f t="shared" si="225"/>
        <v/>
      </c>
      <c r="CX155" s="108" t="str">
        <f t="shared" si="276"/>
        <v/>
      </c>
      <c r="CY155" s="109" t="str">
        <f t="shared" si="352"/>
        <v/>
      </c>
      <c r="CZ155" s="109" t="str">
        <f t="shared" si="277"/>
        <v/>
      </c>
      <c r="DA155" s="110" t="str">
        <f t="shared" si="226"/>
        <v/>
      </c>
      <c r="DC155" s="108" t="str">
        <f t="shared" si="353"/>
        <v/>
      </c>
      <c r="DD155" s="109" t="str">
        <f t="shared" si="354"/>
        <v/>
      </c>
      <c r="DE155" s="109" t="str">
        <f t="shared" si="278"/>
        <v/>
      </c>
      <c r="DF155" s="110" t="str">
        <f t="shared" si="227"/>
        <v/>
      </c>
      <c r="DH155" s="108" t="str">
        <f t="shared" si="279"/>
        <v/>
      </c>
      <c r="DI155" s="109" t="str">
        <f t="shared" si="280"/>
        <v/>
      </c>
      <c r="DJ155" s="109" t="str">
        <f t="shared" si="281"/>
        <v/>
      </c>
      <c r="DK155" s="110" t="str">
        <f t="shared" si="228"/>
        <v/>
      </c>
      <c r="DM155" s="108" t="str">
        <f t="shared" si="355"/>
        <v/>
      </c>
      <c r="DN155" s="109" t="str">
        <f t="shared" si="356"/>
        <v/>
      </c>
      <c r="DO155" s="109" t="str">
        <f t="shared" si="282"/>
        <v/>
      </c>
      <c r="DP155" s="110" t="str">
        <f t="shared" si="229"/>
        <v/>
      </c>
      <c r="DR155" s="108" t="str">
        <f t="shared" si="283"/>
        <v/>
      </c>
      <c r="DS155" s="109" t="str">
        <f t="shared" si="357"/>
        <v/>
      </c>
      <c r="DT155" s="109" t="str">
        <f t="shared" si="284"/>
        <v/>
      </c>
      <c r="DU155" s="110" t="str">
        <f t="shared" si="230"/>
        <v/>
      </c>
      <c r="DW155" s="108" t="str">
        <f t="shared" si="358"/>
        <v/>
      </c>
      <c r="DX155" s="109" t="str">
        <f t="shared" si="359"/>
        <v/>
      </c>
      <c r="DY155" s="109" t="str">
        <f t="shared" si="285"/>
        <v/>
      </c>
      <c r="DZ155" s="110" t="str">
        <f t="shared" si="231"/>
        <v/>
      </c>
      <c r="EB155" s="108" t="str">
        <f t="shared" si="286"/>
        <v/>
      </c>
      <c r="EC155" s="109" t="str">
        <f t="shared" si="360"/>
        <v/>
      </c>
      <c r="ED155" s="109" t="str">
        <f t="shared" si="287"/>
        <v/>
      </c>
      <c r="EE155" s="110" t="str">
        <f t="shared" si="232"/>
        <v/>
      </c>
      <c r="EG155" s="108" t="str">
        <f t="shared" si="361"/>
        <v/>
      </c>
      <c r="EH155" s="109" t="str">
        <f t="shared" si="362"/>
        <v/>
      </c>
      <c r="EI155" s="109" t="str">
        <f t="shared" si="288"/>
        <v/>
      </c>
      <c r="EJ155" s="110" t="str">
        <f t="shared" si="233"/>
        <v/>
      </c>
      <c r="EL155" s="108" t="str">
        <f t="shared" si="289"/>
        <v/>
      </c>
      <c r="EM155" s="109" t="str">
        <f t="shared" si="363"/>
        <v/>
      </c>
      <c r="EN155" s="109" t="str">
        <f t="shared" si="290"/>
        <v/>
      </c>
      <c r="EO155" s="110" t="str">
        <f t="shared" si="234"/>
        <v/>
      </c>
      <c r="EQ155" s="108" t="str">
        <f t="shared" si="364"/>
        <v/>
      </c>
      <c r="ER155" s="109" t="str">
        <f t="shared" si="365"/>
        <v/>
      </c>
      <c r="ES155" s="109" t="str">
        <f t="shared" si="291"/>
        <v/>
      </c>
      <c r="ET155" s="110" t="str">
        <f t="shared" si="235"/>
        <v/>
      </c>
      <c r="EV155" s="108" t="str">
        <f t="shared" si="292"/>
        <v/>
      </c>
      <c r="EW155" s="109" t="str">
        <f t="shared" si="366"/>
        <v/>
      </c>
      <c r="EX155" s="109" t="str">
        <f t="shared" si="293"/>
        <v/>
      </c>
      <c r="EY155" s="110" t="str">
        <f t="shared" si="236"/>
        <v/>
      </c>
      <c r="FA155" s="108" t="str">
        <f t="shared" si="367"/>
        <v/>
      </c>
      <c r="FB155" s="109" t="str">
        <f t="shared" si="368"/>
        <v/>
      </c>
      <c r="FC155" s="109" t="str">
        <f t="shared" si="294"/>
        <v/>
      </c>
      <c r="FD155" s="110" t="str">
        <f t="shared" si="237"/>
        <v/>
      </c>
      <c r="FF155" s="108" t="str">
        <f t="shared" si="295"/>
        <v/>
      </c>
      <c r="FG155" s="109" t="str">
        <f t="shared" si="369"/>
        <v/>
      </c>
      <c r="FH155" s="109" t="str">
        <f t="shared" si="296"/>
        <v/>
      </c>
      <c r="FI155" s="110" t="str">
        <f t="shared" si="238"/>
        <v/>
      </c>
      <c r="FK155" s="108" t="str">
        <f t="shared" si="370"/>
        <v/>
      </c>
      <c r="FL155" s="109" t="str">
        <f t="shared" si="371"/>
        <v/>
      </c>
      <c r="FM155" s="109" t="str">
        <f t="shared" si="297"/>
        <v/>
      </c>
      <c r="FN155" s="110" t="str">
        <f t="shared" si="239"/>
        <v/>
      </c>
      <c r="FP155" s="108" t="str">
        <f t="shared" si="298"/>
        <v/>
      </c>
      <c r="FQ155" s="109" t="str">
        <f t="shared" si="372"/>
        <v/>
      </c>
      <c r="FR155" s="109" t="str">
        <f t="shared" si="299"/>
        <v/>
      </c>
      <c r="FS155" s="110" t="str">
        <f t="shared" si="240"/>
        <v/>
      </c>
      <c r="FU155" s="108" t="str">
        <f t="shared" si="373"/>
        <v/>
      </c>
      <c r="FV155" s="109" t="str">
        <f t="shared" si="374"/>
        <v/>
      </c>
      <c r="FW155" s="109" t="str">
        <f t="shared" si="300"/>
        <v/>
      </c>
      <c r="FX155" s="110" t="str">
        <f t="shared" si="241"/>
        <v/>
      </c>
      <c r="FZ155" s="108" t="str">
        <f t="shared" si="301"/>
        <v/>
      </c>
      <c r="GA155" s="109" t="str">
        <f t="shared" si="375"/>
        <v/>
      </c>
      <c r="GB155" s="109" t="str">
        <f t="shared" si="302"/>
        <v/>
      </c>
      <c r="GC155" s="110" t="str">
        <f t="shared" si="242"/>
        <v/>
      </c>
      <c r="GE155" s="108" t="str">
        <f t="shared" si="376"/>
        <v/>
      </c>
      <c r="GF155" s="109" t="str">
        <f t="shared" si="377"/>
        <v/>
      </c>
      <c r="GG155" s="109" t="str">
        <f t="shared" si="378"/>
        <v/>
      </c>
      <c r="GH155" s="110" t="str">
        <f t="shared" si="243"/>
        <v/>
      </c>
      <c r="GL155" s="108" t="str">
        <f t="shared" si="303"/>
        <v/>
      </c>
      <c r="GM155" s="109" t="str">
        <f t="shared" si="304"/>
        <v/>
      </c>
      <c r="GN155" s="109" t="str">
        <f t="shared" si="305"/>
        <v/>
      </c>
      <c r="GO155" s="110" t="str">
        <f t="shared" si="306"/>
        <v/>
      </c>
      <c r="GP155" s="51"/>
      <c r="GQ155" s="108" t="str">
        <f t="shared" si="307"/>
        <v/>
      </c>
      <c r="GR155" s="109" t="str">
        <f t="shared" si="379"/>
        <v/>
      </c>
      <c r="GS155" s="109" t="str">
        <f t="shared" si="308"/>
        <v/>
      </c>
      <c r="GT155" s="110" t="str">
        <f t="shared" si="309"/>
        <v/>
      </c>
      <c r="GU155" s="51"/>
      <c r="GV155" s="108" t="str">
        <f t="shared" si="380"/>
        <v/>
      </c>
      <c r="GW155" s="109" t="str">
        <f t="shared" si="381"/>
        <v/>
      </c>
      <c r="GX155" s="109" t="str">
        <f t="shared" si="310"/>
        <v/>
      </c>
      <c r="GY155" s="110" t="str">
        <f t="shared" si="382"/>
        <v/>
      </c>
      <c r="GZ155" s="51"/>
      <c r="HA155" s="108" t="str">
        <f t="shared" si="311"/>
        <v/>
      </c>
      <c r="HB155" s="109" t="str">
        <f t="shared" si="383"/>
        <v/>
      </c>
      <c r="HC155" s="109" t="str">
        <f t="shared" si="312"/>
        <v/>
      </c>
      <c r="HD155" s="110" t="str">
        <f t="shared" si="417"/>
        <v/>
      </c>
      <c r="HE155" s="51"/>
      <c r="HF155" s="108" t="str">
        <f t="shared" si="384"/>
        <v/>
      </c>
      <c r="HG155" s="109" t="str">
        <f t="shared" si="385"/>
        <v/>
      </c>
      <c r="HH155" s="109" t="str">
        <f t="shared" si="313"/>
        <v/>
      </c>
      <c r="HI155" s="110" t="str">
        <f t="shared" si="386"/>
        <v/>
      </c>
      <c r="HJ155" s="51"/>
      <c r="HK155" s="108" t="str">
        <f t="shared" si="314"/>
        <v/>
      </c>
      <c r="HL155" s="109" t="str">
        <f t="shared" si="387"/>
        <v/>
      </c>
      <c r="HM155" s="109" t="str">
        <f t="shared" si="315"/>
        <v/>
      </c>
      <c r="HN155" s="110" t="str">
        <f t="shared" si="418"/>
        <v/>
      </c>
      <c r="HO155" s="51"/>
      <c r="HP155" s="108" t="str">
        <f t="shared" si="388"/>
        <v/>
      </c>
      <c r="HQ155" s="109" t="str">
        <f t="shared" si="389"/>
        <v/>
      </c>
      <c r="HR155" s="109" t="str">
        <f t="shared" si="316"/>
        <v/>
      </c>
      <c r="HS155" s="110" t="str">
        <f t="shared" si="390"/>
        <v/>
      </c>
      <c r="HT155" s="51"/>
      <c r="HU155" s="108" t="str">
        <f t="shared" si="317"/>
        <v/>
      </c>
      <c r="HV155" s="109" t="str">
        <f t="shared" si="391"/>
        <v/>
      </c>
      <c r="HW155" s="109" t="str">
        <f t="shared" si="318"/>
        <v/>
      </c>
      <c r="HX155" s="110" t="str">
        <f t="shared" si="419"/>
        <v/>
      </c>
      <c r="HY155" s="51"/>
      <c r="HZ155" s="108" t="str">
        <f t="shared" si="392"/>
        <v/>
      </c>
      <c r="IA155" s="109" t="str">
        <f t="shared" si="393"/>
        <v/>
      </c>
      <c r="IB155" s="109" t="str">
        <f t="shared" si="319"/>
        <v/>
      </c>
      <c r="IC155" s="110" t="str">
        <f t="shared" si="394"/>
        <v/>
      </c>
      <c r="ID155" s="51"/>
      <c r="IE155" s="108" t="str">
        <f t="shared" si="320"/>
        <v/>
      </c>
      <c r="IF155" s="109" t="str">
        <f t="shared" si="395"/>
        <v/>
      </c>
      <c r="IG155" s="109" t="str">
        <f t="shared" si="321"/>
        <v/>
      </c>
      <c r="IH155" s="110" t="str">
        <f t="shared" si="420"/>
        <v/>
      </c>
      <c r="II155" s="51"/>
      <c r="IJ155" s="108" t="str">
        <f t="shared" si="396"/>
        <v/>
      </c>
      <c r="IK155" s="109" t="str">
        <f t="shared" si="397"/>
        <v/>
      </c>
      <c r="IL155" s="109" t="str">
        <f t="shared" si="322"/>
        <v/>
      </c>
      <c r="IM155" s="110" t="str">
        <f t="shared" si="398"/>
        <v/>
      </c>
      <c r="IN155" s="51"/>
      <c r="IO155" s="108" t="str">
        <f t="shared" si="323"/>
        <v/>
      </c>
      <c r="IP155" s="109" t="str">
        <f t="shared" si="399"/>
        <v/>
      </c>
      <c r="IQ155" s="109" t="str">
        <f t="shared" si="324"/>
        <v/>
      </c>
      <c r="IR155" s="110" t="str">
        <f t="shared" si="421"/>
        <v/>
      </c>
      <c r="IS155" s="51"/>
      <c r="IT155" s="108" t="str">
        <f t="shared" si="400"/>
        <v/>
      </c>
      <c r="IU155" s="109" t="str">
        <f t="shared" si="401"/>
        <v/>
      </c>
      <c r="IV155" s="109" t="str">
        <f t="shared" si="325"/>
        <v/>
      </c>
      <c r="IW155" s="110" t="str">
        <f t="shared" si="402"/>
        <v/>
      </c>
      <c r="IX155" s="51"/>
      <c r="IY155" s="108" t="str">
        <f t="shared" si="326"/>
        <v/>
      </c>
      <c r="IZ155" s="109" t="str">
        <f t="shared" si="403"/>
        <v/>
      </c>
      <c r="JA155" s="109" t="str">
        <f t="shared" si="327"/>
        <v/>
      </c>
      <c r="JB155" s="110" t="str">
        <f t="shared" si="422"/>
        <v/>
      </c>
      <c r="JC155" s="51"/>
      <c r="JD155" s="108" t="str">
        <f t="shared" si="404"/>
        <v/>
      </c>
      <c r="JE155" s="109" t="str">
        <f t="shared" si="405"/>
        <v/>
      </c>
      <c r="JF155" s="109" t="str">
        <f t="shared" si="328"/>
        <v/>
      </c>
      <c r="JG155" s="110" t="str">
        <f t="shared" si="406"/>
        <v/>
      </c>
      <c r="JH155" s="51"/>
      <c r="JI155" s="108" t="str">
        <f t="shared" si="329"/>
        <v/>
      </c>
      <c r="JJ155" s="109" t="str">
        <f t="shared" si="407"/>
        <v/>
      </c>
      <c r="JK155" s="109" t="str">
        <f t="shared" si="330"/>
        <v/>
      </c>
      <c r="JL155" s="110" t="str">
        <f t="shared" si="423"/>
        <v/>
      </c>
      <c r="JM155" s="51"/>
      <c r="JN155" s="108" t="str">
        <f t="shared" si="408"/>
        <v/>
      </c>
      <c r="JO155" s="109" t="str">
        <f t="shared" si="409"/>
        <v/>
      </c>
      <c r="JP155" s="109" t="str">
        <f t="shared" si="331"/>
        <v/>
      </c>
      <c r="JQ155" s="110" t="str">
        <f t="shared" si="410"/>
        <v/>
      </c>
      <c r="JR155" s="51"/>
      <c r="JS155" s="108" t="str">
        <f t="shared" si="332"/>
        <v/>
      </c>
      <c r="JT155" s="109" t="str">
        <f t="shared" si="411"/>
        <v/>
      </c>
      <c r="JU155" s="109" t="str">
        <f t="shared" si="333"/>
        <v/>
      </c>
      <c r="JV155" s="110" t="str">
        <f t="shared" si="424"/>
        <v/>
      </c>
      <c r="JW155" s="51"/>
      <c r="JX155" s="108" t="str">
        <f t="shared" si="412"/>
        <v/>
      </c>
      <c r="JY155" s="109" t="str">
        <f t="shared" si="413"/>
        <v/>
      </c>
      <c r="JZ155" s="109" t="str">
        <f t="shared" si="334"/>
        <v/>
      </c>
      <c r="KA155" s="110" t="str">
        <f t="shared" si="335"/>
        <v/>
      </c>
    </row>
    <row r="156" spans="1:287" ht="12" customHeight="1">
      <c r="A156" s="105">
        <f t="array" ref="A156">MAX(IF($J$80:J155&gt;0,$C$80:C155,0))</f>
        <v>43536</v>
      </c>
      <c r="B156" s="81" t="str">
        <f t="shared" si="248"/>
        <v/>
      </c>
      <c r="C156" s="82">
        <f t="shared" si="414"/>
        <v>0</v>
      </c>
      <c r="D156" s="83" t="str">
        <f t="shared" si="249"/>
        <v/>
      </c>
      <c r="E156" s="83" t="str">
        <f t="shared" si="336"/>
        <v/>
      </c>
      <c r="F156" s="83" t="str">
        <f t="shared" si="250"/>
        <v/>
      </c>
      <c r="G156" s="83" t="str">
        <f t="shared" si="251"/>
        <v/>
      </c>
      <c r="H156" s="83" t="str">
        <f t="shared" si="252"/>
        <v/>
      </c>
      <c r="I156" s="105">
        <f t="array" ref="I156">MAX(IF($R$80:R155&gt;0,$L$80:L155,0))</f>
        <v>0</v>
      </c>
      <c r="J156" s="106"/>
      <c r="K156" s="2" t="str">
        <f t="shared" si="253"/>
        <v/>
      </c>
      <c r="L156" s="82">
        <f t="shared" si="415"/>
        <v>0</v>
      </c>
      <c r="M156" s="83" t="str">
        <f t="shared" si="337"/>
        <v/>
      </c>
      <c r="N156" s="83" t="str">
        <f t="shared" si="254"/>
        <v/>
      </c>
      <c r="O156" s="83" t="str">
        <f t="shared" si="255"/>
        <v/>
      </c>
      <c r="P156" s="83" t="str">
        <f t="shared" si="256"/>
        <v/>
      </c>
      <c r="Q156" s="83" t="str">
        <f t="shared" si="257"/>
        <v/>
      </c>
      <c r="R156" s="106"/>
      <c r="S156" s="1"/>
      <c r="U156" s="85" t="e">
        <f t="shared" si="244"/>
        <v>#NUM!</v>
      </c>
      <c r="V156" s="86" t="e">
        <f t="shared" si="338"/>
        <v>#NUM!</v>
      </c>
      <c r="W156" s="87" t="e">
        <f t="shared" si="258"/>
        <v>#NUM!</v>
      </c>
      <c r="X156" s="87" t="e">
        <f t="shared" si="259"/>
        <v>#NUM!</v>
      </c>
      <c r="Y156" s="87" t="e">
        <f t="shared" si="260"/>
        <v>#NUM!</v>
      </c>
      <c r="Z156" s="88" t="e">
        <f t="shared" si="245"/>
        <v>#NUM!</v>
      </c>
      <c r="AA156" t="s">
        <v>282</v>
      </c>
      <c r="AB156" s="89">
        <f t="shared" si="339"/>
        <v>0</v>
      </c>
      <c r="AC156" s="87">
        <f t="shared" si="340"/>
        <v>0</v>
      </c>
      <c r="AD156" s="87" t="str">
        <f t="shared" si="261"/>
        <v/>
      </c>
      <c r="AE156" s="87" t="str">
        <f t="shared" si="262"/>
        <v/>
      </c>
      <c r="AF156" s="86">
        <f t="shared" si="341"/>
        <v>0</v>
      </c>
      <c r="AG156" s="87">
        <f t="shared" si="246"/>
        <v>0</v>
      </c>
      <c r="AH156" s="87">
        <f t="shared" si="342"/>
        <v>0</v>
      </c>
      <c r="AI156" s="90"/>
      <c r="AJ156" s="87" t="e">
        <f t="shared" si="263"/>
        <v>#NUM!</v>
      </c>
      <c r="AK156" s="87" t="e">
        <f t="shared" si="343"/>
        <v>#NUM!</v>
      </c>
      <c r="AL156" s="87" t="e">
        <f t="shared" si="344"/>
        <v>#NUM!</v>
      </c>
      <c r="AM156" s="87" t="e">
        <f t="shared" si="345"/>
        <v>#NUM!</v>
      </c>
      <c r="AN156" s="86">
        <f t="shared" si="264"/>
        <v>0</v>
      </c>
      <c r="AO156" s="87">
        <f t="shared" si="265"/>
        <v>0</v>
      </c>
      <c r="AP156" s="88">
        <f t="shared" si="266"/>
        <v>0</v>
      </c>
      <c r="AR156" s="89">
        <f t="shared" si="267"/>
        <v>0</v>
      </c>
      <c r="AS156" s="87">
        <f t="shared" si="268"/>
        <v>0</v>
      </c>
      <c r="AT156" s="87" t="str">
        <f t="shared" si="269"/>
        <v/>
      </c>
      <c r="AU156" s="87" t="str">
        <f t="shared" si="270"/>
        <v/>
      </c>
      <c r="AV156" s="86">
        <f t="shared" si="346"/>
        <v>0</v>
      </c>
      <c r="AW156" s="87">
        <f t="shared" si="347"/>
        <v>0</v>
      </c>
      <c r="AX156" s="87">
        <f t="shared" si="348"/>
        <v>0</v>
      </c>
      <c r="AY156" s="93"/>
      <c r="AZ156" s="87">
        <f t="shared" si="425"/>
        <v>0</v>
      </c>
      <c r="BA156" s="87">
        <f t="shared" si="349"/>
        <v>0</v>
      </c>
      <c r="BB156" s="87">
        <f t="shared" si="350"/>
        <v>0</v>
      </c>
      <c r="BC156" s="87">
        <f t="shared" si="416"/>
        <v>0</v>
      </c>
      <c r="BD156" s="86" t="e">
        <f t="shared" si="271"/>
        <v>#NUM!</v>
      </c>
      <c r="BE156" s="87" t="e">
        <f t="shared" si="247"/>
        <v>#NUM!</v>
      </c>
      <c r="BF156" s="88">
        <f t="shared" si="351"/>
        <v>0</v>
      </c>
      <c r="BH156" s="87" t="e">
        <f t="shared" si="272"/>
        <v>#NUM!</v>
      </c>
      <c r="BK156" s="95">
        <v>41281</v>
      </c>
      <c r="BL156" s="96">
        <v>77</v>
      </c>
      <c r="BT156" s="51"/>
      <c r="BU156" s="51"/>
      <c r="BV156" s="30"/>
      <c r="BW156" s="107"/>
      <c r="CS156" s="108" t="str">
        <f t="shared" si="273"/>
        <v/>
      </c>
      <c r="CT156" s="109" t="str">
        <f t="shared" si="274"/>
        <v/>
      </c>
      <c r="CU156" s="109" t="str">
        <f t="shared" si="275"/>
        <v/>
      </c>
      <c r="CV156" s="110" t="str">
        <f t="shared" si="225"/>
        <v/>
      </c>
      <c r="CX156" s="108" t="str">
        <f t="shared" si="276"/>
        <v/>
      </c>
      <c r="CY156" s="109" t="str">
        <f t="shared" si="352"/>
        <v/>
      </c>
      <c r="CZ156" s="109" t="str">
        <f t="shared" si="277"/>
        <v/>
      </c>
      <c r="DA156" s="110" t="str">
        <f t="shared" si="226"/>
        <v/>
      </c>
      <c r="DC156" s="108" t="str">
        <f t="shared" si="353"/>
        <v/>
      </c>
      <c r="DD156" s="109" t="str">
        <f t="shared" si="354"/>
        <v/>
      </c>
      <c r="DE156" s="109" t="str">
        <f t="shared" si="278"/>
        <v/>
      </c>
      <c r="DF156" s="110" t="str">
        <f t="shared" si="227"/>
        <v/>
      </c>
      <c r="DH156" s="108" t="str">
        <f t="shared" si="279"/>
        <v/>
      </c>
      <c r="DI156" s="109" t="str">
        <f t="shared" si="280"/>
        <v/>
      </c>
      <c r="DJ156" s="109" t="str">
        <f t="shared" si="281"/>
        <v/>
      </c>
      <c r="DK156" s="110" t="str">
        <f t="shared" si="228"/>
        <v/>
      </c>
      <c r="DM156" s="108" t="str">
        <f t="shared" si="355"/>
        <v/>
      </c>
      <c r="DN156" s="109" t="str">
        <f t="shared" si="356"/>
        <v/>
      </c>
      <c r="DO156" s="109" t="str">
        <f t="shared" si="282"/>
        <v/>
      </c>
      <c r="DP156" s="110" t="str">
        <f t="shared" si="229"/>
        <v/>
      </c>
      <c r="DR156" s="108" t="str">
        <f t="shared" si="283"/>
        <v/>
      </c>
      <c r="DS156" s="109" t="str">
        <f t="shared" si="357"/>
        <v/>
      </c>
      <c r="DT156" s="109" t="str">
        <f t="shared" si="284"/>
        <v/>
      </c>
      <c r="DU156" s="110" t="str">
        <f t="shared" si="230"/>
        <v/>
      </c>
      <c r="DW156" s="108" t="str">
        <f t="shared" si="358"/>
        <v/>
      </c>
      <c r="DX156" s="109" t="str">
        <f t="shared" si="359"/>
        <v/>
      </c>
      <c r="DY156" s="109" t="str">
        <f t="shared" si="285"/>
        <v/>
      </c>
      <c r="DZ156" s="110" t="str">
        <f t="shared" si="231"/>
        <v/>
      </c>
      <c r="EB156" s="108" t="str">
        <f t="shared" si="286"/>
        <v/>
      </c>
      <c r="EC156" s="109" t="str">
        <f t="shared" si="360"/>
        <v/>
      </c>
      <c r="ED156" s="109" t="str">
        <f t="shared" si="287"/>
        <v/>
      </c>
      <c r="EE156" s="110" t="str">
        <f t="shared" si="232"/>
        <v/>
      </c>
      <c r="EG156" s="108" t="str">
        <f t="shared" si="361"/>
        <v/>
      </c>
      <c r="EH156" s="109" t="str">
        <f t="shared" si="362"/>
        <v/>
      </c>
      <c r="EI156" s="109" t="str">
        <f t="shared" si="288"/>
        <v/>
      </c>
      <c r="EJ156" s="110" t="str">
        <f t="shared" si="233"/>
        <v/>
      </c>
      <c r="EL156" s="108" t="str">
        <f t="shared" si="289"/>
        <v/>
      </c>
      <c r="EM156" s="109" t="str">
        <f t="shared" si="363"/>
        <v/>
      </c>
      <c r="EN156" s="109" t="str">
        <f t="shared" si="290"/>
        <v/>
      </c>
      <c r="EO156" s="110" t="str">
        <f t="shared" si="234"/>
        <v/>
      </c>
      <c r="EQ156" s="108" t="str">
        <f t="shared" si="364"/>
        <v/>
      </c>
      <c r="ER156" s="109" t="str">
        <f t="shared" si="365"/>
        <v/>
      </c>
      <c r="ES156" s="109" t="str">
        <f t="shared" si="291"/>
        <v/>
      </c>
      <c r="ET156" s="110" t="str">
        <f t="shared" si="235"/>
        <v/>
      </c>
      <c r="EV156" s="108" t="str">
        <f t="shared" si="292"/>
        <v/>
      </c>
      <c r="EW156" s="109" t="str">
        <f t="shared" si="366"/>
        <v/>
      </c>
      <c r="EX156" s="109" t="str">
        <f t="shared" si="293"/>
        <v/>
      </c>
      <c r="EY156" s="110" t="str">
        <f t="shared" si="236"/>
        <v/>
      </c>
      <c r="FA156" s="108" t="str">
        <f t="shared" si="367"/>
        <v/>
      </c>
      <c r="FB156" s="109" t="str">
        <f t="shared" si="368"/>
        <v/>
      </c>
      <c r="FC156" s="109" t="str">
        <f t="shared" si="294"/>
        <v/>
      </c>
      <c r="FD156" s="110" t="str">
        <f t="shared" si="237"/>
        <v/>
      </c>
      <c r="FF156" s="108" t="str">
        <f t="shared" si="295"/>
        <v/>
      </c>
      <c r="FG156" s="109" t="str">
        <f t="shared" si="369"/>
        <v/>
      </c>
      <c r="FH156" s="109" t="str">
        <f t="shared" si="296"/>
        <v/>
      </c>
      <c r="FI156" s="110" t="str">
        <f t="shared" si="238"/>
        <v/>
      </c>
      <c r="FK156" s="108" t="str">
        <f t="shared" si="370"/>
        <v/>
      </c>
      <c r="FL156" s="109" t="str">
        <f t="shared" si="371"/>
        <v/>
      </c>
      <c r="FM156" s="109" t="str">
        <f t="shared" si="297"/>
        <v/>
      </c>
      <c r="FN156" s="110" t="str">
        <f t="shared" si="239"/>
        <v/>
      </c>
      <c r="FP156" s="108" t="str">
        <f t="shared" si="298"/>
        <v/>
      </c>
      <c r="FQ156" s="109" t="str">
        <f t="shared" si="372"/>
        <v/>
      </c>
      <c r="FR156" s="109" t="str">
        <f t="shared" si="299"/>
        <v/>
      </c>
      <c r="FS156" s="110" t="str">
        <f t="shared" si="240"/>
        <v/>
      </c>
      <c r="FU156" s="108" t="str">
        <f t="shared" si="373"/>
        <v/>
      </c>
      <c r="FV156" s="109" t="str">
        <f t="shared" si="374"/>
        <v/>
      </c>
      <c r="FW156" s="109" t="str">
        <f t="shared" si="300"/>
        <v/>
      </c>
      <c r="FX156" s="110" t="str">
        <f t="shared" si="241"/>
        <v/>
      </c>
      <c r="FZ156" s="108" t="str">
        <f t="shared" si="301"/>
        <v/>
      </c>
      <c r="GA156" s="109" t="str">
        <f t="shared" si="375"/>
        <v/>
      </c>
      <c r="GB156" s="109" t="str">
        <f t="shared" si="302"/>
        <v/>
      </c>
      <c r="GC156" s="110" t="str">
        <f t="shared" si="242"/>
        <v/>
      </c>
      <c r="GE156" s="108" t="str">
        <f t="shared" si="376"/>
        <v/>
      </c>
      <c r="GF156" s="109" t="str">
        <f t="shared" si="377"/>
        <v/>
      </c>
      <c r="GG156" s="109" t="str">
        <f t="shared" si="378"/>
        <v/>
      </c>
      <c r="GH156" s="110" t="str">
        <f t="shared" si="243"/>
        <v/>
      </c>
      <c r="GL156" s="108" t="str">
        <f t="shared" si="303"/>
        <v/>
      </c>
      <c r="GM156" s="109" t="str">
        <f t="shared" si="304"/>
        <v/>
      </c>
      <c r="GN156" s="109" t="str">
        <f t="shared" si="305"/>
        <v/>
      </c>
      <c r="GO156" s="110" t="str">
        <f t="shared" si="306"/>
        <v/>
      </c>
      <c r="GP156" s="51"/>
      <c r="GQ156" s="108" t="str">
        <f t="shared" si="307"/>
        <v/>
      </c>
      <c r="GR156" s="109" t="str">
        <f t="shared" si="379"/>
        <v/>
      </c>
      <c r="GS156" s="109" t="str">
        <f t="shared" si="308"/>
        <v/>
      </c>
      <c r="GT156" s="110" t="str">
        <f t="shared" si="309"/>
        <v/>
      </c>
      <c r="GU156" s="51"/>
      <c r="GV156" s="108" t="str">
        <f t="shared" si="380"/>
        <v/>
      </c>
      <c r="GW156" s="109" t="str">
        <f t="shared" si="381"/>
        <v/>
      </c>
      <c r="GX156" s="109" t="str">
        <f t="shared" si="310"/>
        <v/>
      </c>
      <c r="GY156" s="110" t="str">
        <f t="shared" si="382"/>
        <v/>
      </c>
      <c r="GZ156" s="51"/>
      <c r="HA156" s="108" t="str">
        <f t="shared" si="311"/>
        <v/>
      </c>
      <c r="HB156" s="109" t="str">
        <f t="shared" si="383"/>
        <v/>
      </c>
      <c r="HC156" s="109" t="str">
        <f t="shared" si="312"/>
        <v/>
      </c>
      <c r="HD156" s="110" t="str">
        <f t="shared" si="417"/>
        <v/>
      </c>
      <c r="HE156" s="51"/>
      <c r="HF156" s="108" t="str">
        <f t="shared" si="384"/>
        <v/>
      </c>
      <c r="HG156" s="109" t="str">
        <f t="shared" si="385"/>
        <v/>
      </c>
      <c r="HH156" s="109" t="str">
        <f t="shared" si="313"/>
        <v/>
      </c>
      <c r="HI156" s="110" t="str">
        <f t="shared" si="386"/>
        <v/>
      </c>
      <c r="HJ156" s="51"/>
      <c r="HK156" s="108" t="str">
        <f t="shared" si="314"/>
        <v/>
      </c>
      <c r="HL156" s="109" t="str">
        <f t="shared" si="387"/>
        <v/>
      </c>
      <c r="HM156" s="109" t="str">
        <f t="shared" si="315"/>
        <v/>
      </c>
      <c r="HN156" s="110" t="str">
        <f t="shared" si="418"/>
        <v/>
      </c>
      <c r="HO156" s="51"/>
      <c r="HP156" s="108" t="str">
        <f t="shared" si="388"/>
        <v/>
      </c>
      <c r="HQ156" s="109" t="str">
        <f t="shared" si="389"/>
        <v/>
      </c>
      <c r="HR156" s="109" t="str">
        <f t="shared" si="316"/>
        <v/>
      </c>
      <c r="HS156" s="110" t="str">
        <f t="shared" si="390"/>
        <v/>
      </c>
      <c r="HT156" s="51"/>
      <c r="HU156" s="108" t="str">
        <f t="shared" si="317"/>
        <v/>
      </c>
      <c r="HV156" s="109" t="str">
        <f t="shared" si="391"/>
        <v/>
      </c>
      <c r="HW156" s="109" t="str">
        <f t="shared" si="318"/>
        <v/>
      </c>
      <c r="HX156" s="110" t="str">
        <f t="shared" si="419"/>
        <v/>
      </c>
      <c r="HY156" s="51"/>
      <c r="HZ156" s="108" t="str">
        <f t="shared" si="392"/>
        <v/>
      </c>
      <c r="IA156" s="109" t="str">
        <f t="shared" si="393"/>
        <v/>
      </c>
      <c r="IB156" s="109" t="str">
        <f t="shared" si="319"/>
        <v/>
      </c>
      <c r="IC156" s="110" t="str">
        <f t="shared" si="394"/>
        <v/>
      </c>
      <c r="ID156" s="51"/>
      <c r="IE156" s="108" t="str">
        <f t="shared" si="320"/>
        <v/>
      </c>
      <c r="IF156" s="109" t="str">
        <f t="shared" si="395"/>
        <v/>
      </c>
      <c r="IG156" s="109" t="str">
        <f t="shared" si="321"/>
        <v/>
      </c>
      <c r="IH156" s="110" t="str">
        <f t="shared" si="420"/>
        <v/>
      </c>
      <c r="II156" s="51"/>
      <c r="IJ156" s="108" t="str">
        <f t="shared" si="396"/>
        <v/>
      </c>
      <c r="IK156" s="109" t="str">
        <f t="shared" si="397"/>
        <v/>
      </c>
      <c r="IL156" s="109" t="str">
        <f t="shared" si="322"/>
        <v/>
      </c>
      <c r="IM156" s="110" t="str">
        <f t="shared" si="398"/>
        <v/>
      </c>
      <c r="IN156" s="51"/>
      <c r="IO156" s="108" t="str">
        <f t="shared" si="323"/>
        <v/>
      </c>
      <c r="IP156" s="109" t="str">
        <f t="shared" si="399"/>
        <v/>
      </c>
      <c r="IQ156" s="109" t="str">
        <f t="shared" si="324"/>
        <v/>
      </c>
      <c r="IR156" s="110" t="str">
        <f t="shared" si="421"/>
        <v/>
      </c>
      <c r="IS156" s="51"/>
      <c r="IT156" s="108" t="str">
        <f t="shared" si="400"/>
        <v/>
      </c>
      <c r="IU156" s="109" t="str">
        <f t="shared" si="401"/>
        <v/>
      </c>
      <c r="IV156" s="109" t="str">
        <f t="shared" si="325"/>
        <v/>
      </c>
      <c r="IW156" s="110" t="str">
        <f t="shared" si="402"/>
        <v/>
      </c>
      <c r="IX156" s="51"/>
      <c r="IY156" s="108" t="str">
        <f t="shared" si="326"/>
        <v/>
      </c>
      <c r="IZ156" s="109" t="str">
        <f t="shared" si="403"/>
        <v/>
      </c>
      <c r="JA156" s="109" t="str">
        <f t="shared" si="327"/>
        <v/>
      </c>
      <c r="JB156" s="110" t="str">
        <f t="shared" si="422"/>
        <v/>
      </c>
      <c r="JC156" s="51"/>
      <c r="JD156" s="108" t="str">
        <f t="shared" si="404"/>
        <v/>
      </c>
      <c r="JE156" s="109" t="str">
        <f t="shared" si="405"/>
        <v/>
      </c>
      <c r="JF156" s="109" t="str">
        <f t="shared" si="328"/>
        <v/>
      </c>
      <c r="JG156" s="110" t="str">
        <f t="shared" si="406"/>
        <v/>
      </c>
      <c r="JH156" s="51"/>
      <c r="JI156" s="108" t="str">
        <f t="shared" si="329"/>
        <v/>
      </c>
      <c r="JJ156" s="109" t="str">
        <f t="shared" si="407"/>
        <v/>
      </c>
      <c r="JK156" s="109" t="str">
        <f t="shared" si="330"/>
        <v/>
      </c>
      <c r="JL156" s="110" t="str">
        <f t="shared" si="423"/>
        <v/>
      </c>
      <c r="JM156" s="51"/>
      <c r="JN156" s="108" t="str">
        <f t="shared" si="408"/>
        <v/>
      </c>
      <c r="JO156" s="109" t="str">
        <f t="shared" si="409"/>
        <v/>
      </c>
      <c r="JP156" s="109" t="str">
        <f t="shared" si="331"/>
        <v/>
      </c>
      <c r="JQ156" s="110" t="str">
        <f t="shared" si="410"/>
        <v/>
      </c>
      <c r="JR156" s="51"/>
      <c r="JS156" s="108" t="str">
        <f t="shared" si="332"/>
        <v/>
      </c>
      <c r="JT156" s="109" t="str">
        <f t="shared" si="411"/>
        <v/>
      </c>
      <c r="JU156" s="109" t="str">
        <f t="shared" si="333"/>
        <v/>
      </c>
      <c r="JV156" s="110" t="str">
        <f t="shared" si="424"/>
        <v/>
      </c>
      <c r="JW156" s="51"/>
      <c r="JX156" s="108" t="str">
        <f t="shared" si="412"/>
        <v/>
      </c>
      <c r="JY156" s="109" t="str">
        <f t="shared" si="413"/>
        <v/>
      </c>
      <c r="JZ156" s="109" t="str">
        <f t="shared" si="334"/>
        <v/>
      </c>
      <c r="KA156" s="110" t="str">
        <f t="shared" si="335"/>
        <v/>
      </c>
    </row>
    <row r="157" spans="1:287" ht="12" customHeight="1">
      <c r="A157" s="105">
        <f t="array" ref="A157">MAX(IF($J$80:J156&gt;0,$C$80:C156,0))</f>
        <v>43536</v>
      </c>
      <c r="B157" s="81" t="str">
        <f t="shared" si="248"/>
        <v/>
      </c>
      <c r="C157" s="82">
        <f t="shared" si="414"/>
        <v>0</v>
      </c>
      <c r="D157" s="83" t="str">
        <f t="shared" si="249"/>
        <v/>
      </c>
      <c r="E157" s="83" t="str">
        <f t="shared" si="336"/>
        <v/>
      </c>
      <c r="F157" s="83" t="str">
        <f t="shared" si="250"/>
        <v/>
      </c>
      <c r="G157" s="83" t="str">
        <f t="shared" si="251"/>
        <v/>
      </c>
      <c r="H157" s="83" t="str">
        <f t="shared" si="252"/>
        <v/>
      </c>
      <c r="I157" s="105">
        <f t="array" ref="I157">MAX(IF($R$80:R156&gt;0,$L$80:L156,0))</f>
        <v>0</v>
      </c>
      <c r="J157" s="106"/>
      <c r="K157" s="2" t="str">
        <f t="shared" si="253"/>
        <v/>
      </c>
      <c r="L157" s="82">
        <f t="shared" si="415"/>
        <v>0</v>
      </c>
      <c r="M157" s="83" t="str">
        <f t="shared" si="337"/>
        <v/>
      </c>
      <c r="N157" s="83" t="str">
        <f t="shared" si="254"/>
        <v/>
      </c>
      <c r="O157" s="83" t="str">
        <f t="shared" si="255"/>
        <v/>
      </c>
      <c r="P157" s="83" t="str">
        <f t="shared" si="256"/>
        <v/>
      </c>
      <c r="Q157" s="83" t="str">
        <f t="shared" si="257"/>
        <v/>
      </c>
      <c r="R157" s="106"/>
      <c r="S157" s="1"/>
      <c r="U157" s="85" t="e">
        <f t="shared" si="244"/>
        <v>#NUM!</v>
      </c>
      <c r="V157" s="86" t="e">
        <f t="shared" si="338"/>
        <v>#NUM!</v>
      </c>
      <c r="W157" s="87" t="e">
        <f t="shared" si="258"/>
        <v>#NUM!</v>
      </c>
      <c r="X157" s="87" t="e">
        <f t="shared" si="259"/>
        <v>#NUM!</v>
      </c>
      <c r="Y157" s="87" t="e">
        <f t="shared" si="260"/>
        <v>#NUM!</v>
      </c>
      <c r="Z157" s="88" t="e">
        <f t="shared" si="245"/>
        <v>#NUM!</v>
      </c>
      <c r="AA157" t="s">
        <v>282</v>
      </c>
      <c r="AB157" s="89">
        <f t="shared" si="339"/>
        <v>0</v>
      </c>
      <c r="AC157" s="87">
        <f t="shared" si="340"/>
        <v>0</v>
      </c>
      <c r="AD157" s="87" t="str">
        <f t="shared" si="261"/>
        <v/>
      </c>
      <c r="AE157" s="87" t="str">
        <f t="shared" si="262"/>
        <v/>
      </c>
      <c r="AF157" s="86">
        <f t="shared" si="341"/>
        <v>0</v>
      </c>
      <c r="AG157" s="87">
        <f t="shared" si="246"/>
        <v>0</v>
      </c>
      <c r="AH157" s="87">
        <f t="shared" si="342"/>
        <v>0</v>
      </c>
      <c r="AI157" s="90"/>
      <c r="AJ157" s="87" t="e">
        <f t="shared" si="263"/>
        <v>#NUM!</v>
      </c>
      <c r="AK157" s="87" t="e">
        <f t="shared" si="343"/>
        <v>#NUM!</v>
      </c>
      <c r="AL157" s="87" t="e">
        <f t="shared" si="344"/>
        <v>#NUM!</v>
      </c>
      <c r="AM157" s="87" t="e">
        <f t="shared" si="345"/>
        <v>#NUM!</v>
      </c>
      <c r="AN157" s="86">
        <f t="shared" si="264"/>
        <v>0</v>
      </c>
      <c r="AO157" s="87">
        <f t="shared" si="265"/>
        <v>0</v>
      </c>
      <c r="AP157" s="88">
        <f t="shared" si="266"/>
        <v>0</v>
      </c>
      <c r="AR157" s="89">
        <f t="shared" si="267"/>
        <v>0</v>
      </c>
      <c r="AS157" s="87">
        <f t="shared" si="268"/>
        <v>0</v>
      </c>
      <c r="AT157" s="87" t="str">
        <f t="shared" si="269"/>
        <v/>
      </c>
      <c r="AU157" s="87" t="str">
        <f t="shared" si="270"/>
        <v/>
      </c>
      <c r="AV157" s="86">
        <f t="shared" si="346"/>
        <v>0</v>
      </c>
      <c r="AW157" s="87">
        <f t="shared" si="347"/>
        <v>0</v>
      </c>
      <c r="AX157" s="87">
        <f t="shared" si="348"/>
        <v>0</v>
      </c>
      <c r="AY157" s="93"/>
      <c r="AZ157" s="87">
        <f t="shared" si="425"/>
        <v>0</v>
      </c>
      <c r="BA157" s="87">
        <f t="shared" si="349"/>
        <v>0</v>
      </c>
      <c r="BB157" s="87">
        <f t="shared" si="350"/>
        <v>0</v>
      </c>
      <c r="BC157" s="87">
        <f t="shared" si="416"/>
        <v>0</v>
      </c>
      <c r="BD157" s="86" t="e">
        <f t="shared" si="271"/>
        <v>#NUM!</v>
      </c>
      <c r="BE157" s="87" t="e">
        <f t="shared" si="247"/>
        <v>#NUM!</v>
      </c>
      <c r="BF157" s="88">
        <f t="shared" si="351"/>
        <v>0</v>
      </c>
      <c r="BH157" s="87" t="e">
        <f t="shared" si="272"/>
        <v>#NUM!</v>
      </c>
      <c r="BK157" s="95">
        <v>41293</v>
      </c>
      <c r="BL157" s="96">
        <v>78</v>
      </c>
      <c r="BT157" s="51"/>
      <c r="BU157" s="51"/>
      <c r="BV157" s="30"/>
      <c r="BW157" s="107"/>
      <c r="CS157" s="108" t="str">
        <f t="shared" si="273"/>
        <v/>
      </c>
      <c r="CT157" s="109" t="str">
        <f t="shared" si="274"/>
        <v/>
      </c>
      <c r="CU157" s="109" t="str">
        <f t="shared" si="275"/>
        <v/>
      </c>
      <c r="CV157" s="110" t="str">
        <f t="shared" si="225"/>
        <v/>
      </c>
      <c r="CX157" s="108" t="str">
        <f t="shared" si="276"/>
        <v/>
      </c>
      <c r="CY157" s="109" t="str">
        <f t="shared" si="352"/>
        <v/>
      </c>
      <c r="CZ157" s="109" t="str">
        <f t="shared" si="277"/>
        <v/>
      </c>
      <c r="DA157" s="110" t="str">
        <f t="shared" si="226"/>
        <v/>
      </c>
      <c r="DC157" s="108" t="str">
        <f t="shared" si="353"/>
        <v/>
      </c>
      <c r="DD157" s="109" t="str">
        <f t="shared" si="354"/>
        <v/>
      </c>
      <c r="DE157" s="109" t="str">
        <f t="shared" si="278"/>
        <v/>
      </c>
      <c r="DF157" s="110" t="str">
        <f t="shared" si="227"/>
        <v/>
      </c>
      <c r="DH157" s="108" t="str">
        <f t="shared" si="279"/>
        <v/>
      </c>
      <c r="DI157" s="109" t="str">
        <f t="shared" si="280"/>
        <v/>
      </c>
      <c r="DJ157" s="109" t="str">
        <f t="shared" si="281"/>
        <v/>
      </c>
      <c r="DK157" s="110" t="str">
        <f t="shared" si="228"/>
        <v/>
      </c>
      <c r="DM157" s="108" t="str">
        <f t="shared" si="355"/>
        <v/>
      </c>
      <c r="DN157" s="109" t="str">
        <f t="shared" si="356"/>
        <v/>
      </c>
      <c r="DO157" s="109" t="str">
        <f t="shared" si="282"/>
        <v/>
      </c>
      <c r="DP157" s="110" t="str">
        <f t="shared" si="229"/>
        <v/>
      </c>
      <c r="DR157" s="108" t="str">
        <f t="shared" si="283"/>
        <v/>
      </c>
      <c r="DS157" s="109" t="str">
        <f t="shared" si="357"/>
        <v/>
      </c>
      <c r="DT157" s="109" t="str">
        <f t="shared" si="284"/>
        <v/>
      </c>
      <c r="DU157" s="110" t="str">
        <f t="shared" si="230"/>
        <v/>
      </c>
      <c r="DW157" s="108" t="str">
        <f t="shared" si="358"/>
        <v/>
      </c>
      <c r="DX157" s="109" t="str">
        <f t="shared" si="359"/>
        <v/>
      </c>
      <c r="DY157" s="109" t="str">
        <f t="shared" si="285"/>
        <v/>
      </c>
      <c r="DZ157" s="110" t="str">
        <f t="shared" si="231"/>
        <v/>
      </c>
      <c r="EB157" s="108" t="str">
        <f t="shared" si="286"/>
        <v/>
      </c>
      <c r="EC157" s="109" t="str">
        <f t="shared" si="360"/>
        <v/>
      </c>
      <c r="ED157" s="109" t="str">
        <f t="shared" si="287"/>
        <v/>
      </c>
      <c r="EE157" s="110" t="str">
        <f t="shared" si="232"/>
        <v/>
      </c>
      <c r="EG157" s="108" t="str">
        <f t="shared" si="361"/>
        <v/>
      </c>
      <c r="EH157" s="109" t="str">
        <f t="shared" si="362"/>
        <v/>
      </c>
      <c r="EI157" s="109" t="str">
        <f t="shared" si="288"/>
        <v/>
      </c>
      <c r="EJ157" s="110" t="str">
        <f t="shared" si="233"/>
        <v/>
      </c>
      <c r="EL157" s="108" t="str">
        <f t="shared" si="289"/>
        <v/>
      </c>
      <c r="EM157" s="109" t="str">
        <f t="shared" si="363"/>
        <v/>
      </c>
      <c r="EN157" s="109" t="str">
        <f t="shared" si="290"/>
        <v/>
      </c>
      <c r="EO157" s="110" t="str">
        <f t="shared" si="234"/>
        <v/>
      </c>
      <c r="EQ157" s="108" t="str">
        <f t="shared" si="364"/>
        <v/>
      </c>
      <c r="ER157" s="109" t="str">
        <f t="shared" si="365"/>
        <v/>
      </c>
      <c r="ES157" s="109" t="str">
        <f t="shared" si="291"/>
        <v/>
      </c>
      <c r="ET157" s="110" t="str">
        <f t="shared" si="235"/>
        <v/>
      </c>
      <c r="EV157" s="108" t="str">
        <f t="shared" si="292"/>
        <v/>
      </c>
      <c r="EW157" s="109" t="str">
        <f t="shared" si="366"/>
        <v/>
      </c>
      <c r="EX157" s="109" t="str">
        <f t="shared" si="293"/>
        <v/>
      </c>
      <c r="EY157" s="110" t="str">
        <f t="shared" si="236"/>
        <v/>
      </c>
      <c r="FA157" s="108" t="str">
        <f t="shared" si="367"/>
        <v/>
      </c>
      <c r="FB157" s="109" t="str">
        <f t="shared" si="368"/>
        <v/>
      </c>
      <c r="FC157" s="109" t="str">
        <f t="shared" si="294"/>
        <v/>
      </c>
      <c r="FD157" s="110" t="str">
        <f t="shared" si="237"/>
        <v/>
      </c>
      <c r="FF157" s="108" t="str">
        <f t="shared" si="295"/>
        <v/>
      </c>
      <c r="FG157" s="109" t="str">
        <f t="shared" si="369"/>
        <v/>
      </c>
      <c r="FH157" s="109" t="str">
        <f t="shared" si="296"/>
        <v/>
      </c>
      <c r="FI157" s="110" t="str">
        <f t="shared" si="238"/>
        <v/>
      </c>
      <c r="FK157" s="108" t="str">
        <f t="shared" si="370"/>
        <v/>
      </c>
      <c r="FL157" s="109" t="str">
        <f t="shared" si="371"/>
        <v/>
      </c>
      <c r="FM157" s="109" t="str">
        <f t="shared" si="297"/>
        <v/>
      </c>
      <c r="FN157" s="110" t="str">
        <f t="shared" si="239"/>
        <v/>
      </c>
      <c r="FP157" s="108" t="str">
        <f t="shared" si="298"/>
        <v/>
      </c>
      <c r="FQ157" s="109" t="str">
        <f t="shared" si="372"/>
        <v/>
      </c>
      <c r="FR157" s="109" t="str">
        <f t="shared" si="299"/>
        <v/>
      </c>
      <c r="FS157" s="110" t="str">
        <f t="shared" si="240"/>
        <v/>
      </c>
      <c r="FU157" s="108" t="str">
        <f t="shared" si="373"/>
        <v/>
      </c>
      <c r="FV157" s="109" t="str">
        <f t="shared" si="374"/>
        <v/>
      </c>
      <c r="FW157" s="109" t="str">
        <f t="shared" si="300"/>
        <v/>
      </c>
      <c r="FX157" s="110" t="str">
        <f t="shared" si="241"/>
        <v/>
      </c>
      <c r="FZ157" s="108" t="str">
        <f t="shared" si="301"/>
        <v/>
      </c>
      <c r="GA157" s="109" t="str">
        <f t="shared" si="375"/>
        <v/>
      </c>
      <c r="GB157" s="109" t="str">
        <f t="shared" si="302"/>
        <v/>
      </c>
      <c r="GC157" s="110" t="str">
        <f t="shared" si="242"/>
        <v/>
      </c>
      <c r="GE157" s="108" t="str">
        <f t="shared" si="376"/>
        <v/>
      </c>
      <c r="GF157" s="109" t="str">
        <f t="shared" si="377"/>
        <v/>
      </c>
      <c r="GG157" s="109" t="str">
        <f t="shared" si="378"/>
        <v/>
      </c>
      <c r="GH157" s="110" t="str">
        <f t="shared" si="243"/>
        <v/>
      </c>
      <c r="GL157" s="108" t="str">
        <f t="shared" si="303"/>
        <v/>
      </c>
      <c r="GM157" s="109" t="str">
        <f t="shared" si="304"/>
        <v/>
      </c>
      <c r="GN157" s="109" t="str">
        <f t="shared" si="305"/>
        <v/>
      </c>
      <c r="GO157" s="110" t="str">
        <f t="shared" si="306"/>
        <v/>
      </c>
      <c r="GP157" s="51"/>
      <c r="GQ157" s="108" t="str">
        <f t="shared" si="307"/>
        <v/>
      </c>
      <c r="GR157" s="109" t="str">
        <f t="shared" si="379"/>
        <v/>
      </c>
      <c r="GS157" s="109" t="str">
        <f t="shared" si="308"/>
        <v/>
      </c>
      <c r="GT157" s="110" t="str">
        <f t="shared" si="309"/>
        <v/>
      </c>
      <c r="GU157" s="51"/>
      <c r="GV157" s="108" t="str">
        <f t="shared" si="380"/>
        <v/>
      </c>
      <c r="GW157" s="109" t="str">
        <f t="shared" si="381"/>
        <v/>
      </c>
      <c r="GX157" s="109" t="str">
        <f t="shared" si="310"/>
        <v/>
      </c>
      <c r="GY157" s="110" t="str">
        <f t="shared" si="382"/>
        <v/>
      </c>
      <c r="GZ157" s="51"/>
      <c r="HA157" s="108" t="str">
        <f t="shared" si="311"/>
        <v/>
      </c>
      <c r="HB157" s="109" t="str">
        <f t="shared" si="383"/>
        <v/>
      </c>
      <c r="HC157" s="109" t="str">
        <f t="shared" si="312"/>
        <v/>
      </c>
      <c r="HD157" s="110" t="str">
        <f t="shared" si="417"/>
        <v/>
      </c>
      <c r="HE157" s="51"/>
      <c r="HF157" s="108" t="str">
        <f t="shared" si="384"/>
        <v/>
      </c>
      <c r="HG157" s="109" t="str">
        <f t="shared" si="385"/>
        <v/>
      </c>
      <c r="HH157" s="109" t="str">
        <f t="shared" si="313"/>
        <v/>
      </c>
      <c r="HI157" s="110" t="str">
        <f t="shared" si="386"/>
        <v/>
      </c>
      <c r="HJ157" s="51"/>
      <c r="HK157" s="108" t="str">
        <f t="shared" si="314"/>
        <v/>
      </c>
      <c r="HL157" s="109" t="str">
        <f t="shared" si="387"/>
        <v/>
      </c>
      <c r="HM157" s="109" t="str">
        <f t="shared" si="315"/>
        <v/>
      </c>
      <c r="HN157" s="110" t="str">
        <f t="shared" si="418"/>
        <v/>
      </c>
      <c r="HO157" s="51"/>
      <c r="HP157" s="108" t="str">
        <f t="shared" si="388"/>
        <v/>
      </c>
      <c r="HQ157" s="109" t="str">
        <f t="shared" si="389"/>
        <v/>
      </c>
      <c r="HR157" s="109" t="str">
        <f t="shared" si="316"/>
        <v/>
      </c>
      <c r="HS157" s="110" t="str">
        <f t="shared" si="390"/>
        <v/>
      </c>
      <c r="HT157" s="51"/>
      <c r="HU157" s="108" t="str">
        <f t="shared" si="317"/>
        <v/>
      </c>
      <c r="HV157" s="109" t="str">
        <f t="shared" si="391"/>
        <v/>
      </c>
      <c r="HW157" s="109" t="str">
        <f t="shared" si="318"/>
        <v/>
      </c>
      <c r="HX157" s="110" t="str">
        <f t="shared" si="419"/>
        <v/>
      </c>
      <c r="HY157" s="51"/>
      <c r="HZ157" s="108" t="str">
        <f t="shared" si="392"/>
        <v/>
      </c>
      <c r="IA157" s="109" t="str">
        <f t="shared" si="393"/>
        <v/>
      </c>
      <c r="IB157" s="109" t="str">
        <f t="shared" si="319"/>
        <v/>
      </c>
      <c r="IC157" s="110" t="str">
        <f t="shared" si="394"/>
        <v/>
      </c>
      <c r="ID157" s="51"/>
      <c r="IE157" s="108" t="str">
        <f t="shared" si="320"/>
        <v/>
      </c>
      <c r="IF157" s="109" t="str">
        <f t="shared" si="395"/>
        <v/>
      </c>
      <c r="IG157" s="109" t="str">
        <f t="shared" si="321"/>
        <v/>
      </c>
      <c r="IH157" s="110" t="str">
        <f t="shared" si="420"/>
        <v/>
      </c>
      <c r="II157" s="51"/>
      <c r="IJ157" s="108" t="str">
        <f t="shared" si="396"/>
        <v/>
      </c>
      <c r="IK157" s="109" t="str">
        <f t="shared" si="397"/>
        <v/>
      </c>
      <c r="IL157" s="109" t="str">
        <f t="shared" si="322"/>
        <v/>
      </c>
      <c r="IM157" s="110" t="str">
        <f t="shared" si="398"/>
        <v/>
      </c>
      <c r="IN157" s="51"/>
      <c r="IO157" s="108" t="str">
        <f t="shared" si="323"/>
        <v/>
      </c>
      <c r="IP157" s="109" t="str">
        <f t="shared" si="399"/>
        <v/>
      </c>
      <c r="IQ157" s="109" t="str">
        <f t="shared" si="324"/>
        <v/>
      </c>
      <c r="IR157" s="110" t="str">
        <f t="shared" si="421"/>
        <v/>
      </c>
      <c r="IS157" s="51"/>
      <c r="IT157" s="108" t="str">
        <f t="shared" si="400"/>
        <v/>
      </c>
      <c r="IU157" s="109" t="str">
        <f t="shared" si="401"/>
        <v/>
      </c>
      <c r="IV157" s="109" t="str">
        <f t="shared" si="325"/>
        <v/>
      </c>
      <c r="IW157" s="110" t="str">
        <f t="shared" si="402"/>
        <v/>
      </c>
      <c r="IX157" s="51"/>
      <c r="IY157" s="108" t="str">
        <f t="shared" si="326"/>
        <v/>
      </c>
      <c r="IZ157" s="109" t="str">
        <f t="shared" si="403"/>
        <v/>
      </c>
      <c r="JA157" s="109" t="str">
        <f t="shared" si="327"/>
        <v/>
      </c>
      <c r="JB157" s="110" t="str">
        <f t="shared" si="422"/>
        <v/>
      </c>
      <c r="JC157" s="51"/>
      <c r="JD157" s="108" t="str">
        <f t="shared" si="404"/>
        <v/>
      </c>
      <c r="JE157" s="109" t="str">
        <f t="shared" si="405"/>
        <v/>
      </c>
      <c r="JF157" s="109" t="str">
        <f t="shared" si="328"/>
        <v/>
      </c>
      <c r="JG157" s="110" t="str">
        <f t="shared" si="406"/>
        <v/>
      </c>
      <c r="JH157" s="51"/>
      <c r="JI157" s="108" t="str">
        <f t="shared" si="329"/>
        <v/>
      </c>
      <c r="JJ157" s="109" t="str">
        <f t="shared" si="407"/>
        <v/>
      </c>
      <c r="JK157" s="109" t="str">
        <f t="shared" si="330"/>
        <v/>
      </c>
      <c r="JL157" s="110" t="str">
        <f t="shared" si="423"/>
        <v/>
      </c>
      <c r="JM157" s="51"/>
      <c r="JN157" s="108" t="str">
        <f t="shared" si="408"/>
        <v/>
      </c>
      <c r="JO157" s="109" t="str">
        <f t="shared" si="409"/>
        <v/>
      </c>
      <c r="JP157" s="109" t="str">
        <f t="shared" si="331"/>
        <v/>
      </c>
      <c r="JQ157" s="110" t="str">
        <f t="shared" si="410"/>
        <v/>
      </c>
      <c r="JR157" s="51"/>
      <c r="JS157" s="108" t="str">
        <f t="shared" si="332"/>
        <v/>
      </c>
      <c r="JT157" s="109" t="str">
        <f t="shared" si="411"/>
        <v/>
      </c>
      <c r="JU157" s="109" t="str">
        <f t="shared" si="333"/>
        <v/>
      </c>
      <c r="JV157" s="110" t="str">
        <f t="shared" si="424"/>
        <v/>
      </c>
      <c r="JW157" s="51"/>
      <c r="JX157" s="108" t="str">
        <f t="shared" si="412"/>
        <v/>
      </c>
      <c r="JY157" s="109" t="str">
        <f t="shared" si="413"/>
        <v/>
      </c>
      <c r="JZ157" s="109" t="str">
        <f t="shared" si="334"/>
        <v/>
      </c>
      <c r="KA157" s="110" t="str">
        <f t="shared" si="335"/>
        <v/>
      </c>
    </row>
    <row r="158" spans="1:287" ht="12" customHeight="1">
      <c r="A158" s="105">
        <f t="array" ref="A158">MAX(IF($J$80:J157&gt;0,$C$80:C157,0))</f>
        <v>43536</v>
      </c>
      <c r="B158" s="81" t="str">
        <f t="shared" si="248"/>
        <v/>
      </c>
      <c r="C158" s="82">
        <f t="shared" si="414"/>
        <v>0</v>
      </c>
      <c r="D158" s="83" t="str">
        <f t="shared" si="249"/>
        <v/>
      </c>
      <c r="E158" s="83" t="str">
        <f t="shared" si="336"/>
        <v/>
      </c>
      <c r="F158" s="83" t="str">
        <f t="shared" si="250"/>
        <v/>
      </c>
      <c r="G158" s="83" t="str">
        <f t="shared" si="251"/>
        <v/>
      </c>
      <c r="H158" s="83" t="str">
        <f t="shared" si="252"/>
        <v/>
      </c>
      <c r="I158" s="105">
        <f t="array" ref="I158">MAX(IF($R$80:R157&gt;0,$L$80:L157,0))</f>
        <v>0</v>
      </c>
      <c r="J158" s="106"/>
      <c r="K158" s="2" t="str">
        <f t="shared" si="253"/>
        <v/>
      </c>
      <c r="L158" s="82">
        <f t="shared" si="415"/>
        <v>0</v>
      </c>
      <c r="M158" s="83" t="str">
        <f t="shared" si="337"/>
        <v/>
      </c>
      <c r="N158" s="83" t="str">
        <f t="shared" si="254"/>
        <v/>
      </c>
      <c r="O158" s="83" t="str">
        <f t="shared" si="255"/>
        <v/>
      </c>
      <c r="P158" s="83" t="str">
        <f t="shared" si="256"/>
        <v/>
      </c>
      <c r="Q158" s="83" t="str">
        <f t="shared" si="257"/>
        <v/>
      </c>
      <c r="R158" s="106"/>
      <c r="S158" s="1"/>
      <c r="U158" s="85" t="e">
        <f t="shared" si="244"/>
        <v>#NUM!</v>
      </c>
      <c r="V158" s="86" t="e">
        <f t="shared" si="338"/>
        <v>#NUM!</v>
      </c>
      <c r="W158" s="87" t="e">
        <f t="shared" si="258"/>
        <v>#NUM!</v>
      </c>
      <c r="X158" s="87" t="e">
        <f t="shared" si="259"/>
        <v>#NUM!</v>
      </c>
      <c r="Y158" s="87" t="e">
        <f t="shared" si="260"/>
        <v>#NUM!</v>
      </c>
      <c r="Z158" s="88" t="e">
        <f t="shared" si="245"/>
        <v>#NUM!</v>
      </c>
      <c r="AA158" t="s">
        <v>282</v>
      </c>
      <c r="AB158" s="89">
        <f t="shared" si="339"/>
        <v>0</v>
      </c>
      <c r="AC158" s="87">
        <f t="shared" si="340"/>
        <v>0</v>
      </c>
      <c r="AD158" s="87" t="str">
        <f t="shared" si="261"/>
        <v/>
      </c>
      <c r="AE158" s="87" t="str">
        <f t="shared" si="262"/>
        <v/>
      </c>
      <c r="AF158" s="86">
        <f t="shared" si="341"/>
        <v>0</v>
      </c>
      <c r="AG158" s="87">
        <f t="shared" si="246"/>
        <v>0</v>
      </c>
      <c r="AH158" s="87">
        <f t="shared" si="342"/>
        <v>0</v>
      </c>
      <c r="AI158" s="90"/>
      <c r="AJ158" s="87" t="e">
        <f t="shared" si="263"/>
        <v>#NUM!</v>
      </c>
      <c r="AK158" s="87" t="e">
        <f t="shared" si="343"/>
        <v>#NUM!</v>
      </c>
      <c r="AL158" s="87" t="e">
        <f t="shared" si="344"/>
        <v>#NUM!</v>
      </c>
      <c r="AM158" s="87" t="e">
        <f t="shared" si="345"/>
        <v>#NUM!</v>
      </c>
      <c r="AN158" s="86">
        <f t="shared" si="264"/>
        <v>0</v>
      </c>
      <c r="AO158" s="87">
        <f t="shared" si="265"/>
        <v>0</v>
      </c>
      <c r="AP158" s="88">
        <f t="shared" si="266"/>
        <v>0</v>
      </c>
      <c r="AR158" s="89">
        <f t="shared" si="267"/>
        <v>0</v>
      </c>
      <c r="AS158" s="87">
        <f t="shared" si="268"/>
        <v>0</v>
      </c>
      <c r="AT158" s="87" t="str">
        <f t="shared" si="269"/>
        <v/>
      </c>
      <c r="AU158" s="87" t="str">
        <f t="shared" si="270"/>
        <v/>
      </c>
      <c r="AV158" s="86">
        <f t="shared" si="346"/>
        <v>0</v>
      </c>
      <c r="AW158" s="87">
        <f t="shared" si="347"/>
        <v>0</v>
      </c>
      <c r="AX158" s="87">
        <f t="shared" si="348"/>
        <v>0</v>
      </c>
      <c r="AY158" s="93"/>
      <c r="AZ158" s="87">
        <f t="shared" si="425"/>
        <v>0</v>
      </c>
      <c r="BA158" s="87">
        <f t="shared" si="349"/>
        <v>0</v>
      </c>
      <c r="BB158" s="87">
        <f t="shared" si="350"/>
        <v>0</v>
      </c>
      <c r="BC158" s="87">
        <f t="shared" si="416"/>
        <v>0</v>
      </c>
      <c r="BD158" s="86" t="e">
        <f t="shared" si="271"/>
        <v>#NUM!</v>
      </c>
      <c r="BE158" s="87" t="e">
        <f t="shared" si="247"/>
        <v>#NUM!</v>
      </c>
      <c r="BF158" s="88">
        <f t="shared" si="351"/>
        <v>0</v>
      </c>
      <c r="BH158" s="87" t="e">
        <f t="shared" si="272"/>
        <v>#NUM!</v>
      </c>
      <c r="BK158" s="95">
        <v>41336</v>
      </c>
      <c r="BL158" s="96">
        <v>79</v>
      </c>
      <c r="BT158" s="51"/>
      <c r="BU158" s="51"/>
      <c r="BV158" s="30"/>
      <c r="BW158" s="30"/>
      <c r="CS158" s="108" t="str">
        <f t="shared" si="273"/>
        <v/>
      </c>
      <c r="CT158" s="109" t="str">
        <f t="shared" si="274"/>
        <v/>
      </c>
      <c r="CU158" s="109" t="str">
        <f t="shared" si="275"/>
        <v/>
      </c>
      <c r="CV158" s="110" t="str">
        <f t="shared" si="225"/>
        <v/>
      </c>
      <c r="CX158" s="108" t="str">
        <f t="shared" si="276"/>
        <v/>
      </c>
      <c r="CY158" s="109" t="str">
        <f t="shared" si="352"/>
        <v/>
      </c>
      <c r="CZ158" s="109" t="str">
        <f t="shared" si="277"/>
        <v/>
      </c>
      <c r="DA158" s="110" t="str">
        <f t="shared" si="226"/>
        <v/>
      </c>
      <c r="DC158" s="108" t="str">
        <f t="shared" si="353"/>
        <v/>
      </c>
      <c r="DD158" s="109" t="str">
        <f t="shared" si="354"/>
        <v/>
      </c>
      <c r="DE158" s="109" t="str">
        <f t="shared" si="278"/>
        <v/>
      </c>
      <c r="DF158" s="110" t="str">
        <f t="shared" si="227"/>
        <v/>
      </c>
      <c r="DH158" s="108" t="str">
        <f t="shared" si="279"/>
        <v/>
      </c>
      <c r="DI158" s="109" t="str">
        <f t="shared" si="280"/>
        <v/>
      </c>
      <c r="DJ158" s="109" t="str">
        <f t="shared" si="281"/>
        <v/>
      </c>
      <c r="DK158" s="110" t="str">
        <f t="shared" si="228"/>
        <v/>
      </c>
      <c r="DM158" s="108" t="str">
        <f t="shared" si="355"/>
        <v/>
      </c>
      <c r="DN158" s="109" t="str">
        <f t="shared" si="356"/>
        <v/>
      </c>
      <c r="DO158" s="109" t="str">
        <f t="shared" si="282"/>
        <v/>
      </c>
      <c r="DP158" s="110" t="str">
        <f t="shared" si="229"/>
        <v/>
      </c>
      <c r="DR158" s="108" t="str">
        <f t="shared" si="283"/>
        <v/>
      </c>
      <c r="DS158" s="109" t="str">
        <f t="shared" si="357"/>
        <v/>
      </c>
      <c r="DT158" s="109" t="str">
        <f t="shared" si="284"/>
        <v/>
      </c>
      <c r="DU158" s="110" t="str">
        <f t="shared" si="230"/>
        <v/>
      </c>
      <c r="DW158" s="108" t="str">
        <f t="shared" si="358"/>
        <v/>
      </c>
      <c r="DX158" s="109" t="str">
        <f t="shared" si="359"/>
        <v/>
      </c>
      <c r="DY158" s="109" t="str">
        <f t="shared" si="285"/>
        <v/>
      </c>
      <c r="DZ158" s="110" t="str">
        <f t="shared" si="231"/>
        <v/>
      </c>
      <c r="EB158" s="108" t="str">
        <f t="shared" si="286"/>
        <v/>
      </c>
      <c r="EC158" s="109" t="str">
        <f t="shared" si="360"/>
        <v/>
      </c>
      <c r="ED158" s="109" t="str">
        <f t="shared" si="287"/>
        <v/>
      </c>
      <c r="EE158" s="110" t="str">
        <f t="shared" si="232"/>
        <v/>
      </c>
      <c r="EG158" s="108" t="str">
        <f t="shared" si="361"/>
        <v/>
      </c>
      <c r="EH158" s="109" t="str">
        <f t="shared" si="362"/>
        <v/>
      </c>
      <c r="EI158" s="109" t="str">
        <f t="shared" si="288"/>
        <v/>
      </c>
      <c r="EJ158" s="110" t="str">
        <f t="shared" si="233"/>
        <v/>
      </c>
      <c r="EL158" s="108" t="str">
        <f t="shared" si="289"/>
        <v/>
      </c>
      <c r="EM158" s="109" t="str">
        <f t="shared" si="363"/>
        <v/>
      </c>
      <c r="EN158" s="109" t="str">
        <f t="shared" si="290"/>
        <v/>
      </c>
      <c r="EO158" s="110" t="str">
        <f t="shared" si="234"/>
        <v/>
      </c>
      <c r="EQ158" s="108" t="str">
        <f t="shared" si="364"/>
        <v/>
      </c>
      <c r="ER158" s="109" t="str">
        <f t="shared" si="365"/>
        <v/>
      </c>
      <c r="ES158" s="109" t="str">
        <f t="shared" si="291"/>
        <v/>
      </c>
      <c r="ET158" s="110" t="str">
        <f t="shared" si="235"/>
        <v/>
      </c>
      <c r="EV158" s="108" t="str">
        <f t="shared" si="292"/>
        <v/>
      </c>
      <c r="EW158" s="109" t="str">
        <f t="shared" si="366"/>
        <v/>
      </c>
      <c r="EX158" s="109" t="str">
        <f t="shared" si="293"/>
        <v/>
      </c>
      <c r="EY158" s="110" t="str">
        <f t="shared" si="236"/>
        <v/>
      </c>
      <c r="FA158" s="108" t="str">
        <f t="shared" si="367"/>
        <v/>
      </c>
      <c r="FB158" s="109" t="str">
        <f t="shared" si="368"/>
        <v/>
      </c>
      <c r="FC158" s="109" t="str">
        <f t="shared" si="294"/>
        <v/>
      </c>
      <c r="FD158" s="110" t="str">
        <f t="shared" si="237"/>
        <v/>
      </c>
      <c r="FF158" s="108" t="str">
        <f t="shared" si="295"/>
        <v/>
      </c>
      <c r="FG158" s="109" t="str">
        <f t="shared" si="369"/>
        <v/>
      </c>
      <c r="FH158" s="109" t="str">
        <f t="shared" si="296"/>
        <v/>
      </c>
      <c r="FI158" s="110" t="str">
        <f t="shared" si="238"/>
        <v/>
      </c>
      <c r="FK158" s="108" t="str">
        <f t="shared" si="370"/>
        <v/>
      </c>
      <c r="FL158" s="109" t="str">
        <f t="shared" si="371"/>
        <v/>
      </c>
      <c r="FM158" s="109" t="str">
        <f t="shared" si="297"/>
        <v/>
      </c>
      <c r="FN158" s="110" t="str">
        <f t="shared" si="239"/>
        <v/>
      </c>
      <c r="FP158" s="108" t="str">
        <f t="shared" si="298"/>
        <v/>
      </c>
      <c r="FQ158" s="109" t="str">
        <f t="shared" si="372"/>
        <v/>
      </c>
      <c r="FR158" s="109" t="str">
        <f t="shared" si="299"/>
        <v/>
      </c>
      <c r="FS158" s="110" t="str">
        <f t="shared" si="240"/>
        <v/>
      </c>
      <c r="FU158" s="108" t="str">
        <f t="shared" si="373"/>
        <v/>
      </c>
      <c r="FV158" s="109" t="str">
        <f t="shared" si="374"/>
        <v/>
      </c>
      <c r="FW158" s="109" t="str">
        <f t="shared" si="300"/>
        <v/>
      </c>
      <c r="FX158" s="110" t="str">
        <f t="shared" si="241"/>
        <v/>
      </c>
      <c r="FZ158" s="108" t="str">
        <f t="shared" si="301"/>
        <v/>
      </c>
      <c r="GA158" s="109" t="str">
        <f t="shared" si="375"/>
        <v/>
      </c>
      <c r="GB158" s="109" t="str">
        <f t="shared" si="302"/>
        <v/>
      </c>
      <c r="GC158" s="110" t="str">
        <f t="shared" si="242"/>
        <v/>
      </c>
      <c r="GE158" s="108" t="str">
        <f t="shared" si="376"/>
        <v/>
      </c>
      <c r="GF158" s="109" t="str">
        <f t="shared" si="377"/>
        <v/>
      </c>
      <c r="GG158" s="109" t="str">
        <f t="shared" si="378"/>
        <v/>
      </c>
      <c r="GH158" s="110" t="str">
        <f t="shared" si="243"/>
        <v/>
      </c>
      <c r="GL158" s="108" t="str">
        <f t="shared" si="303"/>
        <v/>
      </c>
      <c r="GM158" s="109" t="str">
        <f t="shared" si="304"/>
        <v/>
      </c>
      <c r="GN158" s="109" t="str">
        <f t="shared" si="305"/>
        <v/>
      </c>
      <c r="GO158" s="110" t="str">
        <f t="shared" si="306"/>
        <v/>
      </c>
      <c r="GP158" s="51"/>
      <c r="GQ158" s="108" t="str">
        <f t="shared" si="307"/>
        <v/>
      </c>
      <c r="GR158" s="109" t="str">
        <f t="shared" si="379"/>
        <v/>
      </c>
      <c r="GS158" s="109" t="str">
        <f t="shared" si="308"/>
        <v/>
      </c>
      <c r="GT158" s="110" t="str">
        <f t="shared" si="309"/>
        <v/>
      </c>
      <c r="GU158" s="51"/>
      <c r="GV158" s="108" t="str">
        <f t="shared" si="380"/>
        <v/>
      </c>
      <c r="GW158" s="109" t="str">
        <f t="shared" si="381"/>
        <v/>
      </c>
      <c r="GX158" s="109" t="str">
        <f t="shared" si="310"/>
        <v/>
      </c>
      <c r="GY158" s="110" t="str">
        <f t="shared" si="382"/>
        <v/>
      </c>
      <c r="GZ158" s="51"/>
      <c r="HA158" s="108" t="str">
        <f t="shared" si="311"/>
        <v/>
      </c>
      <c r="HB158" s="109" t="str">
        <f t="shared" si="383"/>
        <v/>
      </c>
      <c r="HC158" s="109" t="str">
        <f t="shared" si="312"/>
        <v/>
      </c>
      <c r="HD158" s="110" t="str">
        <f t="shared" si="417"/>
        <v/>
      </c>
      <c r="HE158" s="51"/>
      <c r="HF158" s="108" t="str">
        <f t="shared" si="384"/>
        <v/>
      </c>
      <c r="HG158" s="109" t="str">
        <f t="shared" si="385"/>
        <v/>
      </c>
      <c r="HH158" s="109" t="str">
        <f t="shared" si="313"/>
        <v/>
      </c>
      <c r="HI158" s="110" t="str">
        <f t="shared" si="386"/>
        <v/>
      </c>
      <c r="HJ158" s="51"/>
      <c r="HK158" s="108" t="str">
        <f t="shared" si="314"/>
        <v/>
      </c>
      <c r="HL158" s="109" t="str">
        <f t="shared" si="387"/>
        <v/>
      </c>
      <c r="HM158" s="109" t="str">
        <f t="shared" si="315"/>
        <v/>
      </c>
      <c r="HN158" s="110" t="str">
        <f t="shared" si="418"/>
        <v/>
      </c>
      <c r="HO158" s="51"/>
      <c r="HP158" s="108" t="str">
        <f t="shared" si="388"/>
        <v/>
      </c>
      <c r="HQ158" s="109" t="str">
        <f t="shared" si="389"/>
        <v/>
      </c>
      <c r="HR158" s="109" t="str">
        <f t="shared" si="316"/>
        <v/>
      </c>
      <c r="HS158" s="110" t="str">
        <f t="shared" si="390"/>
        <v/>
      </c>
      <c r="HT158" s="51"/>
      <c r="HU158" s="108" t="str">
        <f t="shared" si="317"/>
        <v/>
      </c>
      <c r="HV158" s="109" t="str">
        <f t="shared" si="391"/>
        <v/>
      </c>
      <c r="HW158" s="109" t="str">
        <f t="shared" si="318"/>
        <v/>
      </c>
      <c r="HX158" s="110" t="str">
        <f t="shared" si="419"/>
        <v/>
      </c>
      <c r="HY158" s="51"/>
      <c r="HZ158" s="108" t="str">
        <f t="shared" si="392"/>
        <v/>
      </c>
      <c r="IA158" s="109" t="str">
        <f t="shared" si="393"/>
        <v/>
      </c>
      <c r="IB158" s="109" t="str">
        <f t="shared" si="319"/>
        <v/>
      </c>
      <c r="IC158" s="110" t="str">
        <f t="shared" si="394"/>
        <v/>
      </c>
      <c r="ID158" s="51"/>
      <c r="IE158" s="108" t="str">
        <f t="shared" si="320"/>
        <v/>
      </c>
      <c r="IF158" s="109" t="str">
        <f t="shared" si="395"/>
        <v/>
      </c>
      <c r="IG158" s="109" t="str">
        <f t="shared" si="321"/>
        <v/>
      </c>
      <c r="IH158" s="110" t="str">
        <f t="shared" si="420"/>
        <v/>
      </c>
      <c r="II158" s="51"/>
      <c r="IJ158" s="108" t="str">
        <f t="shared" si="396"/>
        <v/>
      </c>
      <c r="IK158" s="109" t="str">
        <f t="shared" si="397"/>
        <v/>
      </c>
      <c r="IL158" s="109" t="str">
        <f t="shared" si="322"/>
        <v/>
      </c>
      <c r="IM158" s="110" t="str">
        <f t="shared" si="398"/>
        <v/>
      </c>
      <c r="IN158" s="51"/>
      <c r="IO158" s="108" t="str">
        <f t="shared" si="323"/>
        <v/>
      </c>
      <c r="IP158" s="109" t="str">
        <f t="shared" si="399"/>
        <v/>
      </c>
      <c r="IQ158" s="109" t="str">
        <f t="shared" si="324"/>
        <v/>
      </c>
      <c r="IR158" s="110" t="str">
        <f t="shared" si="421"/>
        <v/>
      </c>
      <c r="IS158" s="51"/>
      <c r="IT158" s="108" t="str">
        <f t="shared" si="400"/>
        <v/>
      </c>
      <c r="IU158" s="109" t="str">
        <f t="shared" si="401"/>
        <v/>
      </c>
      <c r="IV158" s="109" t="str">
        <f t="shared" si="325"/>
        <v/>
      </c>
      <c r="IW158" s="110" t="str">
        <f t="shared" si="402"/>
        <v/>
      </c>
      <c r="IX158" s="51"/>
      <c r="IY158" s="108" t="str">
        <f t="shared" si="326"/>
        <v/>
      </c>
      <c r="IZ158" s="109" t="str">
        <f t="shared" si="403"/>
        <v/>
      </c>
      <c r="JA158" s="109" t="str">
        <f t="shared" si="327"/>
        <v/>
      </c>
      <c r="JB158" s="110" t="str">
        <f t="shared" si="422"/>
        <v/>
      </c>
      <c r="JC158" s="51"/>
      <c r="JD158" s="108" t="str">
        <f t="shared" si="404"/>
        <v/>
      </c>
      <c r="JE158" s="109" t="str">
        <f t="shared" si="405"/>
        <v/>
      </c>
      <c r="JF158" s="109" t="str">
        <f t="shared" si="328"/>
        <v/>
      </c>
      <c r="JG158" s="110" t="str">
        <f t="shared" si="406"/>
        <v/>
      </c>
      <c r="JH158" s="51"/>
      <c r="JI158" s="108" t="str">
        <f t="shared" si="329"/>
        <v/>
      </c>
      <c r="JJ158" s="109" t="str">
        <f t="shared" si="407"/>
        <v/>
      </c>
      <c r="JK158" s="109" t="str">
        <f t="shared" si="330"/>
        <v/>
      </c>
      <c r="JL158" s="110" t="str">
        <f t="shared" si="423"/>
        <v/>
      </c>
      <c r="JM158" s="51"/>
      <c r="JN158" s="108" t="str">
        <f t="shared" si="408"/>
        <v/>
      </c>
      <c r="JO158" s="109" t="str">
        <f t="shared" si="409"/>
        <v/>
      </c>
      <c r="JP158" s="109" t="str">
        <f t="shared" si="331"/>
        <v/>
      </c>
      <c r="JQ158" s="110" t="str">
        <f t="shared" si="410"/>
        <v/>
      </c>
      <c r="JR158" s="51"/>
      <c r="JS158" s="108" t="str">
        <f t="shared" si="332"/>
        <v/>
      </c>
      <c r="JT158" s="109" t="str">
        <f t="shared" si="411"/>
        <v/>
      </c>
      <c r="JU158" s="109" t="str">
        <f t="shared" si="333"/>
        <v/>
      </c>
      <c r="JV158" s="110" t="str">
        <f t="shared" si="424"/>
        <v/>
      </c>
      <c r="JW158" s="51"/>
      <c r="JX158" s="108" t="str">
        <f t="shared" si="412"/>
        <v/>
      </c>
      <c r="JY158" s="109" t="str">
        <f t="shared" si="413"/>
        <v/>
      </c>
      <c r="JZ158" s="109" t="str">
        <f t="shared" si="334"/>
        <v/>
      </c>
      <c r="KA158" s="110" t="str">
        <f t="shared" si="335"/>
        <v/>
      </c>
    </row>
    <row r="159" spans="1:287" ht="12" customHeight="1">
      <c r="A159" s="105">
        <f t="array" ref="A159">MAX(IF($J$80:J158&gt;0,$C$80:C158,0))</f>
        <v>43536</v>
      </c>
      <c r="B159" s="81" t="str">
        <f t="shared" si="248"/>
        <v/>
      </c>
      <c r="C159" s="82">
        <f t="shared" si="414"/>
        <v>0</v>
      </c>
      <c r="D159" s="83" t="str">
        <f t="shared" si="249"/>
        <v/>
      </c>
      <c r="E159" s="83" t="str">
        <f t="shared" si="336"/>
        <v/>
      </c>
      <c r="F159" s="83" t="str">
        <f t="shared" si="250"/>
        <v/>
      </c>
      <c r="G159" s="83" t="str">
        <f t="shared" si="251"/>
        <v/>
      </c>
      <c r="H159" s="83" t="str">
        <f t="shared" si="252"/>
        <v/>
      </c>
      <c r="I159" s="105">
        <f t="array" ref="I159">MAX(IF($R$80:R158&gt;0,$L$80:L158,0))</f>
        <v>0</v>
      </c>
      <c r="J159" s="106"/>
      <c r="K159" s="2" t="str">
        <f t="shared" si="253"/>
        <v/>
      </c>
      <c r="L159" s="82">
        <f t="shared" si="415"/>
        <v>0</v>
      </c>
      <c r="M159" s="83" t="str">
        <f t="shared" si="337"/>
        <v/>
      </c>
      <c r="N159" s="83" t="str">
        <f t="shared" si="254"/>
        <v/>
      </c>
      <c r="O159" s="83" t="str">
        <f t="shared" si="255"/>
        <v/>
      </c>
      <c r="P159" s="83" t="str">
        <f t="shared" si="256"/>
        <v/>
      </c>
      <c r="Q159" s="83" t="str">
        <f t="shared" si="257"/>
        <v/>
      </c>
      <c r="R159" s="106"/>
      <c r="S159" s="1"/>
      <c r="U159" s="85" t="e">
        <f t="shared" si="244"/>
        <v>#NUM!</v>
      </c>
      <c r="V159" s="86" t="e">
        <f t="shared" si="338"/>
        <v>#NUM!</v>
      </c>
      <c r="W159" s="87" t="e">
        <f t="shared" si="258"/>
        <v>#NUM!</v>
      </c>
      <c r="X159" s="87" t="e">
        <f t="shared" si="259"/>
        <v>#NUM!</v>
      </c>
      <c r="Y159" s="87" t="e">
        <f t="shared" si="260"/>
        <v>#NUM!</v>
      </c>
      <c r="Z159" s="88" t="e">
        <f t="shared" si="245"/>
        <v>#NUM!</v>
      </c>
      <c r="AA159" t="s">
        <v>282</v>
      </c>
      <c r="AB159" s="89">
        <f t="shared" si="339"/>
        <v>0</v>
      </c>
      <c r="AC159" s="87">
        <f t="shared" si="340"/>
        <v>0</v>
      </c>
      <c r="AD159" s="87" t="str">
        <f t="shared" si="261"/>
        <v/>
      </c>
      <c r="AE159" s="87" t="str">
        <f t="shared" si="262"/>
        <v/>
      </c>
      <c r="AF159" s="86">
        <f t="shared" si="341"/>
        <v>0</v>
      </c>
      <c r="AG159" s="87">
        <f t="shared" si="246"/>
        <v>0</v>
      </c>
      <c r="AH159" s="87">
        <f t="shared" si="342"/>
        <v>0</v>
      </c>
      <c r="AI159" s="90"/>
      <c r="AJ159" s="87" t="e">
        <f t="shared" si="263"/>
        <v>#NUM!</v>
      </c>
      <c r="AK159" s="87" t="e">
        <f t="shared" si="343"/>
        <v>#NUM!</v>
      </c>
      <c r="AL159" s="87" t="e">
        <f t="shared" si="344"/>
        <v>#NUM!</v>
      </c>
      <c r="AM159" s="87" t="e">
        <f t="shared" si="345"/>
        <v>#NUM!</v>
      </c>
      <c r="AN159" s="86">
        <f t="shared" si="264"/>
        <v>0</v>
      </c>
      <c r="AO159" s="87">
        <f t="shared" si="265"/>
        <v>0</v>
      </c>
      <c r="AP159" s="88">
        <f t="shared" si="266"/>
        <v>0</v>
      </c>
      <c r="AR159" s="89">
        <f t="shared" si="267"/>
        <v>0</v>
      </c>
      <c r="AS159" s="87">
        <f t="shared" si="268"/>
        <v>0</v>
      </c>
      <c r="AT159" s="87" t="str">
        <f t="shared" si="269"/>
        <v/>
      </c>
      <c r="AU159" s="87" t="str">
        <f t="shared" si="270"/>
        <v/>
      </c>
      <c r="AV159" s="86">
        <f t="shared" si="346"/>
        <v>0</v>
      </c>
      <c r="AW159" s="87">
        <f t="shared" si="347"/>
        <v>0</v>
      </c>
      <c r="AX159" s="87">
        <f t="shared" si="348"/>
        <v>0</v>
      </c>
      <c r="AY159" s="93"/>
      <c r="AZ159" s="87">
        <f t="shared" si="425"/>
        <v>0</v>
      </c>
      <c r="BA159" s="87">
        <f t="shared" si="349"/>
        <v>0</v>
      </c>
      <c r="BB159" s="87">
        <f t="shared" si="350"/>
        <v>0</v>
      </c>
      <c r="BC159" s="87">
        <f t="shared" si="416"/>
        <v>0</v>
      </c>
      <c r="BD159" s="86" t="e">
        <f t="shared" si="271"/>
        <v>#NUM!</v>
      </c>
      <c r="BE159" s="87" t="e">
        <f t="shared" si="247"/>
        <v>#NUM!</v>
      </c>
      <c r="BF159" s="88">
        <f t="shared" si="351"/>
        <v>0</v>
      </c>
      <c r="BH159" s="87" t="e">
        <f t="shared" si="272"/>
        <v>#NUM!</v>
      </c>
      <c r="BK159" s="95">
        <v>41341</v>
      </c>
      <c r="BL159" s="96">
        <v>80</v>
      </c>
      <c r="CS159" s="108" t="str">
        <f t="shared" si="273"/>
        <v/>
      </c>
      <c r="CT159" s="109" t="str">
        <f t="shared" si="274"/>
        <v/>
      </c>
      <c r="CU159" s="109" t="str">
        <f t="shared" si="275"/>
        <v/>
      </c>
      <c r="CV159" s="110" t="str">
        <f t="shared" si="225"/>
        <v/>
      </c>
      <c r="CX159" s="108" t="str">
        <f t="shared" si="276"/>
        <v/>
      </c>
      <c r="CY159" s="109" t="str">
        <f t="shared" si="352"/>
        <v/>
      </c>
      <c r="CZ159" s="109" t="str">
        <f t="shared" si="277"/>
        <v/>
      </c>
      <c r="DA159" s="110" t="str">
        <f t="shared" si="226"/>
        <v/>
      </c>
      <c r="DC159" s="108" t="str">
        <f t="shared" si="353"/>
        <v/>
      </c>
      <c r="DD159" s="109" t="str">
        <f t="shared" si="354"/>
        <v/>
      </c>
      <c r="DE159" s="109" t="str">
        <f t="shared" si="278"/>
        <v/>
      </c>
      <c r="DF159" s="110" t="str">
        <f t="shared" si="227"/>
        <v/>
      </c>
      <c r="DH159" s="108" t="str">
        <f t="shared" si="279"/>
        <v/>
      </c>
      <c r="DI159" s="109" t="str">
        <f t="shared" si="280"/>
        <v/>
      </c>
      <c r="DJ159" s="109" t="str">
        <f t="shared" si="281"/>
        <v/>
      </c>
      <c r="DK159" s="110" t="str">
        <f t="shared" si="228"/>
        <v/>
      </c>
      <c r="DM159" s="108" t="str">
        <f t="shared" si="355"/>
        <v/>
      </c>
      <c r="DN159" s="109" t="str">
        <f t="shared" si="356"/>
        <v/>
      </c>
      <c r="DO159" s="109" t="str">
        <f t="shared" si="282"/>
        <v/>
      </c>
      <c r="DP159" s="110" t="str">
        <f t="shared" si="229"/>
        <v/>
      </c>
      <c r="DR159" s="108" t="str">
        <f t="shared" si="283"/>
        <v/>
      </c>
      <c r="DS159" s="109" t="str">
        <f t="shared" si="357"/>
        <v/>
      </c>
      <c r="DT159" s="109" t="str">
        <f t="shared" si="284"/>
        <v/>
      </c>
      <c r="DU159" s="110" t="str">
        <f t="shared" si="230"/>
        <v/>
      </c>
      <c r="DW159" s="108" t="str">
        <f t="shared" si="358"/>
        <v/>
      </c>
      <c r="DX159" s="109" t="str">
        <f t="shared" si="359"/>
        <v/>
      </c>
      <c r="DY159" s="109" t="str">
        <f t="shared" si="285"/>
        <v/>
      </c>
      <c r="DZ159" s="110" t="str">
        <f t="shared" si="231"/>
        <v/>
      </c>
      <c r="EB159" s="108" t="str">
        <f t="shared" si="286"/>
        <v/>
      </c>
      <c r="EC159" s="109" t="str">
        <f t="shared" si="360"/>
        <v/>
      </c>
      <c r="ED159" s="109" t="str">
        <f t="shared" si="287"/>
        <v/>
      </c>
      <c r="EE159" s="110" t="str">
        <f t="shared" si="232"/>
        <v/>
      </c>
      <c r="EG159" s="108" t="str">
        <f t="shared" si="361"/>
        <v/>
      </c>
      <c r="EH159" s="109" t="str">
        <f t="shared" si="362"/>
        <v/>
      </c>
      <c r="EI159" s="109" t="str">
        <f t="shared" si="288"/>
        <v/>
      </c>
      <c r="EJ159" s="110" t="str">
        <f t="shared" si="233"/>
        <v/>
      </c>
      <c r="EL159" s="108" t="str">
        <f t="shared" si="289"/>
        <v/>
      </c>
      <c r="EM159" s="109" t="str">
        <f t="shared" si="363"/>
        <v/>
      </c>
      <c r="EN159" s="109" t="str">
        <f t="shared" si="290"/>
        <v/>
      </c>
      <c r="EO159" s="110" t="str">
        <f t="shared" si="234"/>
        <v/>
      </c>
      <c r="EQ159" s="108" t="str">
        <f t="shared" si="364"/>
        <v/>
      </c>
      <c r="ER159" s="109" t="str">
        <f t="shared" si="365"/>
        <v/>
      </c>
      <c r="ES159" s="109" t="str">
        <f t="shared" si="291"/>
        <v/>
      </c>
      <c r="ET159" s="110" t="str">
        <f t="shared" si="235"/>
        <v/>
      </c>
      <c r="EV159" s="108" t="str">
        <f t="shared" si="292"/>
        <v/>
      </c>
      <c r="EW159" s="109" t="str">
        <f t="shared" si="366"/>
        <v/>
      </c>
      <c r="EX159" s="109" t="str">
        <f t="shared" si="293"/>
        <v/>
      </c>
      <c r="EY159" s="110" t="str">
        <f t="shared" si="236"/>
        <v/>
      </c>
      <c r="FA159" s="108" t="str">
        <f t="shared" si="367"/>
        <v/>
      </c>
      <c r="FB159" s="109" t="str">
        <f t="shared" si="368"/>
        <v/>
      </c>
      <c r="FC159" s="109" t="str">
        <f t="shared" si="294"/>
        <v/>
      </c>
      <c r="FD159" s="110" t="str">
        <f t="shared" si="237"/>
        <v/>
      </c>
      <c r="FF159" s="108" t="str">
        <f t="shared" si="295"/>
        <v/>
      </c>
      <c r="FG159" s="109" t="str">
        <f t="shared" si="369"/>
        <v/>
      </c>
      <c r="FH159" s="109" t="str">
        <f t="shared" si="296"/>
        <v/>
      </c>
      <c r="FI159" s="110" t="str">
        <f t="shared" si="238"/>
        <v/>
      </c>
      <c r="FK159" s="108" t="str">
        <f t="shared" si="370"/>
        <v/>
      </c>
      <c r="FL159" s="109" t="str">
        <f t="shared" si="371"/>
        <v/>
      </c>
      <c r="FM159" s="109" t="str">
        <f t="shared" si="297"/>
        <v/>
      </c>
      <c r="FN159" s="110" t="str">
        <f t="shared" si="239"/>
        <v/>
      </c>
      <c r="FP159" s="108" t="str">
        <f t="shared" si="298"/>
        <v/>
      </c>
      <c r="FQ159" s="109" t="str">
        <f t="shared" si="372"/>
        <v/>
      </c>
      <c r="FR159" s="109" t="str">
        <f t="shared" si="299"/>
        <v/>
      </c>
      <c r="FS159" s="110" t="str">
        <f t="shared" si="240"/>
        <v/>
      </c>
      <c r="FU159" s="108" t="str">
        <f t="shared" si="373"/>
        <v/>
      </c>
      <c r="FV159" s="109" t="str">
        <f t="shared" si="374"/>
        <v/>
      </c>
      <c r="FW159" s="109" t="str">
        <f t="shared" si="300"/>
        <v/>
      </c>
      <c r="FX159" s="110" t="str">
        <f t="shared" si="241"/>
        <v/>
      </c>
      <c r="FZ159" s="108" t="str">
        <f t="shared" si="301"/>
        <v/>
      </c>
      <c r="GA159" s="109" t="str">
        <f t="shared" si="375"/>
        <v/>
      </c>
      <c r="GB159" s="109" t="str">
        <f t="shared" si="302"/>
        <v/>
      </c>
      <c r="GC159" s="110" t="str">
        <f t="shared" si="242"/>
        <v/>
      </c>
      <c r="GE159" s="108" t="str">
        <f t="shared" si="376"/>
        <v/>
      </c>
      <c r="GF159" s="109" t="str">
        <f t="shared" si="377"/>
        <v/>
      </c>
      <c r="GG159" s="109" t="str">
        <f t="shared" si="378"/>
        <v/>
      </c>
      <c r="GH159" s="110" t="str">
        <f t="shared" si="243"/>
        <v/>
      </c>
      <c r="GL159" s="108" t="str">
        <f t="shared" si="303"/>
        <v/>
      </c>
      <c r="GM159" s="109" t="str">
        <f t="shared" si="304"/>
        <v/>
      </c>
      <c r="GN159" s="109" t="str">
        <f t="shared" si="305"/>
        <v/>
      </c>
      <c r="GO159" s="110" t="str">
        <f t="shared" si="306"/>
        <v/>
      </c>
      <c r="GP159" s="51"/>
      <c r="GQ159" s="108" t="str">
        <f t="shared" si="307"/>
        <v/>
      </c>
      <c r="GR159" s="109" t="str">
        <f t="shared" si="379"/>
        <v/>
      </c>
      <c r="GS159" s="109" t="str">
        <f t="shared" si="308"/>
        <v/>
      </c>
      <c r="GT159" s="110" t="str">
        <f t="shared" si="309"/>
        <v/>
      </c>
      <c r="GU159" s="51"/>
      <c r="GV159" s="108" t="str">
        <f t="shared" si="380"/>
        <v/>
      </c>
      <c r="GW159" s="109" t="str">
        <f t="shared" si="381"/>
        <v/>
      </c>
      <c r="GX159" s="109" t="str">
        <f t="shared" si="310"/>
        <v/>
      </c>
      <c r="GY159" s="110" t="str">
        <f t="shared" si="382"/>
        <v/>
      </c>
      <c r="GZ159" s="51"/>
      <c r="HA159" s="108" t="str">
        <f t="shared" si="311"/>
        <v/>
      </c>
      <c r="HB159" s="109" t="str">
        <f t="shared" si="383"/>
        <v/>
      </c>
      <c r="HC159" s="109" t="str">
        <f t="shared" si="312"/>
        <v/>
      </c>
      <c r="HD159" s="110" t="str">
        <f t="shared" si="417"/>
        <v/>
      </c>
      <c r="HE159" s="51"/>
      <c r="HF159" s="108" t="str">
        <f t="shared" si="384"/>
        <v/>
      </c>
      <c r="HG159" s="109" t="str">
        <f t="shared" si="385"/>
        <v/>
      </c>
      <c r="HH159" s="109" t="str">
        <f t="shared" si="313"/>
        <v/>
      </c>
      <c r="HI159" s="110" t="str">
        <f t="shared" si="386"/>
        <v/>
      </c>
      <c r="HJ159" s="51"/>
      <c r="HK159" s="108" t="str">
        <f t="shared" si="314"/>
        <v/>
      </c>
      <c r="HL159" s="109" t="str">
        <f t="shared" si="387"/>
        <v/>
      </c>
      <c r="HM159" s="109" t="str">
        <f t="shared" si="315"/>
        <v/>
      </c>
      <c r="HN159" s="110" t="str">
        <f t="shared" si="418"/>
        <v/>
      </c>
      <c r="HO159" s="51"/>
      <c r="HP159" s="108" t="str">
        <f t="shared" si="388"/>
        <v/>
      </c>
      <c r="HQ159" s="109" t="str">
        <f t="shared" si="389"/>
        <v/>
      </c>
      <c r="HR159" s="109" t="str">
        <f t="shared" si="316"/>
        <v/>
      </c>
      <c r="HS159" s="110" t="str">
        <f t="shared" si="390"/>
        <v/>
      </c>
      <c r="HT159" s="51"/>
      <c r="HU159" s="108" t="str">
        <f t="shared" si="317"/>
        <v/>
      </c>
      <c r="HV159" s="109" t="str">
        <f t="shared" si="391"/>
        <v/>
      </c>
      <c r="HW159" s="109" t="str">
        <f t="shared" si="318"/>
        <v/>
      </c>
      <c r="HX159" s="110" t="str">
        <f t="shared" si="419"/>
        <v/>
      </c>
      <c r="HY159" s="51"/>
      <c r="HZ159" s="108" t="str">
        <f t="shared" si="392"/>
        <v/>
      </c>
      <c r="IA159" s="109" t="str">
        <f t="shared" si="393"/>
        <v/>
      </c>
      <c r="IB159" s="109" t="str">
        <f t="shared" si="319"/>
        <v/>
      </c>
      <c r="IC159" s="110" t="str">
        <f t="shared" si="394"/>
        <v/>
      </c>
      <c r="ID159" s="51"/>
      <c r="IE159" s="108" t="str">
        <f t="shared" si="320"/>
        <v/>
      </c>
      <c r="IF159" s="109" t="str">
        <f t="shared" si="395"/>
        <v/>
      </c>
      <c r="IG159" s="109" t="str">
        <f t="shared" si="321"/>
        <v/>
      </c>
      <c r="IH159" s="110" t="str">
        <f t="shared" si="420"/>
        <v/>
      </c>
      <c r="II159" s="51"/>
      <c r="IJ159" s="108" t="str">
        <f t="shared" si="396"/>
        <v/>
      </c>
      <c r="IK159" s="109" t="str">
        <f t="shared" si="397"/>
        <v/>
      </c>
      <c r="IL159" s="109" t="str">
        <f t="shared" si="322"/>
        <v/>
      </c>
      <c r="IM159" s="110" t="str">
        <f t="shared" si="398"/>
        <v/>
      </c>
      <c r="IN159" s="51"/>
      <c r="IO159" s="108" t="str">
        <f t="shared" si="323"/>
        <v/>
      </c>
      <c r="IP159" s="109" t="str">
        <f t="shared" si="399"/>
        <v/>
      </c>
      <c r="IQ159" s="109" t="str">
        <f t="shared" si="324"/>
        <v/>
      </c>
      <c r="IR159" s="110" t="str">
        <f t="shared" si="421"/>
        <v/>
      </c>
      <c r="IS159" s="51"/>
      <c r="IT159" s="108" t="str">
        <f t="shared" si="400"/>
        <v/>
      </c>
      <c r="IU159" s="109" t="str">
        <f t="shared" si="401"/>
        <v/>
      </c>
      <c r="IV159" s="109" t="str">
        <f t="shared" si="325"/>
        <v/>
      </c>
      <c r="IW159" s="110" t="str">
        <f t="shared" si="402"/>
        <v/>
      </c>
      <c r="IX159" s="51"/>
      <c r="IY159" s="108" t="str">
        <f t="shared" si="326"/>
        <v/>
      </c>
      <c r="IZ159" s="109" t="str">
        <f t="shared" si="403"/>
        <v/>
      </c>
      <c r="JA159" s="109" t="str">
        <f t="shared" si="327"/>
        <v/>
      </c>
      <c r="JB159" s="110" t="str">
        <f t="shared" si="422"/>
        <v/>
      </c>
      <c r="JC159" s="51"/>
      <c r="JD159" s="108" t="str">
        <f t="shared" si="404"/>
        <v/>
      </c>
      <c r="JE159" s="109" t="str">
        <f t="shared" si="405"/>
        <v/>
      </c>
      <c r="JF159" s="109" t="str">
        <f t="shared" si="328"/>
        <v/>
      </c>
      <c r="JG159" s="110" t="str">
        <f t="shared" si="406"/>
        <v/>
      </c>
      <c r="JH159" s="51"/>
      <c r="JI159" s="108" t="str">
        <f t="shared" si="329"/>
        <v/>
      </c>
      <c r="JJ159" s="109" t="str">
        <f t="shared" si="407"/>
        <v/>
      </c>
      <c r="JK159" s="109" t="str">
        <f t="shared" si="330"/>
        <v/>
      </c>
      <c r="JL159" s="110" t="str">
        <f t="shared" si="423"/>
        <v/>
      </c>
      <c r="JM159" s="51"/>
      <c r="JN159" s="108" t="str">
        <f t="shared" si="408"/>
        <v/>
      </c>
      <c r="JO159" s="109" t="str">
        <f t="shared" si="409"/>
        <v/>
      </c>
      <c r="JP159" s="109" t="str">
        <f t="shared" si="331"/>
        <v/>
      </c>
      <c r="JQ159" s="110" t="str">
        <f t="shared" si="410"/>
        <v/>
      </c>
      <c r="JR159" s="51"/>
      <c r="JS159" s="108" t="str">
        <f t="shared" si="332"/>
        <v/>
      </c>
      <c r="JT159" s="109" t="str">
        <f t="shared" si="411"/>
        <v/>
      </c>
      <c r="JU159" s="109" t="str">
        <f t="shared" si="333"/>
        <v/>
      </c>
      <c r="JV159" s="110" t="str">
        <f t="shared" si="424"/>
        <v/>
      </c>
      <c r="JW159" s="51"/>
      <c r="JX159" s="108" t="str">
        <f t="shared" si="412"/>
        <v/>
      </c>
      <c r="JY159" s="109" t="str">
        <f t="shared" si="413"/>
        <v/>
      </c>
      <c r="JZ159" s="109" t="str">
        <f t="shared" si="334"/>
        <v/>
      </c>
      <c r="KA159" s="110" t="str">
        <f t="shared" si="335"/>
        <v/>
      </c>
    </row>
    <row r="160" spans="1:287" ht="12" customHeight="1">
      <c r="A160" s="105">
        <f t="array" ref="A160">MAX(IF($J$80:J159&gt;0,$C$80:C159,0))</f>
        <v>43536</v>
      </c>
      <c r="B160" s="81" t="str">
        <f t="shared" si="248"/>
        <v/>
      </c>
      <c r="C160" s="82">
        <f t="shared" si="414"/>
        <v>0</v>
      </c>
      <c r="D160" s="83" t="str">
        <f t="shared" si="249"/>
        <v/>
      </c>
      <c r="E160" s="83" t="str">
        <f t="shared" si="336"/>
        <v/>
      </c>
      <c r="F160" s="83" t="str">
        <f t="shared" si="250"/>
        <v/>
      </c>
      <c r="G160" s="83" t="str">
        <f t="shared" si="251"/>
        <v/>
      </c>
      <c r="H160" s="83" t="str">
        <f t="shared" si="252"/>
        <v/>
      </c>
      <c r="I160" s="105">
        <f t="array" ref="I160">MAX(IF($R$80:R159&gt;0,$L$80:L159,0))</f>
        <v>0</v>
      </c>
      <c r="J160" s="106"/>
      <c r="K160" s="2" t="str">
        <f t="shared" si="253"/>
        <v/>
      </c>
      <c r="L160" s="82">
        <f t="shared" si="415"/>
        <v>0</v>
      </c>
      <c r="M160" s="83" t="str">
        <f t="shared" si="337"/>
        <v/>
      </c>
      <c r="N160" s="83" t="str">
        <f t="shared" si="254"/>
        <v/>
      </c>
      <c r="O160" s="83" t="str">
        <f t="shared" si="255"/>
        <v/>
      </c>
      <c r="P160" s="83" t="str">
        <f t="shared" si="256"/>
        <v/>
      </c>
      <c r="Q160" s="83" t="str">
        <f t="shared" si="257"/>
        <v/>
      </c>
      <c r="R160" s="106"/>
      <c r="S160" s="1"/>
      <c r="U160" s="85" t="e">
        <f t="shared" si="244"/>
        <v>#NUM!</v>
      </c>
      <c r="V160" s="86" t="e">
        <f t="shared" si="338"/>
        <v>#NUM!</v>
      </c>
      <c r="W160" s="87" t="e">
        <f t="shared" si="258"/>
        <v>#NUM!</v>
      </c>
      <c r="X160" s="87" t="e">
        <f t="shared" si="259"/>
        <v>#NUM!</v>
      </c>
      <c r="Y160" s="87" t="e">
        <f t="shared" si="260"/>
        <v>#NUM!</v>
      </c>
      <c r="Z160" s="88" t="e">
        <f t="shared" si="245"/>
        <v>#NUM!</v>
      </c>
      <c r="AA160" t="s">
        <v>282</v>
      </c>
      <c r="AB160" s="89">
        <f t="shared" si="339"/>
        <v>0</v>
      </c>
      <c r="AC160" s="87">
        <f t="shared" si="340"/>
        <v>0</v>
      </c>
      <c r="AD160" s="87" t="str">
        <f t="shared" si="261"/>
        <v/>
      </c>
      <c r="AE160" s="87" t="str">
        <f t="shared" si="262"/>
        <v/>
      </c>
      <c r="AF160" s="86">
        <f t="shared" si="341"/>
        <v>0</v>
      </c>
      <c r="AG160" s="87">
        <f t="shared" si="246"/>
        <v>0</v>
      </c>
      <c r="AH160" s="87">
        <f t="shared" si="342"/>
        <v>0</v>
      </c>
      <c r="AI160" s="90"/>
      <c r="AJ160" s="87" t="e">
        <f t="shared" si="263"/>
        <v>#NUM!</v>
      </c>
      <c r="AK160" s="87" t="e">
        <f t="shared" si="343"/>
        <v>#NUM!</v>
      </c>
      <c r="AL160" s="87" t="e">
        <f t="shared" si="344"/>
        <v>#NUM!</v>
      </c>
      <c r="AM160" s="87" t="e">
        <f t="shared" si="345"/>
        <v>#NUM!</v>
      </c>
      <c r="AN160" s="86">
        <f t="shared" si="264"/>
        <v>0</v>
      </c>
      <c r="AO160" s="87">
        <f t="shared" si="265"/>
        <v>0</v>
      </c>
      <c r="AP160" s="88">
        <f t="shared" si="266"/>
        <v>0</v>
      </c>
      <c r="AR160" s="89">
        <f t="shared" si="267"/>
        <v>0</v>
      </c>
      <c r="AS160" s="87">
        <f t="shared" si="268"/>
        <v>0</v>
      </c>
      <c r="AT160" s="87" t="str">
        <f t="shared" si="269"/>
        <v/>
      </c>
      <c r="AU160" s="87" t="str">
        <f t="shared" si="270"/>
        <v/>
      </c>
      <c r="AV160" s="86">
        <f t="shared" si="346"/>
        <v>0</v>
      </c>
      <c r="AW160" s="87">
        <f t="shared" si="347"/>
        <v>0</v>
      </c>
      <c r="AX160" s="87">
        <f t="shared" si="348"/>
        <v>0</v>
      </c>
      <c r="AY160" s="93"/>
      <c r="AZ160" s="87">
        <f t="shared" si="425"/>
        <v>0</v>
      </c>
      <c r="BA160" s="87">
        <f t="shared" si="349"/>
        <v>0</v>
      </c>
      <c r="BB160" s="87">
        <f t="shared" si="350"/>
        <v>0</v>
      </c>
      <c r="BC160" s="87">
        <f t="shared" si="416"/>
        <v>0</v>
      </c>
      <c r="BD160" s="86" t="e">
        <f t="shared" si="271"/>
        <v>#NUM!</v>
      </c>
      <c r="BE160" s="87" t="e">
        <f t="shared" si="247"/>
        <v>#NUM!</v>
      </c>
      <c r="BF160" s="88">
        <f t="shared" si="351"/>
        <v>0</v>
      </c>
      <c r="BH160" s="87" t="e">
        <f t="shared" si="272"/>
        <v>#NUM!</v>
      </c>
      <c r="BK160" s="95">
        <v>41373</v>
      </c>
      <c r="BL160" s="96">
        <v>81</v>
      </c>
      <c r="CS160" s="108" t="str">
        <f t="shared" si="273"/>
        <v/>
      </c>
      <c r="CT160" s="109" t="str">
        <f t="shared" si="274"/>
        <v/>
      </c>
      <c r="CU160" s="109" t="str">
        <f t="shared" si="275"/>
        <v/>
      </c>
      <c r="CV160" s="110" t="str">
        <f t="shared" si="225"/>
        <v/>
      </c>
      <c r="CX160" s="108" t="str">
        <f t="shared" si="276"/>
        <v/>
      </c>
      <c r="CY160" s="109" t="str">
        <f t="shared" si="352"/>
        <v/>
      </c>
      <c r="CZ160" s="109" t="str">
        <f t="shared" si="277"/>
        <v/>
      </c>
      <c r="DA160" s="110" t="str">
        <f t="shared" si="226"/>
        <v/>
      </c>
      <c r="DC160" s="108" t="str">
        <f t="shared" si="353"/>
        <v/>
      </c>
      <c r="DD160" s="109" t="str">
        <f t="shared" si="354"/>
        <v/>
      </c>
      <c r="DE160" s="109" t="str">
        <f t="shared" si="278"/>
        <v/>
      </c>
      <c r="DF160" s="110" t="str">
        <f t="shared" si="227"/>
        <v/>
      </c>
      <c r="DH160" s="108" t="str">
        <f t="shared" si="279"/>
        <v/>
      </c>
      <c r="DI160" s="109" t="str">
        <f t="shared" si="280"/>
        <v/>
      </c>
      <c r="DJ160" s="109" t="str">
        <f t="shared" si="281"/>
        <v/>
      </c>
      <c r="DK160" s="110" t="str">
        <f t="shared" si="228"/>
        <v/>
      </c>
      <c r="DM160" s="108" t="str">
        <f t="shared" si="355"/>
        <v/>
      </c>
      <c r="DN160" s="109" t="str">
        <f t="shared" si="356"/>
        <v/>
      </c>
      <c r="DO160" s="109" t="str">
        <f t="shared" si="282"/>
        <v/>
      </c>
      <c r="DP160" s="110" t="str">
        <f t="shared" si="229"/>
        <v/>
      </c>
      <c r="DR160" s="108" t="str">
        <f t="shared" si="283"/>
        <v/>
      </c>
      <c r="DS160" s="109" t="str">
        <f t="shared" si="357"/>
        <v/>
      </c>
      <c r="DT160" s="109" t="str">
        <f t="shared" si="284"/>
        <v/>
      </c>
      <c r="DU160" s="110" t="str">
        <f t="shared" si="230"/>
        <v/>
      </c>
      <c r="DW160" s="108" t="str">
        <f t="shared" si="358"/>
        <v/>
      </c>
      <c r="DX160" s="109" t="str">
        <f t="shared" si="359"/>
        <v/>
      </c>
      <c r="DY160" s="109" t="str">
        <f t="shared" si="285"/>
        <v/>
      </c>
      <c r="DZ160" s="110" t="str">
        <f t="shared" si="231"/>
        <v/>
      </c>
      <c r="EB160" s="108" t="str">
        <f t="shared" si="286"/>
        <v/>
      </c>
      <c r="EC160" s="109" t="str">
        <f t="shared" si="360"/>
        <v/>
      </c>
      <c r="ED160" s="109" t="str">
        <f t="shared" si="287"/>
        <v/>
      </c>
      <c r="EE160" s="110" t="str">
        <f t="shared" si="232"/>
        <v/>
      </c>
      <c r="EG160" s="108" t="str">
        <f t="shared" si="361"/>
        <v/>
      </c>
      <c r="EH160" s="109" t="str">
        <f t="shared" si="362"/>
        <v/>
      </c>
      <c r="EI160" s="109" t="str">
        <f t="shared" si="288"/>
        <v/>
      </c>
      <c r="EJ160" s="110" t="str">
        <f t="shared" si="233"/>
        <v/>
      </c>
      <c r="EL160" s="108" t="str">
        <f t="shared" si="289"/>
        <v/>
      </c>
      <c r="EM160" s="109" t="str">
        <f t="shared" si="363"/>
        <v/>
      </c>
      <c r="EN160" s="109" t="str">
        <f t="shared" si="290"/>
        <v/>
      </c>
      <c r="EO160" s="110" t="str">
        <f t="shared" si="234"/>
        <v/>
      </c>
      <c r="EQ160" s="108" t="str">
        <f t="shared" si="364"/>
        <v/>
      </c>
      <c r="ER160" s="109" t="str">
        <f t="shared" si="365"/>
        <v/>
      </c>
      <c r="ES160" s="109" t="str">
        <f t="shared" si="291"/>
        <v/>
      </c>
      <c r="ET160" s="110" t="str">
        <f t="shared" si="235"/>
        <v/>
      </c>
      <c r="EV160" s="108" t="str">
        <f t="shared" si="292"/>
        <v/>
      </c>
      <c r="EW160" s="109" t="str">
        <f t="shared" si="366"/>
        <v/>
      </c>
      <c r="EX160" s="109" t="str">
        <f t="shared" si="293"/>
        <v/>
      </c>
      <c r="EY160" s="110" t="str">
        <f t="shared" si="236"/>
        <v/>
      </c>
      <c r="FA160" s="108" t="str">
        <f t="shared" si="367"/>
        <v/>
      </c>
      <c r="FB160" s="109" t="str">
        <f t="shared" si="368"/>
        <v/>
      </c>
      <c r="FC160" s="109" t="str">
        <f t="shared" si="294"/>
        <v/>
      </c>
      <c r="FD160" s="110" t="str">
        <f t="shared" si="237"/>
        <v/>
      </c>
      <c r="FF160" s="108" t="str">
        <f t="shared" si="295"/>
        <v/>
      </c>
      <c r="FG160" s="109" t="str">
        <f t="shared" si="369"/>
        <v/>
      </c>
      <c r="FH160" s="109" t="str">
        <f t="shared" si="296"/>
        <v/>
      </c>
      <c r="FI160" s="110" t="str">
        <f t="shared" si="238"/>
        <v/>
      </c>
      <c r="FK160" s="108" t="str">
        <f t="shared" si="370"/>
        <v/>
      </c>
      <c r="FL160" s="109" t="str">
        <f t="shared" si="371"/>
        <v/>
      </c>
      <c r="FM160" s="109" t="str">
        <f t="shared" si="297"/>
        <v/>
      </c>
      <c r="FN160" s="110" t="str">
        <f t="shared" si="239"/>
        <v/>
      </c>
      <c r="FP160" s="108" t="str">
        <f t="shared" si="298"/>
        <v/>
      </c>
      <c r="FQ160" s="109" t="str">
        <f t="shared" si="372"/>
        <v/>
      </c>
      <c r="FR160" s="109" t="str">
        <f t="shared" si="299"/>
        <v/>
      </c>
      <c r="FS160" s="110" t="str">
        <f t="shared" si="240"/>
        <v/>
      </c>
      <c r="FU160" s="108" t="str">
        <f t="shared" si="373"/>
        <v/>
      </c>
      <c r="FV160" s="109" t="str">
        <f t="shared" si="374"/>
        <v/>
      </c>
      <c r="FW160" s="109" t="str">
        <f t="shared" si="300"/>
        <v/>
      </c>
      <c r="FX160" s="110" t="str">
        <f t="shared" si="241"/>
        <v/>
      </c>
      <c r="FZ160" s="108" t="str">
        <f t="shared" si="301"/>
        <v/>
      </c>
      <c r="GA160" s="109" t="str">
        <f t="shared" si="375"/>
        <v/>
      </c>
      <c r="GB160" s="109" t="str">
        <f t="shared" si="302"/>
        <v/>
      </c>
      <c r="GC160" s="110" t="str">
        <f t="shared" si="242"/>
        <v/>
      </c>
      <c r="GE160" s="108" t="str">
        <f t="shared" si="376"/>
        <v/>
      </c>
      <c r="GF160" s="109" t="str">
        <f t="shared" si="377"/>
        <v/>
      </c>
      <c r="GG160" s="109" t="str">
        <f t="shared" si="378"/>
        <v/>
      </c>
      <c r="GH160" s="110" t="str">
        <f t="shared" si="243"/>
        <v/>
      </c>
      <c r="GL160" s="108" t="str">
        <f t="shared" si="303"/>
        <v/>
      </c>
      <c r="GM160" s="109" t="str">
        <f t="shared" si="304"/>
        <v/>
      </c>
      <c r="GN160" s="109" t="str">
        <f t="shared" si="305"/>
        <v/>
      </c>
      <c r="GO160" s="110" t="str">
        <f t="shared" si="306"/>
        <v/>
      </c>
      <c r="GP160" s="51"/>
      <c r="GQ160" s="108" t="str">
        <f t="shared" si="307"/>
        <v/>
      </c>
      <c r="GR160" s="109" t="str">
        <f t="shared" si="379"/>
        <v/>
      </c>
      <c r="GS160" s="109" t="str">
        <f t="shared" si="308"/>
        <v/>
      </c>
      <c r="GT160" s="110" t="str">
        <f t="shared" si="309"/>
        <v/>
      </c>
      <c r="GU160" s="51"/>
      <c r="GV160" s="108" t="str">
        <f t="shared" si="380"/>
        <v/>
      </c>
      <c r="GW160" s="109" t="str">
        <f t="shared" si="381"/>
        <v/>
      </c>
      <c r="GX160" s="109" t="str">
        <f t="shared" si="310"/>
        <v/>
      </c>
      <c r="GY160" s="110" t="str">
        <f t="shared" si="382"/>
        <v/>
      </c>
      <c r="GZ160" s="51"/>
      <c r="HA160" s="108" t="str">
        <f t="shared" si="311"/>
        <v/>
      </c>
      <c r="HB160" s="109" t="str">
        <f t="shared" si="383"/>
        <v/>
      </c>
      <c r="HC160" s="109" t="str">
        <f t="shared" si="312"/>
        <v/>
      </c>
      <c r="HD160" s="110" t="str">
        <f t="shared" si="417"/>
        <v/>
      </c>
      <c r="HE160" s="51"/>
      <c r="HF160" s="108" t="str">
        <f t="shared" si="384"/>
        <v/>
      </c>
      <c r="HG160" s="109" t="str">
        <f t="shared" si="385"/>
        <v/>
      </c>
      <c r="HH160" s="109" t="str">
        <f t="shared" si="313"/>
        <v/>
      </c>
      <c r="HI160" s="110" t="str">
        <f t="shared" si="386"/>
        <v/>
      </c>
      <c r="HJ160" s="51"/>
      <c r="HK160" s="108" t="str">
        <f t="shared" si="314"/>
        <v/>
      </c>
      <c r="HL160" s="109" t="str">
        <f t="shared" si="387"/>
        <v/>
      </c>
      <c r="HM160" s="109" t="str">
        <f t="shared" si="315"/>
        <v/>
      </c>
      <c r="HN160" s="110" t="str">
        <f t="shared" si="418"/>
        <v/>
      </c>
      <c r="HO160" s="51"/>
      <c r="HP160" s="108" t="str">
        <f t="shared" si="388"/>
        <v/>
      </c>
      <c r="HQ160" s="109" t="str">
        <f t="shared" si="389"/>
        <v/>
      </c>
      <c r="HR160" s="109" t="str">
        <f t="shared" si="316"/>
        <v/>
      </c>
      <c r="HS160" s="110" t="str">
        <f t="shared" si="390"/>
        <v/>
      </c>
      <c r="HT160" s="51"/>
      <c r="HU160" s="108" t="str">
        <f t="shared" si="317"/>
        <v/>
      </c>
      <c r="HV160" s="109" t="str">
        <f t="shared" si="391"/>
        <v/>
      </c>
      <c r="HW160" s="109" t="str">
        <f t="shared" si="318"/>
        <v/>
      </c>
      <c r="HX160" s="110" t="str">
        <f t="shared" si="419"/>
        <v/>
      </c>
      <c r="HY160" s="51"/>
      <c r="HZ160" s="108" t="str">
        <f t="shared" si="392"/>
        <v/>
      </c>
      <c r="IA160" s="109" t="str">
        <f t="shared" si="393"/>
        <v/>
      </c>
      <c r="IB160" s="109" t="str">
        <f t="shared" si="319"/>
        <v/>
      </c>
      <c r="IC160" s="110" t="str">
        <f t="shared" si="394"/>
        <v/>
      </c>
      <c r="ID160" s="51"/>
      <c r="IE160" s="108" t="str">
        <f t="shared" si="320"/>
        <v/>
      </c>
      <c r="IF160" s="109" t="str">
        <f t="shared" si="395"/>
        <v/>
      </c>
      <c r="IG160" s="109" t="str">
        <f t="shared" si="321"/>
        <v/>
      </c>
      <c r="IH160" s="110" t="str">
        <f t="shared" si="420"/>
        <v/>
      </c>
      <c r="II160" s="51"/>
      <c r="IJ160" s="108" t="str">
        <f t="shared" si="396"/>
        <v/>
      </c>
      <c r="IK160" s="109" t="str">
        <f t="shared" si="397"/>
        <v/>
      </c>
      <c r="IL160" s="109" t="str">
        <f t="shared" si="322"/>
        <v/>
      </c>
      <c r="IM160" s="110" t="str">
        <f t="shared" si="398"/>
        <v/>
      </c>
      <c r="IN160" s="51"/>
      <c r="IO160" s="108" t="str">
        <f t="shared" si="323"/>
        <v/>
      </c>
      <c r="IP160" s="109" t="str">
        <f t="shared" si="399"/>
        <v/>
      </c>
      <c r="IQ160" s="109" t="str">
        <f t="shared" si="324"/>
        <v/>
      </c>
      <c r="IR160" s="110" t="str">
        <f t="shared" si="421"/>
        <v/>
      </c>
      <c r="IS160" s="51"/>
      <c r="IT160" s="108" t="str">
        <f t="shared" si="400"/>
        <v/>
      </c>
      <c r="IU160" s="109" t="str">
        <f t="shared" si="401"/>
        <v/>
      </c>
      <c r="IV160" s="109" t="str">
        <f t="shared" si="325"/>
        <v/>
      </c>
      <c r="IW160" s="110" t="str">
        <f t="shared" si="402"/>
        <v/>
      </c>
      <c r="IX160" s="51"/>
      <c r="IY160" s="108" t="str">
        <f t="shared" si="326"/>
        <v/>
      </c>
      <c r="IZ160" s="109" t="str">
        <f t="shared" si="403"/>
        <v/>
      </c>
      <c r="JA160" s="109" t="str">
        <f t="shared" si="327"/>
        <v/>
      </c>
      <c r="JB160" s="110" t="str">
        <f t="shared" si="422"/>
        <v/>
      </c>
      <c r="JC160" s="51"/>
      <c r="JD160" s="108" t="str">
        <f t="shared" si="404"/>
        <v/>
      </c>
      <c r="JE160" s="109" t="str">
        <f t="shared" si="405"/>
        <v/>
      </c>
      <c r="JF160" s="109" t="str">
        <f t="shared" si="328"/>
        <v/>
      </c>
      <c r="JG160" s="110" t="str">
        <f t="shared" si="406"/>
        <v/>
      </c>
      <c r="JH160" s="51"/>
      <c r="JI160" s="108" t="str">
        <f t="shared" si="329"/>
        <v/>
      </c>
      <c r="JJ160" s="109" t="str">
        <f t="shared" si="407"/>
        <v/>
      </c>
      <c r="JK160" s="109" t="str">
        <f t="shared" si="330"/>
        <v/>
      </c>
      <c r="JL160" s="110" t="str">
        <f t="shared" si="423"/>
        <v/>
      </c>
      <c r="JM160" s="51"/>
      <c r="JN160" s="108" t="str">
        <f t="shared" si="408"/>
        <v/>
      </c>
      <c r="JO160" s="109" t="str">
        <f t="shared" si="409"/>
        <v/>
      </c>
      <c r="JP160" s="109" t="str">
        <f t="shared" si="331"/>
        <v/>
      </c>
      <c r="JQ160" s="110" t="str">
        <f t="shared" si="410"/>
        <v/>
      </c>
      <c r="JR160" s="51"/>
      <c r="JS160" s="108" t="str">
        <f t="shared" si="332"/>
        <v/>
      </c>
      <c r="JT160" s="109" t="str">
        <f t="shared" si="411"/>
        <v/>
      </c>
      <c r="JU160" s="109" t="str">
        <f t="shared" si="333"/>
        <v/>
      </c>
      <c r="JV160" s="110" t="str">
        <f t="shared" si="424"/>
        <v/>
      </c>
      <c r="JW160" s="51"/>
      <c r="JX160" s="108" t="str">
        <f t="shared" si="412"/>
        <v/>
      </c>
      <c r="JY160" s="109" t="str">
        <f t="shared" si="413"/>
        <v/>
      </c>
      <c r="JZ160" s="109" t="str">
        <f t="shared" si="334"/>
        <v/>
      </c>
      <c r="KA160" s="110" t="str">
        <f t="shared" si="335"/>
        <v/>
      </c>
    </row>
    <row r="161" spans="1:287" ht="12" customHeight="1">
      <c r="A161" s="105">
        <f t="array" ref="A161">MAX(IF($J$80:J160&gt;0,$C$80:C160,0))</f>
        <v>43536</v>
      </c>
      <c r="B161" s="81" t="str">
        <f t="shared" si="248"/>
        <v/>
      </c>
      <c r="C161" s="82">
        <f t="shared" si="414"/>
        <v>0</v>
      </c>
      <c r="D161" s="83" t="str">
        <f t="shared" si="249"/>
        <v/>
      </c>
      <c r="E161" s="83" t="str">
        <f t="shared" si="336"/>
        <v/>
      </c>
      <c r="F161" s="83" t="str">
        <f t="shared" si="250"/>
        <v/>
      </c>
      <c r="G161" s="83" t="str">
        <f t="shared" si="251"/>
        <v/>
      </c>
      <c r="H161" s="83" t="str">
        <f t="shared" si="252"/>
        <v/>
      </c>
      <c r="I161" s="105">
        <f t="array" ref="I161">MAX(IF($R$80:R160&gt;0,$L$80:L160,0))</f>
        <v>0</v>
      </c>
      <c r="J161" s="106"/>
      <c r="K161" s="2" t="str">
        <f t="shared" si="253"/>
        <v/>
      </c>
      <c r="L161" s="82">
        <f t="shared" si="415"/>
        <v>0</v>
      </c>
      <c r="M161" s="83" t="str">
        <f t="shared" si="337"/>
        <v/>
      </c>
      <c r="N161" s="83" t="str">
        <f t="shared" si="254"/>
        <v/>
      </c>
      <c r="O161" s="83" t="str">
        <f t="shared" si="255"/>
        <v/>
      </c>
      <c r="P161" s="83" t="str">
        <f t="shared" si="256"/>
        <v/>
      </c>
      <c r="Q161" s="83" t="str">
        <f t="shared" si="257"/>
        <v/>
      </c>
      <c r="R161" s="106"/>
      <c r="S161" s="1"/>
      <c r="U161" s="85" t="e">
        <f t="shared" si="244"/>
        <v>#NUM!</v>
      </c>
      <c r="V161" s="86" t="e">
        <f t="shared" si="338"/>
        <v>#NUM!</v>
      </c>
      <c r="W161" s="87" t="e">
        <f t="shared" si="258"/>
        <v>#NUM!</v>
      </c>
      <c r="X161" s="87" t="e">
        <f t="shared" si="259"/>
        <v>#NUM!</v>
      </c>
      <c r="Y161" s="87" t="e">
        <f t="shared" si="260"/>
        <v>#NUM!</v>
      </c>
      <c r="Z161" s="88" t="e">
        <f t="shared" si="245"/>
        <v>#NUM!</v>
      </c>
      <c r="AA161" t="s">
        <v>282</v>
      </c>
      <c r="AB161" s="89">
        <f t="shared" si="339"/>
        <v>0</v>
      </c>
      <c r="AC161" s="87">
        <f t="shared" si="340"/>
        <v>0</v>
      </c>
      <c r="AD161" s="87" t="str">
        <f t="shared" si="261"/>
        <v/>
      </c>
      <c r="AE161" s="87" t="str">
        <f t="shared" si="262"/>
        <v/>
      </c>
      <c r="AF161" s="86">
        <f t="shared" si="341"/>
        <v>0</v>
      </c>
      <c r="AG161" s="87">
        <f t="shared" si="246"/>
        <v>0</v>
      </c>
      <c r="AH161" s="87">
        <f t="shared" si="342"/>
        <v>0</v>
      </c>
      <c r="AI161" s="90"/>
      <c r="AJ161" s="87" t="e">
        <f t="shared" si="263"/>
        <v>#NUM!</v>
      </c>
      <c r="AK161" s="87" t="e">
        <f t="shared" si="343"/>
        <v>#NUM!</v>
      </c>
      <c r="AL161" s="87" t="e">
        <f t="shared" si="344"/>
        <v>#NUM!</v>
      </c>
      <c r="AM161" s="87" t="e">
        <f t="shared" si="345"/>
        <v>#NUM!</v>
      </c>
      <c r="AN161" s="86">
        <f t="shared" si="264"/>
        <v>0</v>
      </c>
      <c r="AO161" s="87">
        <f t="shared" si="265"/>
        <v>0</v>
      </c>
      <c r="AP161" s="88">
        <f t="shared" si="266"/>
        <v>0</v>
      </c>
      <c r="AR161" s="89">
        <f t="shared" si="267"/>
        <v>0</v>
      </c>
      <c r="AS161" s="87">
        <f t="shared" si="268"/>
        <v>0</v>
      </c>
      <c r="AT161" s="87" t="str">
        <f t="shared" si="269"/>
        <v/>
      </c>
      <c r="AU161" s="87" t="str">
        <f t="shared" si="270"/>
        <v/>
      </c>
      <c r="AV161" s="86">
        <f t="shared" si="346"/>
        <v>0</v>
      </c>
      <c r="AW161" s="87">
        <f t="shared" si="347"/>
        <v>0</v>
      </c>
      <c r="AX161" s="87">
        <f t="shared" si="348"/>
        <v>0</v>
      </c>
      <c r="AY161" s="93"/>
      <c r="AZ161" s="87">
        <f t="shared" si="425"/>
        <v>0</v>
      </c>
      <c r="BA161" s="87">
        <f t="shared" si="349"/>
        <v>0</v>
      </c>
      <c r="BB161" s="87">
        <f t="shared" si="350"/>
        <v>0</v>
      </c>
      <c r="BC161" s="87">
        <f t="shared" si="416"/>
        <v>0</v>
      </c>
      <c r="BD161" s="86" t="e">
        <f t="shared" si="271"/>
        <v>#NUM!</v>
      </c>
      <c r="BE161" s="87" t="e">
        <f t="shared" si="247"/>
        <v>#NUM!</v>
      </c>
      <c r="BF161" s="88">
        <f t="shared" si="351"/>
        <v>0</v>
      </c>
      <c r="BH161" s="87" t="e">
        <f t="shared" si="272"/>
        <v>#NUM!</v>
      </c>
      <c r="BK161" s="95">
        <v>41397</v>
      </c>
      <c r="BL161" s="96">
        <v>82</v>
      </c>
      <c r="CS161" s="108" t="str">
        <f t="shared" si="273"/>
        <v/>
      </c>
      <c r="CT161" s="109" t="str">
        <f t="shared" si="274"/>
        <v/>
      </c>
      <c r="CU161" s="109" t="str">
        <f t="shared" si="275"/>
        <v/>
      </c>
      <c r="CV161" s="110" t="str">
        <f t="shared" si="225"/>
        <v/>
      </c>
      <c r="CX161" s="108" t="str">
        <f t="shared" si="276"/>
        <v/>
      </c>
      <c r="CY161" s="109" t="str">
        <f t="shared" si="352"/>
        <v/>
      </c>
      <c r="CZ161" s="109" t="str">
        <f t="shared" si="277"/>
        <v/>
      </c>
      <c r="DA161" s="110" t="str">
        <f t="shared" si="226"/>
        <v/>
      </c>
      <c r="DC161" s="108" t="str">
        <f t="shared" si="353"/>
        <v/>
      </c>
      <c r="DD161" s="109" t="str">
        <f t="shared" si="354"/>
        <v/>
      </c>
      <c r="DE161" s="109" t="str">
        <f t="shared" si="278"/>
        <v/>
      </c>
      <c r="DF161" s="110" t="str">
        <f t="shared" si="227"/>
        <v/>
      </c>
      <c r="DH161" s="108" t="str">
        <f t="shared" si="279"/>
        <v/>
      </c>
      <c r="DI161" s="109" t="str">
        <f t="shared" si="280"/>
        <v/>
      </c>
      <c r="DJ161" s="109" t="str">
        <f t="shared" si="281"/>
        <v/>
      </c>
      <c r="DK161" s="110" t="str">
        <f t="shared" si="228"/>
        <v/>
      </c>
      <c r="DM161" s="108" t="str">
        <f t="shared" si="355"/>
        <v/>
      </c>
      <c r="DN161" s="109" t="str">
        <f t="shared" si="356"/>
        <v/>
      </c>
      <c r="DO161" s="109" t="str">
        <f t="shared" si="282"/>
        <v/>
      </c>
      <c r="DP161" s="110" t="str">
        <f t="shared" si="229"/>
        <v/>
      </c>
      <c r="DR161" s="108" t="str">
        <f t="shared" si="283"/>
        <v/>
      </c>
      <c r="DS161" s="109" t="str">
        <f t="shared" si="357"/>
        <v/>
      </c>
      <c r="DT161" s="109" t="str">
        <f t="shared" si="284"/>
        <v/>
      </c>
      <c r="DU161" s="110" t="str">
        <f t="shared" si="230"/>
        <v/>
      </c>
      <c r="DW161" s="108" t="str">
        <f t="shared" si="358"/>
        <v/>
      </c>
      <c r="DX161" s="109" t="str">
        <f t="shared" si="359"/>
        <v/>
      </c>
      <c r="DY161" s="109" t="str">
        <f t="shared" si="285"/>
        <v/>
      </c>
      <c r="DZ161" s="110" t="str">
        <f t="shared" si="231"/>
        <v/>
      </c>
      <c r="EB161" s="108" t="str">
        <f t="shared" si="286"/>
        <v/>
      </c>
      <c r="EC161" s="109" t="str">
        <f t="shared" si="360"/>
        <v/>
      </c>
      <c r="ED161" s="109" t="str">
        <f t="shared" si="287"/>
        <v/>
      </c>
      <c r="EE161" s="110" t="str">
        <f t="shared" si="232"/>
        <v/>
      </c>
      <c r="EG161" s="108" t="str">
        <f t="shared" si="361"/>
        <v/>
      </c>
      <c r="EH161" s="109" t="str">
        <f t="shared" si="362"/>
        <v/>
      </c>
      <c r="EI161" s="109" t="str">
        <f t="shared" si="288"/>
        <v/>
      </c>
      <c r="EJ161" s="110" t="str">
        <f t="shared" si="233"/>
        <v/>
      </c>
      <c r="EL161" s="108" t="str">
        <f t="shared" si="289"/>
        <v/>
      </c>
      <c r="EM161" s="109" t="str">
        <f t="shared" si="363"/>
        <v/>
      </c>
      <c r="EN161" s="109" t="str">
        <f t="shared" si="290"/>
        <v/>
      </c>
      <c r="EO161" s="110" t="str">
        <f t="shared" si="234"/>
        <v/>
      </c>
      <c r="EQ161" s="108" t="str">
        <f t="shared" si="364"/>
        <v/>
      </c>
      <c r="ER161" s="109" t="str">
        <f t="shared" si="365"/>
        <v/>
      </c>
      <c r="ES161" s="109" t="str">
        <f t="shared" si="291"/>
        <v/>
      </c>
      <c r="ET161" s="110" t="str">
        <f t="shared" si="235"/>
        <v/>
      </c>
      <c r="EV161" s="108" t="str">
        <f t="shared" si="292"/>
        <v/>
      </c>
      <c r="EW161" s="109" t="str">
        <f t="shared" si="366"/>
        <v/>
      </c>
      <c r="EX161" s="109" t="str">
        <f t="shared" si="293"/>
        <v/>
      </c>
      <c r="EY161" s="110" t="str">
        <f t="shared" si="236"/>
        <v/>
      </c>
      <c r="FA161" s="108" t="str">
        <f t="shared" si="367"/>
        <v/>
      </c>
      <c r="FB161" s="109" t="str">
        <f t="shared" si="368"/>
        <v/>
      </c>
      <c r="FC161" s="109" t="str">
        <f t="shared" si="294"/>
        <v/>
      </c>
      <c r="FD161" s="110" t="str">
        <f t="shared" si="237"/>
        <v/>
      </c>
      <c r="FF161" s="108" t="str">
        <f t="shared" si="295"/>
        <v/>
      </c>
      <c r="FG161" s="109" t="str">
        <f t="shared" si="369"/>
        <v/>
      </c>
      <c r="FH161" s="109" t="str">
        <f t="shared" si="296"/>
        <v/>
      </c>
      <c r="FI161" s="110" t="str">
        <f t="shared" si="238"/>
        <v/>
      </c>
      <c r="FK161" s="108" t="str">
        <f t="shared" si="370"/>
        <v/>
      </c>
      <c r="FL161" s="109" t="str">
        <f t="shared" si="371"/>
        <v/>
      </c>
      <c r="FM161" s="109" t="str">
        <f t="shared" si="297"/>
        <v/>
      </c>
      <c r="FN161" s="110" t="str">
        <f t="shared" si="239"/>
        <v/>
      </c>
      <c r="FP161" s="108" t="str">
        <f t="shared" si="298"/>
        <v/>
      </c>
      <c r="FQ161" s="109" t="str">
        <f t="shared" si="372"/>
        <v/>
      </c>
      <c r="FR161" s="109" t="str">
        <f t="shared" si="299"/>
        <v/>
      </c>
      <c r="FS161" s="110" t="str">
        <f t="shared" si="240"/>
        <v/>
      </c>
      <c r="FU161" s="108" t="str">
        <f t="shared" si="373"/>
        <v/>
      </c>
      <c r="FV161" s="109" t="str">
        <f t="shared" si="374"/>
        <v/>
      </c>
      <c r="FW161" s="109" t="str">
        <f t="shared" si="300"/>
        <v/>
      </c>
      <c r="FX161" s="110" t="str">
        <f t="shared" si="241"/>
        <v/>
      </c>
      <c r="FZ161" s="108" t="str">
        <f t="shared" si="301"/>
        <v/>
      </c>
      <c r="GA161" s="109" t="str">
        <f t="shared" si="375"/>
        <v/>
      </c>
      <c r="GB161" s="109" t="str">
        <f t="shared" si="302"/>
        <v/>
      </c>
      <c r="GC161" s="110" t="str">
        <f t="shared" si="242"/>
        <v/>
      </c>
      <c r="GE161" s="108" t="str">
        <f t="shared" si="376"/>
        <v/>
      </c>
      <c r="GF161" s="109" t="str">
        <f t="shared" si="377"/>
        <v/>
      </c>
      <c r="GG161" s="109" t="str">
        <f t="shared" si="378"/>
        <v/>
      </c>
      <c r="GH161" s="110" t="str">
        <f t="shared" si="243"/>
        <v/>
      </c>
      <c r="GL161" s="108" t="str">
        <f t="shared" si="303"/>
        <v/>
      </c>
      <c r="GM161" s="109" t="str">
        <f t="shared" si="304"/>
        <v/>
      </c>
      <c r="GN161" s="109" t="str">
        <f t="shared" si="305"/>
        <v/>
      </c>
      <c r="GO161" s="110" t="str">
        <f t="shared" si="306"/>
        <v/>
      </c>
      <c r="GP161" s="51"/>
      <c r="GQ161" s="108" t="str">
        <f t="shared" si="307"/>
        <v/>
      </c>
      <c r="GR161" s="109" t="str">
        <f t="shared" si="379"/>
        <v/>
      </c>
      <c r="GS161" s="109" t="str">
        <f t="shared" si="308"/>
        <v/>
      </c>
      <c r="GT161" s="110" t="str">
        <f t="shared" si="309"/>
        <v/>
      </c>
      <c r="GU161" s="51"/>
      <c r="GV161" s="108" t="str">
        <f t="shared" si="380"/>
        <v/>
      </c>
      <c r="GW161" s="109" t="str">
        <f t="shared" si="381"/>
        <v/>
      </c>
      <c r="GX161" s="109" t="str">
        <f t="shared" si="310"/>
        <v/>
      </c>
      <c r="GY161" s="110" t="str">
        <f t="shared" si="382"/>
        <v/>
      </c>
      <c r="GZ161" s="51"/>
      <c r="HA161" s="108" t="str">
        <f t="shared" si="311"/>
        <v/>
      </c>
      <c r="HB161" s="109" t="str">
        <f t="shared" si="383"/>
        <v/>
      </c>
      <c r="HC161" s="109" t="str">
        <f t="shared" si="312"/>
        <v/>
      </c>
      <c r="HD161" s="110" t="str">
        <f t="shared" si="417"/>
        <v/>
      </c>
      <c r="HE161" s="51"/>
      <c r="HF161" s="108" t="str">
        <f t="shared" si="384"/>
        <v/>
      </c>
      <c r="HG161" s="109" t="str">
        <f t="shared" si="385"/>
        <v/>
      </c>
      <c r="HH161" s="109" t="str">
        <f t="shared" si="313"/>
        <v/>
      </c>
      <c r="HI161" s="110" t="str">
        <f t="shared" si="386"/>
        <v/>
      </c>
      <c r="HJ161" s="51"/>
      <c r="HK161" s="108" t="str">
        <f t="shared" si="314"/>
        <v/>
      </c>
      <c r="HL161" s="109" t="str">
        <f t="shared" si="387"/>
        <v/>
      </c>
      <c r="HM161" s="109" t="str">
        <f t="shared" si="315"/>
        <v/>
      </c>
      <c r="HN161" s="110" t="str">
        <f t="shared" si="418"/>
        <v/>
      </c>
      <c r="HO161" s="51"/>
      <c r="HP161" s="108" t="str">
        <f t="shared" si="388"/>
        <v/>
      </c>
      <c r="HQ161" s="109" t="str">
        <f t="shared" si="389"/>
        <v/>
      </c>
      <c r="HR161" s="109" t="str">
        <f t="shared" si="316"/>
        <v/>
      </c>
      <c r="HS161" s="110" t="str">
        <f t="shared" si="390"/>
        <v/>
      </c>
      <c r="HT161" s="51"/>
      <c r="HU161" s="108" t="str">
        <f t="shared" si="317"/>
        <v/>
      </c>
      <c r="HV161" s="109" t="str">
        <f t="shared" si="391"/>
        <v/>
      </c>
      <c r="HW161" s="109" t="str">
        <f t="shared" si="318"/>
        <v/>
      </c>
      <c r="HX161" s="110" t="str">
        <f t="shared" si="419"/>
        <v/>
      </c>
      <c r="HY161" s="51"/>
      <c r="HZ161" s="108" t="str">
        <f t="shared" si="392"/>
        <v/>
      </c>
      <c r="IA161" s="109" t="str">
        <f t="shared" si="393"/>
        <v/>
      </c>
      <c r="IB161" s="109" t="str">
        <f t="shared" si="319"/>
        <v/>
      </c>
      <c r="IC161" s="110" t="str">
        <f t="shared" si="394"/>
        <v/>
      </c>
      <c r="ID161" s="51"/>
      <c r="IE161" s="108" t="str">
        <f t="shared" si="320"/>
        <v/>
      </c>
      <c r="IF161" s="109" t="str">
        <f t="shared" si="395"/>
        <v/>
      </c>
      <c r="IG161" s="109" t="str">
        <f t="shared" si="321"/>
        <v/>
      </c>
      <c r="IH161" s="110" t="str">
        <f t="shared" si="420"/>
        <v/>
      </c>
      <c r="II161" s="51"/>
      <c r="IJ161" s="108" t="str">
        <f t="shared" si="396"/>
        <v/>
      </c>
      <c r="IK161" s="109" t="str">
        <f t="shared" si="397"/>
        <v/>
      </c>
      <c r="IL161" s="109" t="str">
        <f t="shared" si="322"/>
        <v/>
      </c>
      <c r="IM161" s="110" t="str">
        <f t="shared" si="398"/>
        <v/>
      </c>
      <c r="IN161" s="51"/>
      <c r="IO161" s="108" t="str">
        <f t="shared" si="323"/>
        <v/>
      </c>
      <c r="IP161" s="109" t="str">
        <f t="shared" si="399"/>
        <v/>
      </c>
      <c r="IQ161" s="109" t="str">
        <f t="shared" si="324"/>
        <v/>
      </c>
      <c r="IR161" s="110" t="str">
        <f t="shared" si="421"/>
        <v/>
      </c>
      <c r="IS161" s="51"/>
      <c r="IT161" s="108" t="str">
        <f t="shared" si="400"/>
        <v/>
      </c>
      <c r="IU161" s="109" t="str">
        <f t="shared" si="401"/>
        <v/>
      </c>
      <c r="IV161" s="109" t="str">
        <f t="shared" si="325"/>
        <v/>
      </c>
      <c r="IW161" s="110" t="str">
        <f t="shared" si="402"/>
        <v/>
      </c>
      <c r="IX161" s="51"/>
      <c r="IY161" s="108" t="str">
        <f t="shared" si="326"/>
        <v/>
      </c>
      <c r="IZ161" s="109" t="str">
        <f t="shared" si="403"/>
        <v/>
      </c>
      <c r="JA161" s="109" t="str">
        <f t="shared" si="327"/>
        <v/>
      </c>
      <c r="JB161" s="110" t="str">
        <f t="shared" si="422"/>
        <v/>
      </c>
      <c r="JC161" s="51"/>
      <c r="JD161" s="108" t="str">
        <f t="shared" si="404"/>
        <v/>
      </c>
      <c r="JE161" s="109" t="str">
        <f t="shared" si="405"/>
        <v/>
      </c>
      <c r="JF161" s="109" t="str">
        <f t="shared" si="328"/>
        <v/>
      </c>
      <c r="JG161" s="110" t="str">
        <f t="shared" si="406"/>
        <v/>
      </c>
      <c r="JH161" s="51"/>
      <c r="JI161" s="108" t="str">
        <f t="shared" si="329"/>
        <v/>
      </c>
      <c r="JJ161" s="109" t="str">
        <f t="shared" si="407"/>
        <v/>
      </c>
      <c r="JK161" s="109" t="str">
        <f t="shared" si="330"/>
        <v/>
      </c>
      <c r="JL161" s="110" t="str">
        <f t="shared" si="423"/>
        <v/>
      </c>
      <c r="JM161" s="51"/>
      <c r="JN161" s="108" t="str">
        <f t="shared" si="408"/>
        <v/>
      </c>
      <c r="JO161" s="109" t="str">
        <f t="shared" si="409"/>
        <v/>
      </c>
      <c r="JP161" s="109" t="str">
        <f t="shared" si="331"/>
        <v/>
      </c>
      <c r="JQ161" s="110" t="str">
        <f t="shared" si="410"/>
        <v/>
      </c>
      <c r="JR161" s="51"/>
      <c r="JS161" s="108" t="str">
        <f t="shared" si="332"/>
        <v/>
      </c>
      <c r="JT161" s="109" t="str">
        <f t="shared" si="411"/>
        <v/>
      </c>
      <c r="JU161" s="109" t="str">
        <f t="shared" si="333"/>
        <v/>
      </c>
      <c r="JV161" s="110" t="str">
        <f t="shared" si="424"/>
        <v/>
      </c>
      <c r="JW161" s="51"/>
      <c r="JX161" s="108" t="str">
        <f t="shared" si="412"/>
        <v/>
      </c>
      <c r="JY161" s="109" t="str">
        <f t="shared" si="413"/>
        <v/>
      </c>
      <c r="JZ161" s="109" t="str">
        <f t="shared" si="334"/>
        <v/>
      </c>
      <c r="KA161" s="110" t="str">
        <f t="shared" si="335"/>
        <v/>
      </c>
    </row>
    <row r="162" spans="1:287" ht="12" customHeight="1">
      <c r="A162" s="105">
        <f t="array" ref="A162">MAX(IF($J$80:J161&gt;0,$C$80:C161,0))</f>
        <v>43536</v>
      </c>
      <c r="B162" s="81" t="str">
        <f t="shared" si="248"/>
        <v/>
      </c>
      <c r="C162" s="82">
        <f t="shared" si="414"/>
        <v>0</v>
      </c>
      <c r="D162" s="83" t="str">
        <f t="shared" si="249"/>
        <v/>
      </c>
      <c r="E162" s="83" t="str">
        <f t="shared" si="336"/>
        <v/>
      </c>
      <c r="F162" s="83" t="str">
        <f t="shared" si="250"/>
        <v/>
      </c>
      <c r="G162" s="83" t="str">
        <f t="shared" si="251"/>
        <v/>
      </c>
      <c r="H162" s="83" t="str">
        <f t="shared" si="252"/>
        <v/>
      </c>
      <c r="I162" s="105">
        <f t="array" ref="I162">MAX(IF($R$80:R161&gt;0,$L$80:L161,0))</f>
        <v>0</v>
      </c>
      <c r="J162" s="106"/>
      <c r="K162" s="2" t="str">
        <f t="shared" si="253"/>
        <v/>
      </c>
      <c r="L162" s="82">
        <f t="shared" si="415"/>
        <v>0</v>
      </c>
      <c r="M162" s="83" t="str">
        <f t="shared" si="337"/>
        <v/>
      </c>
      <c r="N162" s="83" t="str">
        <f t="shared" si="254"/>
        <v/>
      </c>
      <c r="O162" s="83" t="str">
        <f t="shared" si="255"/>
        <v/>
      </c>
      <c r="P162" s="83" t="str">
        <f t="shared" si="256"/>
        <v/>
      </c>
      <c r="Q162" s="83" t="str">
        <f t="shared" si="257"/>
        <v/>
      </c>
      <c r="R162" s="106"/>
      <c r="S162" s="1"/>
      <c r="U162" s="85" t="e">
        <f t="shared" si="244"/>
        <v>#NUM!</v>
      </c>
      <c r="V162" s="86" t="e">
        <f t="shared" si="338"/>
        <v>#NUM!</v>
      </c>
      <c r="W162" s="87" t="e">
        <f t="shared" si="258"/>
        <v>#NUM!</v>
      </c>
      <c r="X162" s="87" t="e">
        <f t="shared" si="259"/>
        <v>#NUM!</v>
      </c>
      <c r="Y162" s="87" t="e">
        <f t="shared" si="260"/>
        <v>#NUM!</v>
      </c>
      <c r="Z162" s="88" t="e">
        <f t="shared" si="245"/>
        <v>#NUM!</v>
      </c>
      <c r="AA162" t="s">
        <v>282</v>
      </c>
      <c r="AB162" s="89">
        <f t="shared" si="339"/>
        <v>0</v>
      </c>
      <c r="AC162" s="87">
        <f t="shared" si="340"/>
        <v>0</v>
      </c>
      <c r="AD162" s="87" t="str">
        <f t="shared" si="261"/>
        <v/>
      </c>
      <c r="AE162" s="87" t="str">
        <f t="shared" si="262"/>
        <v/>
      </c>
      <c r="AF162" s="86">
        <f t="shared" si="341"/>
        <v>0</v>
      </c>
      <c r="AG162" s="87">
        <f t="shared" si="246"/>
        <v>0</v>
      </c>
      <c r="AH162" s="87">
        <f t="shared" si="342"/>
        <v>0</v>
      </c>
      <c r="AI162" s="90"/>
      <c r="AJ162" s="87" t="e">
        <f t="shared" si="263"/>
        <v>#NUM!</v>
      </c>
      <c r="AK162" s="87" t="e">
        <f t="shared" si="343"/>
        <v>#NUM!</v>
      </c>
      <c r="AL162" s="87" t="e">
        <f t="shared" si="344"/>
        <v>#NUM!</v>
      </c>
      <c r="AM162" s="87" t="e">
        <f t="shared" si="345"/>
        <v>#NUM!</v>
      </c>
      <c r="AN162" s="86">
        <f t="shared" si="264"/>
        <v>0</v>
      </c>
      <c r="AO162" s="87">
        <f t="shared" si="265"/>
        <v>0</v>
      </c>
      <c r="AP162" s="88">
        <f t="shared" si="266"/>
        <v>0</v>
      </c>
      <c r="AR162" s="89">
        <f t="shared" si="267"/>
        <v>0</v>
      </c>
      <c r="AS162" s="87">
        <f t="shared" si="268"/>
        <v>0</v>
      </c>
      <c r="AT162" s="87" t="str">
        <f t="shared" si="269"/>
        <v/>
      </c>
      <c r="AU162" s="87" t="str">
        <f t="shared" si="270"/>
        <v/>
      </c>
      <c r="AV162" s="86">
        <f t="shared" si="346"/>
        <v>0</v>
      </c>
      <c r="AW162" s="87">
        <f t="shared" si="347"/>
        <v>0</v>
      </c>
      <c r="AX162" s="87">
        <f t="shared" si="348"/>
        <v>0</v>
      </c>
      <c r="AY162" s="93"/>
      <c r="AZ162" s="87">
        <f t="shared" si="425"/>
        <v>0</v>
      </c>
      <c r="BA162" s="87">
        <f t="shared" si="349"/>
        <v>0</v>
      </c>
      <c r="BB162" s="87">
        <f t="shared" si="350"/>
        <v>0</v>
      </c>
      <c r="BC162" s="87">
        <f t="shared" si="416"/>
        <v>0</v>
      </c>
      <c r="BD162" s="86" t="e">
        <f t="shared" si="271"/>
        <v>#NUM!</v>
      </c>
      <c r="BE162" s="87" t="e">
        <f t="shared" si="247"/>
        <v>#NUM!</v>
      </c>
      <c r="BF162" s="88">
        <f t="shared" si="351"/>
        <v>0</v>
      </c>
      <c r="BH162" s="87" t="e">
        <f t="shared" si="272"/>
        <v>#NUM!</v>
      </c>
      <c r="BK162" s="95">
        <v>41400</v>
      </c>
      <c r="BL162" s="96">
        <v>83</v>
      </c>
      <c r="CS162" s="108" t="str">
        <f t="shared" si="273"/>
        <v/>
      </c>
      <c r="CT162" s="109" t="str">
        <f t="shared" si="274"/>
        <v/>
      </c>
      <c r="CU162" s="109" t="str">
        <f t="shared" si="275"/>
        <v/>
      </c>
      <c r="CV162" s="110" t="str">
        <f t="shared" si="225"/>
        <v/>
      </c>
      <c r="CX162" s="108" t="str">
        <f t="shared" si="276"/>
        <v/>
      </c>
      <c r="CY162" s="109" t="str">
        <f t="shared" si="352"/>
        <v/>
      </c>
      <c r="CZ162" s="109" t="str">
        <f t="shared" si="277"/>
        <v/>
      </c>
      <c r="DA162" s="110" t="str">
        <f t="shared" si="226"/>
        <v/>
      </c>
      <c r="DC162" s="108" t="str">
        <f t="shared" si="353"/>
        <v/>
      </c>
      <c r="DD162" s="109" t="str">
        <f t="shared" si="354"/>
        <v/>
      </c>
      <c r="DE162" s="109" t="str">
        <f t="shared" si="278"/>
        <v/>
      </c>
      <c r="DF162" s="110" t="str">
        <f t="shared" si="227"/>
        <v/>
      </c>
      <c r="DH162" s="108" t="str">
        <f t="shared" si="279"/>
        <v/>
      </c>
      <c r="DI162" s="109" t="str">
        <f t="shared" si="280"/>
        <v/>
      </c>
      <c r="DJ162" s="109" t="str">
        <f t="shared" si="281"/>
        <v/>
      </c>
      <c r="DK162" s="110" t="str">
        <f t="shared" si="228"/>
        <v/>
      </c>
      <c r="DM162" s="108" t="str">
        <f t="shared" si="355"/>
        <v/>
      </c>
      <c r="DN162" s="109" t="str">
        <f t="shared" si="356"/>
        <v/>
      </c>
      <c r="DO162" s="109" t="str">
        <f t="shared" si="282"/>
        <v/>
      </c>
      <c r="DP162" s="110" t="str">
        <f t="shared" si="229"/>
        <v/>
      </c>
      <c r="DR162" s="108" t="str">
        <f t="shared" si="283"/>
        <v/>
      </c>
      <c r="DS162" s="109" t="str">
        <f t="shared" si="357"/>
        <v/>
      </c>
      <c r="DT162" s="109" t="str">
        <f t="shared" si="284"/>
        <v/>
      </c>
      <c r="DU162" s="110" t="str">
        <f t="shared" si="230"/>
        <v/>
      </c>
      <c r="DW162" s="108" t="str">
        <f t="shared" si="358"/>
        <v/>
      </c>
      <c r="DX162" s="109" t="str">
        <f t="shared" si="359"/>
        <v/>
      </c>
      <c r="DY162" s="109" t="str">
        <f t="shared" si="285"/>
        <v/>
      </c>
      <c r="DZ162" s="110" t="str">
        <f t="shared" si="231"/>
        <v/>
      </c>
      <c r="EB162" s="108" t="str">
        <f t="shared" si="286"/>
        <v/>
      </c>
      <c r="EC162" s="109" t="str">
        <f t="shared" si="360"/>
        <v/>
      </c>
      <c r="ED162" s="109" t="str">
        <f t="shared" si="287"/>
        <v/>
      </c>
      <c r="EE162" s="110" t="str">
        <f t="shared" si="232"/>
        <v/>
      </c>
      <c r="EG162" s="108" t="str">
        <f t="shared" si="361"/>
        <v/>
      </c>
      <c r="EH162" s="109" t="str">
        <f t="shared" si="362"/>
        <v/>
      </c>
      <c r="EI162" s="109" t="str">
        <f t="shared" si="288"/>
        <v/>
      </c>
      <c r="EJ162" s="110" t="str">
        <f t="shared" si="233"/>
        <v/>
      </c>
      <c r="EL162" s="108" t="str">
        <f t="shared" si="289"/>
        <v/>
      </c>
      <c r="EM162" s="109" t="str">
        <f t="shared" si="363"/>
        <v/>
      </c>
      <c r="EN162" s="109" t="str">
        <f t="shared" si="290"/>
        <v/>
      </c>
      <c r="EO162" s="110" t="str">
        <f t="shared" si="234"/>
        <v/>
      </c>
      <c r="EQ162" s="108" t="str">
        <f t="shared" si="364"/>
        <v/>
      </c>
      <c r="ER162" s="109" t="str">
        <f t="shared" si="365"/>
        <v/>
      </c>
      <c r="ES162" s="109" t="str">
        <f t="shared" si="291"/>
        <v/>
      </c>
      <c r="ET162" s="110" t="str">
        <f t="shared" si="235"/>
        <v/>
      </c>
      <c r="EV162" s="108" t="str">
        <f t="shared" si="292"/>
        <v/>
      </c>
      <c r="EW162" s="109" t="str">
        <f t="shared" si="366"/>
        <v/>
      </c>
      <c r="EX162" s="109" t="str">
        <f t="shared" si="293"/>
        <v/>
      </c>
      <c r="EY162" s="110" t="str">
        <f t="shared" si="236"/>
        <v/>
      </c>
      <c r="FA162" s="108" t="str">
        <f t="shared" si="367"/>
        <v/>
      </c>
      <c r="FB162" s="109" t="str">
        <f t="shared" si="368"/>
        <v/>
      </c>
      <c r="FC162" s="109" t="str">
        <f t="shared" si="294"/>
        <v/>
      </c>
      <c r="FD162" s="110" t="str">
        <f t="shared" si="237"/>
        <v/>
      </c>
      <c r="FF162" s="108" t="str">
        <f t="shared" si="295"/>
        <v/>
      </c>
      <c r="FG162" s="109" t="str">
        <f t="shared" si="369"/>
        <v/>
      </c>
      <c r="FH162" s="109" t="str">
        <f t="shared" si="296"/>
        <v/>
      </c>
      <c r="FI162" s="110" t="str">
        <f t="shared" si="238"/>
        <v/>
      </c>
      <c r="FK162" s="108" t="str">
        <f t="shared" si="370"/>
        <v/>
      </c>
      <c r="FL162" s="109" t="str">
        <f t="shared" si="371"/>
        <v/>
      </c>
      <c r="FM162" s="109" t="str">
        <f t="shared" si="297"/>
        <v/>
      </c>
      <c r="FN162" s="110" t="str">
        <f t="shared" si="239"/>
        <v/>
      </c>
      <c r="FP162" s="108" t="str">
        <f t="shared" si="298"/>
        <v/>
      </c>
      <c r="FQ162" s="109" t="str">
        <f t="shared" si="372"/>
        <v/>
      </c>
      <c r="FR162" s="109" t="str">
        <f t="shared" si="299"/>
        <v/>
      </c>
      <c r="FS162" s="110" t="str">
        <f t="shared" si="240"/>
        <v/>
      </c>
      <c r="FU162" s="108" t="str">
        <f t="shared" si="373"/>
        <v/>
      </c>
      <c r="FV162" s="109" t="str">
        <f t="shared" si="374"/>
        <v/>
      </c>
      <c r="FW162" s="109" t="str">
        <f t="shared" si="300"/>
        <v/>
      </c>
      <c r="FX162" s="110" t="str">
        <f t="shared" si="241"/>
        <v/>
      </c>
      <c r="FZ162" s="108" t="str">
        <f t="shared" si="301"/>
        <v/>
      </c>
      <c r="GA162" s="109" t="str">
        <f t="shared" si="375"/>
        <v/>
      </c>
      <c r="GB162" s="109" t="str">
        <f t="shared" si="302"/>
        <v/>
      </c>
      <c r="GC162" s="110" t="str">
        <f t="shared" si="242"/>
        <v/>
      </c>
      <c r="GE162" s="108" t="str">
        <f t="shared" si="376"/>
        <v/>
      </c>
      <c r="GF162" s="109" t="str">
        <f t="shared" si="377"/>
        <v/>
      </c>
      <c r="GG162" s="109" t="str">
        <f t="shared" si="378"/>
        <v/>
      </c>
      <c r="GH162" s="110" t="str">
        <f t="shared" si="243"/>
        <v/>
      </c>
      <c r="GL162" s="108" t="str">
        <f t="shared" si="303"/>
        <v/>
      </c>
      <c r="GM162" s="109" t="str">
        <f t="shared" si="304"/>
        <v/>
      </c>
      <c r="GN162" s="109" t="str">
        <f t="shared" si="305"/>
        <v/>
      </c>
      <c r="GO162" s="110" t="str">
        <f t="shared" si="306"/>
        <v/>
      </c>
      <c r="GP162" s="51"/>
      <c r="GQ162" s="108" t="str">
        <f t="shared" si="307"/>
        <v/>
      </c>
      <c r="GR162" s="109" t="str">
        <f t="shared" si="379"/>
        <v/>
      </c>
      <c r="GS162" s="109" t="str">
        <f t="shared" si="308"/>
        <v/>
      </c>
      <c r="GT162" s="110" t="str">
        <f t="shared" si="309"/>
        <v/>
      </c>
      <c r="GU162" s="51"/>
      <c r="GV162" s="108" t="str">
        <f t="shared" si="380"/>
        <v/>
      </c>
      <c r="GW162" s="109" t="str">
        <f t="shared" si="381"/>
        <v/>
      </c>
      <c r="GX162" s="109" t="str">
        <f t="shared" si="310"/>
        <v/>
      </c>
      <c r="GY162" s="110" t="str">
        <f t="shared" si="382"/>
        <v/>
      </c>
      <c r="GZ162" s="51"/>
      <c r="HA162" s="108" t="str">
        <f t="shared" si="311"/>
        <v/>
      </c>
      <c r="HB162" s="109" t="str">
        <f t="shared" si="383"/>
        <v/>
      </c>
      <c r="HC162" s="109" t="str">
        <f t="shared" si="312"/>
        <v/>
      </c>
      <c r="HD162" s="110" t="str">
        <f t="shared" si="417"/>
        <v/>
      </c>
      <c r="HE162" s="51"/>
      <c r="HF162" s="108" t="str">
        <f t="shared" si="384"/>
        <v/>
      </c>
      <c r="HG162" s="109" t="str">
        <f t="shared" si="385"/>
        <v/>
      </c>
      <c r="HH162" s="109" t="str">
        <f t="shared" si="313"/>
        <v/>
      </c>
      <c r="HI162" s="110" t="str">
        <f t="shared" si="386"/>
        <v/>
      </c>
      <c r="HJ162" s="51"/>
      <c r="HK162" s="108" t="str">
        <f t="shared" si="314"/>
        <v/>
      </c>
      <c r="HL162" s="109" t="str">
        <f t="shared" si="387"/>
        <v/>
      </c>
      <c r="HM162" s="109" t="str">
        <f t="shared" si="315"/>
        <v/>
      </c>
      <c r="HN162" s="110" t="str">
        <f t="shared" si="418"/>
        <v/>
      </c>
      <c r="HO162" s="51"/>
      <c r="HP162" s="108" t="str">
        <f t="shared" si="388"/>
        <v/>
      </c>
      <c r="HQ162" s="109" t="str">
        <f t="shared" si="389"/>
        <v/>
      </c>
      <c r="HR162" s="109" t="str">
        <f t="shared" si="316"/>
        <v/>
      </c>
      <c r="HS162" s="110" t="str">
        <f t="shared" si="390"/>
        <v/>
      </c>
      <c r="HT162" s="51"/>
      <c r="HU162" s="108" t="str">
        <f t="shared" si="317"/>
        <v/>
      </c>
      <c r="HV162" s="109" t="str">
        <f t="shared" si="391"/>
        <v/>
      </c>
      <c r="HW162" s="109" t="str">
        <f t="shared" si="318"/>
        <v/>
      </c>
      <c r="HX162" s="110" t="str">
        <f t="shared" si="419"/>
        <v/>
      </c>
      <c r="HY162" s="51"/>
      <c r="HZ162" s="108" t="str">
        <f t="shared" si="392"/>
        <v/>
      </c>
      <c r="IA162" s="109" t="str">
        <f t="shared" si="393"/>
        <v/>
      </c>
      <c r="IB162" s="109" t="str">
        <f t="shared" si="319"/>
        <v/>
      </c>
      <c r="IC162" s="110" t="str">
        <f t="shared" si="394"/>
        <v/>
      </c>
      <c r="ID162" s="51"/>
      <c r="IE162" s="108" t="str">
        <f t="shared" si="320"/>
        <v/>
      </c>
      <c r="IF162" s="109" t="str">
        <f t="shared" si="395"/>
        <v/>
      </c>
      <c r="IG162" s="109" t="str">
        <f t="shared" si="321"/>
        <v/>
      </c>
      <c r="IH162" s="110" t="str">
        <f t="shared" si="420"/>
        <v/>
      </c>
      <c r="II162" s="51"/>
      <c r="IJ162" s="108" t="str">
        <f t="shared" si="396"/>
        <v/>
      </c>
      <c r="IK162" s="109" t="str">
        <f t="shared" si="397"/>
        <v/>
      </c>
      <c r="IL162" s="109" t="str">
        <f t="shared" si="322"/>
        <v/>
      </c>
      <c r="IM162" s="110" t="str">
        <f t="shared" si="398"/>
        <v/>
      </c>
      <c r="IN162" s="51"/>
      <c r="IO162" s="108" t="str">
        <f t="shared" si="323"/>
        <v/>
      </c>
      <c r="IP162" s="109" t="str">
        <f t="shared" si="399"/>
        <v/>
      </c>
      <c r="IQ162" s="109" t="str">
        <f t="shared" si="324"/>
        <v/>
      </c>
      <c r="IR162" s="110" t="str">
        <f t="shared" si="421"/>
        <v/>
      </c>
      <c r="IS162" s="51"/>
      <c r="IT162" s="108" t="str">
        <f t="shared" si="400"/>
        <v/>
      </c>
      <c r="IU162" s="109" t="str">
        <f t="shared" si="401"/>
        <v/>
      </c>
      <c r="IV162" s="109" t="str">
        <f t="shared" si="325"/>
        <v/>
      </c>
      <c r="IW162" s="110" t="str">
        <f t="shared" si="402"/>
        <v/>
      </c>
      <c r="IX162" s="51"/>
      <c r="IY162" s="108" t="str">
        <f t="shared" si="326"/>
        <v/>
      </c>
      <c r="IZ162" s="109" t="str">
        <f t="shared" si="403"/>
        <v/>
      </c>
      <c r="JA162" s="109" t="str">
        <f t="shared" si="327"/>
        <v/>
      </c>
      <c r="JB162" s="110" t="str">
        <f t="shared" si="422"/>
        <v/>
      </c>
      <c r="JC162" s="51"/>
      <c r="JD162" s="108" t="str">
        <f t="shared" si="404"/>
        <v/>
      </c>
      <c r="JE162" s="109" t="str">
        <f t="shared" si="405"/>
        <v/>
      </c>
      <c r="JF162" s="109" t="str">
        <f t="shared" si="328"/>
        <v/>
      </c>
      <c r="JG162" s="110" t="str">
        <f t="shared" si="406"/>
        <v/>
      </c>
      <c r="JH162" s="51"/>
      <c r="JI162" s="108" t="str">
        <f t="shared" si="329"/>
        <v/>
      </c>
      <c r="JJ162" s="109" t="str">
        <f t="shared" si="407"/>
        <v/>
      </c>
      <c r="JK162" s="109" t="str">
        <f t="shared" si="330"/>
        <v/>
      </c>
      <c r="JL162" s="110" t="str">
        <f t="shared" si="423"/>
        <v/>
      </c>
      <c r="JM162" s="51"/>
      <c r="JN162" s="108" t="str">
        <f t="shared" si="408"/>
        <v/>
      </c>
      <c r="JO162" s="109" t="str">
        <f t="shared" si="409"/>
        <v/>
      </c>
      <c r="JP162" s="109" t="str">
        <f t="shared" si="331"/>
        <v/>
      </c>
      <c r="JQ162" s="110" t="str">
        <f t="shared" si="410"/>
        <v/>
      </c>
      <c r="JR162" s="51"/>
      <c r="JS162" s="108" t="str">
        <f t="shared" si="332"/>
        <v/>
      </c>
      <c r="JT162" s="109" t="str">
        <f t="shared" si="411"/>
        <v/>
      </c>
      <c r="JU162" s="109" t="str">
        <f t="shared" si="333"/>
        <v/>
      </c>
      <c r="JV162" s="110" t="str">
        <f t="shared" si="424"/>
        <v/>
      </c>
      <c r="JW162" s="51"/>
      <c r="JX162" s="108" t="str">
        <f t="shared" si="412"/>
        <v/>
      </c>
      <c r="JY162" s="109" t="str">
        <f t="shared" si="413"/>
        <v/>
      </c>
      <c r="JZ162" s="109" t="str">
        <f t="shared" si="334"/>
        <v/>
      </c>
      <c r="KA162" s="110" t="str">
        <f t="shared" si="335"/>
        <v/>
      </c>
    </row>
    <row r="163" spans="1:287" ht="12" customHeight="1">
      <c r="A163" s="105">
        <f t="array" ref="A163">MAX(IF($J$80:J162&gt;0,$C$80:C162,0))</f>
        <v>43536</v>
      </c>
      <c r="B163" s="81" t="str">
        <f t="shared" si="248"/>
        <v/>
      </c>
      <c r="C163" s="82">
        <f t="shared" si="414"/>
        <v>0</v>
      </c>
      <c r="D163" s="83" t="str">
        <f t="shared" si="249"/>
        <v/>
      </c>
      <c r="E163" s="83" t="str">
        <f t="shared" si="336"/>
        <v/>
      </c>
      <c r="F163" s="83" t="str">
        <f t="shared" si="250"/>
        <v/>
      </c>
      <c r="G163" s="83" t="str">
        <f t="shared" si="251"/>
        <v/>
      </c>
      <c r="H163" s="83" t="str">
        <f t="shared" si="252"/>
        <v/>
      </c>
      <c r="I163" s="105">
        <f t="array" ref="I163">MAX(IF($R$80:R162&gt;0,$L$80:L162,0))</f>
        <v>0</v>
      </c>
      <c r="J163" s="106"/>
      <c r="K163" s="2" t="str">
        <f t="shared" si="253"/>
        <v/>
      </c>
      <c r="L163" s="82">
        <f t="shared" si="415"/>
        <v>0</v>
      </c>
      <c r="M163" s="83" t="str">
        <f t="shared" si="337"/>
        <v/>
      </c>
      <c r="N163" s="83" t="str">
        <f t="shared" si="254"/>
        <v/>
      </c>
      <c r="O163" s="83" t="str">
        <f t="shared" si="255"/>
        <v/>
      </c>
      <c r="P163" s="83" t="str">
        <f t="shared" si="256"/>
        <v/>
      </c>
      <c r="Q163" s="83" t="str">
        <f t="shared" si="257"/>
        <v/>
      </c>
      <c r="R163" s="106"/>
      <c r="S163" s="1"/>
      <c r="U163" s="85" t="e">
        <f t="shared" si="244"/>
        <v>#NUM!</v>
      </c>
      <c r="V163" s="86" t="e">
        <f t="shared" si="338"/>
        <v>#NUM!</v>
      </c>
      <c r="W163" s="87" t="e">
        <f t="shared" si="258"/>
        <v>#NUM!</v>
      </c>
      <c r="X163" s="87" t="e">
        <f t="shared" si="259"/>
        <v>#NUM!</v>
      </c>
      <c r="Y163" s="87" t="e">
        <f t="shared" si="260"/>
        <v>#NUM!</v>
      </c>
      <c r="Z163" s="88" t="e">
        <f t="shared" si="245"/>
        <v>#NUM!</v>
      </c>
      <c r="AA163" t="s">
        <v>282</v>
      </c>
      <c r="AB163" s="89">
        <f t="shared" si="339"/>
        <v>0</v>
      </c>
      <c r="AC163" s="87">
        <f t="shared" si="340"/>
        <v>0</v>
      </c>
      <c r="AD163" s="87" t="str">
        <f t="shared" si="261"/>
        <v/>
      </c>
      <c r="AE163" s="87" t="str">
        <f t="shared" si="262"/>
        <v/>
      </c>
      <c r="AF163" s="86">
        <f t="shared" si="341"/>
        <v>0</v>
      </c>
      <c r="AG163" s="87">
        <f t="shared" si="246"/>
        <v>0</v>
      </c>
      <c r="AH163" s="87">
        <f t="shared" si="342"/>
        <v>0</v>
      </c>
      <c r="AI163" s="90"/>
      <c r="AJ163" s="87" t="e">
        <f t="shared" si="263"/>
        <v>#NUM!</v>
      </c>
      <c r="AK163" s="87" t="e">
        <f t="shared" si="343"/>
        <v>#NUM!</v>
      </c>
      <c r="AL163" s="87" t="e">
        <f t="shared" si="344"/>
        <v>#NUM!</v>
      </c>
      <c r="AM163" s="87" t="e">
        <f t="shared" si="345"/>
        <v>#NUM!</v>
      </c>
      <c r="AN163" s="86">
        <f t="shared" si="264"/>
        <v>0</v>
      </c>
      <c r="AO163" s="87">
        <f t="shared" si="265"/>
        <v>0</v>
      </c>
      <c r="AP163" s="88">
        <f t="shared" si="266"/>
        <v>0</v>
      </c>
      <c r="AR163" s="89">
        <f t="shared" si="267"/>
        <v>0</v>
      </c>
      <c r="AS163" s="87">
        <f t="shared" si="268"/>
        <v>0</v>
      </c>
      <c r="AT163" s="87" t="str">
        <f t="shared" si="269"/>
        <v/>
      </c>
      <c r="AU163" s="87" t="str">
        <f t="shared" si="270"/>
        <v/>
      </c>
      <c r="AV163" s="86">
        <f t="shared" si="346"/>
        <v>0</v>
      </c>
      <c r="AW163" s="87">
        <f t="shared" si="347"/>
        <v>0</v>
      </c>
      <c r="AX163" s="87">
        <f t="shared" si="348"/>
        <v>0</v>
      </c>
      <c r="AY163" s="93"/>
      <c r="AZ163" s="87">
        <f t="shared" si="425"/>
        <v>0</v>
      </c>
      <c r="BA163" s="87">
        <f t="shared" si="349"/>
        <v>0</v>
      </c>
      <c r="BB163" s="87">
        <f t="shared" si="350"/>
        <v>0</v>
      </c>
      <c r="BC163" s="87">
        <f t="shared" si="416"/>
        <v>0</v>
      </c>
      <c r="BD163" s="86" t="e">
        <f t="shared" si="271"/>
        <v>#NUM!</v>
      </c>
      <c r="BE163" s="87" t="e">
        <f t="shared" si="247"/>
        <v>#NUM!</v>
      </c>
      <c r="BF163" s="88">
        <f t="shared" si="351"/>
        <v>0</v>
      </c>
      <c r="BH163" s="87" t="e">
        <f t="shared" si="272"/>
        <v>#NUM!</v>
      </c>
      <c r="BK163" s="95">
        <v>41403</v>
      </c>
      <c r="BL163" s="96">
        <v>84</v>
      </c>
      <c r="CS163" s="108" t="str">
        <f t="shared" si="273"/>
        <v/>
      </c>
      <c r="CT163" s="109" t="str">
        <f t="shared" si="274"/>
        <v/>
      </c>
      <c r="CU163" s="109" t="str">
        <f t="shared" si="275"/>
        <v/>
      </c>
      <c r="CV163" s="110" t="str">
        <f t="shared" si="225"/>
        <v/>
      </c>
      <c r="CX163" s="108" t="str">
        <f t="shared" si="276"/>
        <v/>
      </c>
      <c r="CY163" s="109" t="str">
        <f t="shared" si="352"/>
        <v/>
      </c>
      <c r="CZ163" s="109" t="str">
        <f t="shared" si="277"/>
        <v/>
      </c>
      <c r="DA163" s="110" t="str">
        <f t="shared" si="226"/>
        <v/>
      </c>
      <c r="DC163" s="108" t="str">
        <f t="shared" si="353"/>
        <v/>
      </c>
      <c r="DD163" s="109" t="str">
        <f t="shared" si="354"/>
        <v/>
      </c>
      <c r="DE163" s="109" t="str">
        <f t="shared" si="278"/>
        <v/>
      </c>
      <c r="DF163" s="110" t="str">
        <f t="shared" si="227"/>
        <v/>
      </c>
      <c r="DH163" s="108" t="str">
        <f t="shared" si="279"/>
        <v/>
      </c>
      <c r="DI163" s="109" t="str">
        <f t="shared" si="280"/>
        <v/>
      </c>
      <c r="DJ163" s="109" t="str">
        <f t="shared" si="281"/>
        <v/>
      </c>
      <c r="DK163" s="110" t="str">
        <f t="shared" si="228"/>
        <v/>
      </c>
      <c r="DM163" s="108" t="str">
        <f t="shared" si="355"/>
        <v/>
      </c>
      <c r="DN163" s="109" t="str">
        <f t="shared" si="356"/>
        <v/>
      </c>
      <c r="DO163" s="109" t="str">
        <f t="shared" si="282"/>
        <v/>
      </c>
      <c r="DP163" s="110" t="str">
        <f t="shared" si="229"/>
        <v/>
      </c>
      <c r="DR163" s="108" t="str">
        <f t="shared" si="283"/>
        <v/>
      </c>
      <c r="DS163" s="109" t="str">
        <f t="shared" si="357"/>
        <v/>
      </c>
      <c r="DT163" s="109" t="str">
        <f t="shared" si="284"/>
        <v/>
      </c>
      <c r="DU163" s="110" t="str">
        <f t="shared" si="230"/>
        <v/>
      </c>
      <c r="DW163" s="108" t="str">
        <f t="shared" si="358"/>
        <v/>
      </c>
      <c r="DX163" s="109" t="str">
        <f t="shared" si="359"/>
        <v/>
      </c>
      <c r="DY163" s="109" t="str">
        <f t="shared" si="285"/>
        <v/>
      </c>
      <c r="DZ163" s="110" t="str">
        <f t="shared" si="231"/>
        <v/>
      </c>
      <c r="EB163" s="108" t="str">
        <f t="shared" si="286"/>
        <v/>
      </c>
      <c r="EC163" s="109" t="str">
        <f t="shared" si="360"/>
        <v/>
      </c>
      <c r="ED163" s="109" t="str">
        <f t="shared" si="287"/>
        <v/>
      </c>
      <c r="EE163" s="110" t="str">
        <f t="shared" si="232"/>
        <v/>
      </c>
      <c r="EG163" s="108" t="str">
        <f t="shared" si="361"/>
        <v/>
      </c>
      <c r="EH163" s="109" t="str">
        <f t="shared" si="362"/>
        <v/>
      </c>
      <c r="EI163" s="109" t="str">
        <f t="shared" si="288"/>
        <v/>
      </c>
      <c r="EJ163" s="110" t="str">
        <f t="shared" si="233"/>
        <v/>
      </c>
      <c r="EL163" s="108" t="str">
        <f t="shared" si="289"/>
        <v/>
      </c>
      <c r="EM163" s="109" t="str">
        <f t="shared" si="363"/>
        <v/>
      </c>
      <c r="EN163" s="109" t="str">
        <f t="shared" si="290"/>
        <v/>
      </c>
      <c r="EO163" s="110" t="str">
        <f t="shared" si="234"/>
        <v/>
      </c>
      <c r="EQ163" s="108" t="str">
        <f t="shared" si="364"/>
        <v/>
      </c>
      <c r="ER163" s="109" t="str">
        <f t="shared" si="365"/>
        <v/>
      </c>
      <c r="ES163" s="109" t="str">
        <f t="shared" si="291"/>
        <v/>
      </c>
      <c r="ET163" s="110" t="str">
        <f t="shared" si="235"/>
        <v/>
      </c>
      <c r="EV163" s="108" t="str">
        <f t="shared" si="292"/>
        <v/>
      </c>
      <c r="EW163" s="109" t="str">
        <f t="shared" si="366"/>
        <v/>
      </c>
      <c r="EX163" s="109" t="str">
        <f t="shared" si="293"/>
        <v/>
      </c>
      <c r="EY163" s="110" t="str">
        <f t="shared" si="236"/>
        <v/>
      </c>
      <c r="FA163" s="108" t="str">
        <f t="shared" si="367"/>
        <v/>
      </c>
      <c r="FB163" s="109" t="str">
        <f t="shared" si="368"/>
        <v/>
      </c>
      <c r="FC163" s="109" t="str">
        <f t="shared" si="294"/>
        <v/>
      </c>
      <c r="FD163" s="110" t="str">
        <f t="shared" si="237"/>
        <v/>
      </c>
      <c r="FF163" s="108" t="str">
        <f t="shared" si="295"/>
        <v/>
      </c>
      <c r="FG163" s="109" t="str">
        <f t="shared" si="369"/>
        <v/>
      </c>
      <c r="FH163" s="109" t="str">
        <f t="shared" si="296"/>
        <v/>
      </c>
      <c r="FI163" s="110" t="str">
        <f t="shared" si="238"/>
        <v/>
      </c>
      <c r="FK163" s="108" t="str">
        <f t="shared" si="370"/>
        <v/>
      </c>
      <c r="FL163" s="109" t="str">
        <f t="shared" si="371"/>
        <v/>
      </c>
      <c r="FM163" s="109" t="str">
        <f t="shared" si="297"/>
        <v/>
      </c>
      <c r="FN163" s="110" t="str">
        <f t="shared" si="239"/>
        <v/>
      </c>
      <c r="FP163" s="108" t="str">
        <f t="shared" si="298"/>
        <v/>
      </c>
      <c r="FQ163" s="109" t="str">
        <f t="shared" si="372"/>
        <v/>
      </c>
      <c r="FR163" s="109" t="str">
        <f t="shared" si="299"/>
        <v/>
      </c>
      <c r="FS163" s="110" t="str">
        <f t="shared" si="240"/>
        <v/>
      </c>
      <c r="FU163" s="108" t="str">
        <f t="shared" si="373"/>
        <v/>
      </c>
      <c r="FV163" s="109" t="str">
        <f t="shared" si="374"/>
        <v/>
      </c>
      <c r="FW163" s="109" t="str">
        <f t="shared" si="300"/>
        <v/>
      </c>
      <c r="FX163" s="110" t="str">
        <f t="shared" si="241"/>
        <v/>
      </c>
      <c r="FZ163" s="108" t="str">
        <f t="shared" si="301"/>
        <v/>
      </c>
      <c r="GA163" s="109" t="str">
        <f t="shared" si="375"/>
        <v/>
      </c>
      <c r="GB163" s="109" t="str">
        <f t="shared" si="302"/>
        <v/>
      </c>
      <c r="GC163" s="110" t="str">
        <f t="shared" si="242"/>
        <v/>
      </c>
      <c r="GE163" s="108" t="str">
        <f t="shared" si="376"/>
        <v/>
      </c>
      <c r="GF163" s="109" t="str">
        <f t="shared" si="377"/>
        <v/>
      </c>
      <c r="GG163" s="109" t="str">
        <f t="shared" si="378"/>
        <v/>
      </c>
      <c r="GH163" s="110" t="str">
        <f t="shared" si="243"/>
        <v/>
      </c>
      <c r="GL163" s="108" t="str">
        <f t="shared" si="303"/>
        <v/>
      </c>
      <c r="GM163" s="109" t="str">
        <f t="shared" si="304"/>
        <v/>
      </c>
      <c r="GN163" s="109" t="str">
        <f t="shared" si="305"/>
        <v/>
      </c>
      <c r="GO163" s="110" t="str">
        <f t="shared" si="306"/>
        <v/>
      </c>
      <c r="GP163" s="51"/>
      <c r="GQ163" s="108" t="str">
        <f t="shared" si="307"/>
        <v/>
      </c>
      <c r="GR163" s="109" t="str">
        <f t="shared" si="379"/>
        <v/>
      </c>
      <c r="GS163" s="109" t="str">
        <f t="shared" si="308"/>
        <v/>
      </c>
      <c r="GT163" s="110" t="str">
        <f t="shared" si="309"/>
        <v/>
      </c>
      <c r="GU163" s="51"/>
      <c r="GV163" s="108" t="str">
        <f t="shared" si="380"/>
        <v/>
      </c>
      <c r="GW163" s="109" t="str">
        <f t="shared" si="381"/>
        <v/>
      </c>
      <c r="GX163" s="109" t="str">
        <f t="shared" si="310"/>
        <v/>
      </c>
      <c r="GY163" s="110" t="str">
        <f t="shared" si="382"/>
        <v/>
      </c>
      <c r="GZ163" s="51"/>
      <c r="HA163" s="108" t="str">
        <f t="shared" si="311"/>
        <v/>
      </c>
      <c r="HB163" s="109" t="str">
        <f t="shared" si="383"/>
        <v/>
      </c>
      <c r="HC163" s="109" t="str">
        <f t="shared" si="312"/>
        <v/>
      </c>
      <c r="HD163" s="110" t="str">
        <f t="shared" si="417"/>
        <v/>
      </c>
      <c r="HE163" s="51"/>
      <c r="HF163" s="108" t="str">
        <f t="shared" si="384"/>
        <v/>
      </c>
      <c r="HG163" s="109" t="str">
        <f t="shared" si="385"/>
        <v/>
      </c>
      <c r="HH163" s="109" t="str">
        <f t="shared" si="313"/>
        <v/>
      </c>
      <c r="HI163" s="110" t="str">
        <f t="shared" si="386"/>
        <v/>
      </c>
      <c r="HJ163" s="51"/>
      <c r="HK163" s="108" t="str">
        <f t="shared" si="314"/>
        <v/>
      </c>
      <c r="HL163" s="109" t="str">
        <f t="shared" si="387"/>
        <v/>
      </c>
      <c r="HM163" s="109" t="str">
        <f t="shared" si="315"/>
        <v/>
      </c>
      <c r="HN163" s="110" t="str">
        <f t="shared" si="418"/>
        <v/>
      </c>
      <c r="HO163" s="51"/>
      <c r="HP163" s="108" t="str">
        <f t="shared" si="388"/>
        <v/>
      </c>
      <c r="HQ163" s="109" t="str">
        <f t="shared" si="389"/>
        <v/>
      </c>
      <c r="HR163" s="109" t="str">
        <f t="shared" si="316"/>
        <v/>
      </c>
      <c r="HS163" s="110" t="str">
        <f t="shared" si="390"/>
        <v/>
      </c>
      <c r="HT163" s="51"/>
      <c r="HU163" s="108" t="str">
        <f t="shared" si="317"/>
        <v/>
      </c>
      <c r="HV163" s="109" t="str">
        <f t="shared" si="391"/>
        <v/>
      </c>
      <c r="HW163" s="109" t="str">
        <f t="shared" si="318"/>
        <v/>
      </c>
      <c r="HX163" s="110" t="str">
        <f t="shared" si="419"/>
        <v/>
      </c>
      <c r="HY163" s="51"/>
      <c r="HZ163" s="108" t="str">
        <f t="shared" si="392"/>
        <v/>
      </c>
      <c r="IA163" s="109" t="str">
        <f t="shared" si="393"/>
        <v/>
      </c>
      <c r="IB163" s="109" t="str">
        <f t="shared" si="319"/>
        <v/>
      </c>
      <c r="IC163" s="110" t="str">
        <f t="shared" si="394"/>
        <v/>
      </c>
      <c r="ID163" s="51"/>
      <c r="IE163" s="108" t="str">
        <f t="shared" si="320"/>
        <v/>
      </c>
      <c r="IF163" s="109" t="str">
        <f t="shared" si="395"/>
        <v/>
      </c>
      <c r="IG163" s="109" t="str">
        <f t="shared" si="321"/>
        <v/>
      </c>
      <c r="IH163" s="110" t="str">
        <f t="shared" si="420"/>
        <v/>
      </c>
      <c r="II163" s="51"/>
      <c r="IJ163" s="108" t="str">
        <f t="shared" si="396"/>
        <v/>
      </c>
      <c r="IK163" s="109" t="str">
        <f t="shared" si="397"/>
        <v/>
      </c>
      <c r="IL163" s="109" t="str">
        <f t="shared" si="322"/>
        <v/>
      </c>
      <c r="IM163" s="110" t="str">
        <f t="shared" si="398"/>
        <v/>
      </c>
      <c r="IN163" s="51"/>
      <c r="IO163" s="108" t="str">
        <f t="shared" si="323"/>
        <v/>
      </c>
      <c r="IP163" s="109" t="str">
        <f t="shared" si="399"/>
        <v/>
      </c>
      <c r="IQ163" s="109" t="str">
        <f t="shared" si="324"/>
        <v/>
      </c>
      <c r="IR163" s="110" t="str">
        <f t="shared" si="421"/>
        <v/>
      </c>
      <c r="IS163" s="51"/>
      <c r="IT163" s="108" t="str">
        <f t="shared" si="400"/>
        <v/>
      </c>
      <c r="IU163" s="109" t="str">
        <f t="shared" si="401"/>
        <v/>
      </c>
      <c r="IV163" s="109" t="str">
        <f t="shared" si="325"/>
        <v/>
      </c>
      <c r="IW163" s="110" t="str">
        <f t="shared" si="402"/>
        <v/>
      </c>
      <c r="IX163" s="51"/>
      <c r="IY163" s="108" t="str">
        <f t="shared" si="326"/>
        <v/>
      </c>
      <c r="IZ163" s="109" t="str">
        <f t="shared" si="403"/>
        <v/>
      </c>
      <c r="JA163" s="109" t="str">
        <f t="shared" si="327"/>
        <v/>
      </c>
      <c r="JB163" s="110" t="str">
        <f t="shared" si="422"/>
        <v/>
      </c>
      <c r="JC163" s="51"/>
      <c r="JD163" s="108" t="str">
        <f t="shared" si="404"/>
        <v/>
      </c>
      <c r="JE163" s="109" t="str">
        <f t="shared" si="405"/>
        <v/>
      </c>
      <c r="JF163" s="109" t="str">
        <f t="shared" si="328"/>
        <v/>
      </c>
      <c r="JG163" s="110" t="str">
        <f t="shared" si="406"/>
        <v/>
      </c>
      <c r="JH163" s="51"/>
      <c r="JI163" s="108" t="str">
        <f t="shared" si="329"/>
        <v/>
      </c>
      <c r="JJ163" s="109" t="str">
        <f t="shared" si="407"/>
        <v/>
      </c>
      <c r="JK163" s="109" t="str">
        <f t="shared" si="330"/>
        <v/>
      </c>
      <c r="JL163" s="110" t="str">
        <f t="shared" si="423"/>
        <v/>
      </c>
      <c r="JM163" s="51"/>
      <c r="JN163" s="108" t="str">
        <f t="shared" si="408"/>
        <v/>
      </c>
      <c r="JO163" s="109" t="str">
        <f t="shared" si="409"/>
        <v/>
      </c>
      <c r="JP163" s="109" t="str">
        <f t="shared" si="331"/>
        <v/>
      </c>
      <c r="JQ163" s="110" t="str">
        <f t="shared" si="410"/>
        <v/>
      </c>
      <c r="JR163" s="51"/>
      <c r="JS163" s="108" t="str">
        <f t="shared" si="332"/>
        <v/>
      </c>
      <c r="JT163" s="109" t="str">
        <f t="shared" si="411"/>
        <v/>
      </c>
      <c r="JU163" s="109" t="str">
        <f t="shared" si="333"/>
        <v/>
      </c>
      <c r="JV163" s="110" t="str">
        <f t="shared" si="424"/>
        <v/>
      </c>
      <c r="JW163" s="51"/>
      <c r="JX163" s="108" t="str">
        <f t="shared" si="412"/>
        <v/>
      </c>
      <c r="JY163" s="109" t="str">
        <f t="shared" si="413"/>
        <v/>
      </c>
      <c r="JZ163" s="109" t="str">
        <f t="shared" si="334"/>
        <v/>
      </c>
      <c r="KA163" s="110" t="str">
        <f t="shared" si="335"/>
        <v/>
      </c>
    </row>
    <row r="164" spans="1:287" ht="12" customHeight="1">
      <c r="A164" s="105">
        <f t="array" ref="A164">MAX(IF($J$80:J163&gt;0,$C$80:C163,0))</f>
        <v>43536</v>
      </c>
      <c r="B164" s="81" t="str">
        <f t="shared" si="248"/>
        <v/>
      </c>
      <c r="C164" s="82">
        <f t="shared" si="414"/>
        <v>0</v>
      </c>
      <c r="D164" s="83" t="str">
        <f t="shared" si="249"/>
        <v/>
      </c>
      <c r="E164" s="83" t="str">
        <f t="shared" si="336"/>
        <v/>
      </c>
      <c r="F164" s="83" t="str">
        <f t="shared" si="250"/>
        <v/>
      </c>
      <c r="G164" s="83" t="str">
        <f t="shared" si="251"/>
        <v/>
      </c>
      <c r="H164" s="83" t="str">
        <f t="shared" si="252"/>
        <v/>
      </c>
      <c r="I164" s="105">
        <f t="array" ref="I164">MAX(IF($R$80:R163&gt;0,$L$80:L163,0))</f>
        <v>0</v>
      </c>
      <c r="J164" s="106"/>
      <c r="K164" s="2" t="str">
        <f t="shared" si="253"/>
        <v/>
      </c>
      <c r="L164" s="82">
        <f t="shared" si="415"/>
        <v>0</v>
      </c>
      <c r="M164" s="83" t="str">
        <f t="shared" si="337"/>
        <v/>
      </c>
      <c r="N164" s="83" t="str">
        <f t="shared" si="254"/>
        <v/>
      </c>
      <c r="O164" s="83" t="str">
        <f t="shared" si="255"/>
        <v/>
      </c>
      <c r="P164" s="83" t="str">
        <f t="shared" si="256"/>
        <v/>
      </c>
      <c r="Q164" s="83" t="str">
        <f t="shared" si="257"/>
        <v/>
      </c>
      <c r="R164" s="106"/>
      <c r="S164" s="1"/>
      <c r="U164" s="85" t="e">
        <f t="shared" si="244"/>
        <v>#NUM!</v>
      </c>
      <c r="V164" s="86" t="e">
        <f t="shared" si="338"/>
        <v>#NUM!</v>
      </c>
      <c r="W164" s="87" t="e">
        <f t="shared" si="258"/>
        <v>#NUM!</v>
      </c>
      <c r="X164" s="87" t="e">
        <f t="shared" si="259"/>
        <v>#NUM!</v>
      </c>
      <c r="Y164" s="87" t="e">
        <f t="shared" si="260"/>
        <v>#NUM!</v>
      </c>
      <c r="Z164" s="88" t="e">
        <f t="shared" si="245"/>
        <v>#NUM!</v>
      </c>
      <c r="AA164" t="s">
        <v>282</v>
      </c>
      <c r="AB164" s="89">
        <f t="shared" si="339"/>
        <v>0</v>
      </c>
      <c r="AC164" s="87">
        <f t="shared" si="340"/>
        <v>0</v>
      </c>
      <c r="AD164" s="87" t="str">
        <f t="shared" si="261"/>
        <v/>
      </c>
      <c r="AE164" s="87" t="str">
        <f t="shared" si="262"/>
        <v/>
      </c>
      <c r="AF164" s="86">
        <f t="shared" si="341"/>
        <v>0</v>
      </c>
      <c r="AG164" s="87">
        <f t="shared" si="246"/>
        <v>0</v>
      </c>
      <c r="AH164" s="87">
        <f t="shared" si="342"/>
        <v>0</v>
      </c>
      <c r="AI164" s="90"/>
      <c r="AJ164" s="87" t="e">
        <f t="shared" si="263"/>
        <v>#NUM!</v>
      </c>
      <c r="AK164" s="87" t="e">
        <f t="shared" si="343"/>
        <v>#NUM!</v>
      </c>
      <c r="AL164" s="87" t="e">
        <f t="shared" si="344"/>
        <v>#NUM!</v>
      </c>
      <c r="AM164" s="87" t="e">
        <f t="shared" si="345"/>
        <v>#NUM!</v>
      </c>
      <c r="AN164" s="86">
        <f t="shared" si="264"/>
        <v>0</v>
      </c>
      <c r="AO164" s="87">
        <f t="shared" si="265"/>
        <v>0</v>
      </c>
      <c r="AP164" s="88">
        <f t="shared" si="266"/>
        <v>0</v>
      </c>
      <c r="AR164" s="89">
        <f t="shared" si="267"/>
        <v>0</v>
      </c>
      <c r="AS164" s="87">
        <f t="shared" si="268"/>
        <v>0</v>
      </c>
      <c r="AT164" s="87" t="str">
        <f t="shared" si="269"/>
        <v/>
      </c>
      <c r="AU164" s="87" t="str">
        <f t="shared" si="270"/>
        <v/>
      </c>
      <c r="AV164" s="86">
        <f t="shared" si="346"/>
        <v>0</v>
      </c>
      <c r="AW164" s="87">
        <f t="shared" si="347"/>
        <v>0</v>
      </c>
      <c r="AX164" s="87">
        <f t="shared" si="348"/>
        <v>0</v>
      </c>
      <c r="AY164" s="93"/>
      <c r="AZ164" s="87">
        <f t="shared" si="425"/>
        <v>0</v>
      </c>
      <c r="BA164" s="87">
        <f t="shared" si="349"/>
        <v>0</v>
      </c>
      <c r="BB164" s="87">
        <f t="shared" si="350"/>
        <v>0</v>
      </c>
      <c r="BC164" s="87">
        <f t="shared" si="416"/>
        <v>0</v>
      </c>
      <c r="BD164" s="86" t="e">
        <f t="shared" si="271"/>
        <v>#NUM!</v>
      </c>
      <c r="BE164" s="87" t="e">
        <f t="shared" si="247"/>
        <v>#NUM!</v>
      </c>
      <c r="BF164" s="88">
        <f t="shared" si="351"/>
        <v>0</v>
      </c>
      <c r="BH164" s="87" t="e">
        <f t="shared" si="272"/>
        <v>#NUM!</v>
      </c>
      <c r="BK164" s="95">
        <v>41406</v>
      </c>
      <c r="BL164" s="96">
        <v>85</v>
      </c>
      <c r="CS164" s="108" t="str">
        <f t="shared" si="273"/>
        <v/>
      </c>
      <c r="CT164" s="109" t="str">
        <f t="shared" si="274"/>
        <v/>
      </c>
      <c r="CU164" s="109" t="str">
        <f t="shared" si="275"/>
        <v/>
      </c>
      <c r="CV164" s="110" t="str">
        <f t="shared" si="225"/>
        <v/>
      </c>
      <c r="CX164" s="108" t="str">
        <f t="shared" si="276"/>
        <v/>
      </c>
      <c r="CY164" s="109" t="str">
        <f t="shared" si="352"/>
        <v/>
      </c>
      <c r="CZ164" s="109" t="str">
        <f t="shared" si="277"/>
        <v/>
      </c>
      <c r="DA164" s="110" t="str">
        <f t="shared" si="226"/>
        <v/>
      </c>
      <c r="DC164" s="108" t="str">
        <f t="shared" si="353"/>
        <v/>
      </c>
      <c r="DD164" s="109" t="str">
        <f t="shared" si="354"/>
        <v/>
      </c>
      <c r="DE164" s="109" t="str">
        <f t="shared" si="278"/>
        <v/>
      </c>
      <c r="DF164" s="110" t="str">
        <f t="shared" si="227"/>
        <v/>
      </c>
      <c r="DH164" s="108" t="str">
        <f t="shared" si="279"/>
        <v/>
      </c>
      <c r="DI164" s="109" t="str">
        <f t="shared" si="280"/>
        <v/>
      </c>
      <c r="DJ164" s="109" t="str">
        <f t="shared" si="281"/>
        <v/>
      </c>
      <c r="DK164" s="110" t="str">
        <f t="shared" si="228"/>
        <v/>
      </c>
      <c r="DM164" s="108" t="str">
        <f t="shared" si="355"/>
        <v/>
      </c>
      <c r="DN164" s="109" t="str">
        <f t="shared" si="356"/>
        <v/>
      </c>
      <c r="DO164" s="109" t="str">
        <f t="shared" si="282"/>
        <v/>
      </c>
      <c r="DP164" s="110" t="str">
        <f t="shared" si="229"/>
        <v/>
      </c>
      <c r="DR164" s="108" t="str">
        <f t="shared" si="283"/>
        <v/>
      </c>
      <c r="DS164" s="109" t="str">
        <f t="shared" si="357"/>
        <v/>
      </c>
      <c r="DT164" s="109" t="str">
        <f t="shared" si="284"/>
        <v/>
      </c>
      <c r="DU164" s="110" t="str">
        <f t="shared" si="230"/>
        <v/>
      </c>
      <c r="DW164" s="108" t="str">
        <f t="shared" si="358"/>
        <v/>
      </c>
      <c r="DX164" s="109" t="str">
        <f t="shared" si="359"/>
        <v/>
      </c>
      <c r="DY164" s="109" t="str">
        <f t="shared" si="285"/>
        <v/>
      </c>
      <c r="DZ164" s="110" t="str">
        <f t="shared" si="231"/>
        <v/>
      </c>
      <c r="EB164" s="108" t="str">
        <f t="shared" si="286"/>
        <v/>
      </c>
      <c r="EC164" s="109" t="str">
        <f t="shared" si="360"/>
        <v/>
      </c>
      <c r="ED164" s="109" t="str">
        <f t="shared" si="287"/>
        <v/>
      </c>
      <c r="EE164" s="110" t="str">
        <f t="shared" si="232"/>
        <v/>
      </c>
      <c r="EG164" s="108" t="str">
        <f t="shared" si="361"/>
        <v/>
      </c>
      <c r="EH164" s="109" t="str">
        <f t="shared" si="362"/>
        <v/>
      </c>
      <c r="EI164" s="109" t="str">
        <f t="shared" si="288"/>
        <v/>
      </c>
      <c r="EJ164" s="110" t="str">
        <f t="shared" si="233"/>
        <v/>
      </c>
      <c r="EL164" s="108" t="str">
        <f t="shared" si="289"/>
        <v/>
      </c>
      <c r="EM164" s="109" t="str">
        <f t="shared" si="363"/>
        <v/>
      </c>
      <c r="EN164" s="109" t="str">
        <f t="shared" si="290"/>
        <v/>
      </c>
      <c r="EO164" s="110" t="str">
        <f t="shared" si="234"/>
        <v/>
      </c>
      <c r="EQ164" s="108" t="str">
        <f t="shared" si="364"/>
        <v/>
      </c>
      <c r="ER164" s="109" t="str">
        <f t="shared" si="365"/>
        <v/>
      </c>
      <c r="ES164" s="109" t="str">
        <f t="shared" si="291"/>
        <v/>
      </c>
      <c r="ET164" s="110" t="str">
        <f t="shared" si="235"/>
        <v/>
      </c>
      <c r="EV164" s="108" t="str">
        <f t="shared" si="292"/>
        <v/>
      </c>
      <c r="EW164" s="109" t="str">
        <f t="shared" si="366"/>
        <v/>
      </c>
      <c r="EX164" s="109" t="str">
        <f t="shared" si="293"/>
        <v/>
      </c>
      <c r="EY164" s="110" t="str">
        <f t="shared" si="236"/>
        <v/>
      </c>
      <c r="FA164" s="108" t="str">
        <f t="shared" si="367"/>
        <v/>
      </c>
      <c r="FB164" s="109" t="str">
        <f t="shared" si="368"/>
        <v/>
      </c>
      <c r="FC164" s="109" t="str">
        <f t="shared" si="294"/>
        <v/>
      </c>
      <c r="FD164" s="110" t="str">
        <f t="shared" si="237"/>
        <v/>
      </c>
      <c r="FF164" s="108" t="str">
        <f t="shared" si="295"/>
        <v/>
      </c>
      <c r="FG164" s="109" t="str">
        <f t="shared" si="369"/>
        <v/>
      </c>
      <c r="FH164" s="109" t="str">
        <f t="shared" si="296"/>
        <v/>
      </c>
      <c r="FI164" s="110" t="str">
        <f t="shared" si="238"/>
        <v/>
      </c>
      <c r="FK164" s="108" t="str">
        <f t="shared" si="370"/>
        <v/>
      </c>
      <c r="FL164" s="109" t="str">
        <f t="shared" si="371"/>
        <v/>
      </c>
      <c r="FM164" s="109" t="str">
        <f t="shared" si="297"/>
        <v/>
      </c>
      <c r="FN164" s="110" t="str">
        <f t="shared" si="239"/>
        <v/>
      </c>
      <c r="FP164" s="108" t="str">
        <f t="shared" si="298"/>
        <v/>
      </c>
      <c r="FQ164" s="109" t="str">
        <f t="shared" si="372"/>
        <v/>
      </c>
      <c r="FR164" s="109" t="str">
        <f t="shared" si="299"/>
        <v/>
      </c>
      <c r="FS164" s="110" t="str">
        <f t="shared" si="240"/>
        <v/>
      </c>
      <c r="FU164" s="108" t="str">
        <f t="shared" si="373"/>
        <v/>
      </c>
      <c r="FV164" s="109" t="str">
        <f t="shared" si="374"/>
        <v/>
      </c>
      <c r="FW164" s="109" t="str">
        <f t="shared" si="300"/>
        <v/>
      </c>
      <c r="FX164" s="110" t="str">
        <f t="shared" si="241"/>
        <v/>
      </c>
      <c r="FZ164" s="108" t="str">
        <f t="shared" si="301"/>
        <v/>
      </c>
      <c r="GA164" s="109" t="str">
        <f t="shared" si="375"/>
        <v/>
      </c>
      <c r="GB164" s="109" t="str">
        <f t="shared" si="302"/>
        <v/>
      </c>
      <c r="GC164" s="110" t="str">
        <f t="shared" si="242"/>
        <v/>
      </c>
      <c r="GE164" s="108" t="str">
        <f t="shared" si="376"/>
        <v/>
      </c>
      <c r="GF164" s="109" t="str">
        <f t="shared" si="377"/>
        <v/>
      </c>
      <c r="GG164" s="109" t="str">
        <f t="shared" si="378"/>
        <v/>
      </c>
      <c r="GH164" s="110" t="str">
        <f t="shared" si="243"/>
        <v/>
      </c>
      <c r="GL164" s="108" t="str">
        <f t="shared" si="303"/>
        <v/>
      </c>
      <c r="GM164" s="109" t="str">
        <f t="shared" si="304"/>
        <v/>
      </c>
      <c r="GN164" s="109" t="str">
        <f t="shared" si="305"/>
        <v/>
      </c>
      <c r="GO164" s="110" t="str">
        <f t="shared" si="306"/>
        <v/>
      </c>
      <c r="GP164" s="51"/>
      <c r="GQ164" s="108" t="str">
        <f t="shared" si="307"/>
        <v/>
      </c>
      <c r="GR164" s="109" t="str">
        <f t="shared" si="379"/>
        <v/>
      </c>
      <c r="GS164" s="109" t="str">
        <f t="shared" si="308"/>
        <v/>
      </c>
      <c r="GT164" s="110" t="str">
        <f t="shared" si="309"/>
        <v/>
      </c>
      <c r="GU164" s="51"/>
      <c r="GV164" s="108" t="str">
        <f t="shared" si="380"/>
        <v/>
      </c>
      <c r="GW164" s="109" t="str">
        <f t="shared" si="381"/>
        <v/>
      </c>
      <c r="GX164" s="109" t="str">
        <f t="shared" si="310"/>
        <v/>
      </c>
      <c r="GY164" s="110" t="str">
        <f t="shared" si="382"/>
        <v/>
      </c>
      <c r="GZ164" s="51"/>
      <c r="HA164" s="108" t="str">
        <f t="shared" si="311"/>
        <v/>
      </c>
      <c r="HB164" s="109" t="str">
        <f t="shared" si="383"/>
        <v/>
      </c>
      <c r="HC164" s="109" t="str">
        <f t="shared" si="312"/>
        <v/>
      </c>
      <c r="HD164" s="110" t="str">
        <f t="shared" si="417"/>
        <v/>
      </c>
      <c r="HE164" s="51"/>
      <c r="HF164" s="108" t="str">
        <f t="shared" si="384"/>
        <v/>
      </c>
      <c r="HG164" s="109" t="str">
        <f t="shared" si="385"/>
        <v/>
      </c>
      <c r="HH164" s="109" t="str">
        <f t="shared" si="313"/>
        <v/>
      </c>
      <c r="HI164" s="110" t="str">
        <f t="shared" si="386"/>
        <v/>
      </c>
      <c r="HJ164" s="51"/>
      <c r="HK164" s="108" t="str">
        <f t="shared" si="314"/>
        <v/>
      </c>
      <c r="HL164" s="109" t="str">
        <f t="shared" si="387"/>
        <v/>
      </c>
      <c r="HM164" s="109" t="str">
        <f t="shared" si="315"/>
        <v/>
      </c>
      <c r="HN164" s="110" t="str">
        <f t="shared" si="418"/>
        <v/>
      </c>
      <c r="HO164" s="51"/>
      <c r="HP164" s="108" t="str">
        <f t="shared" si="388"/>
        <v/>
      </c>
      <c r="HQ164" s="109" t="str">
        <f t="shared" si="389"/>
        <v/>
      </c>
      <c r="HR164" s="109" t="str">
        <f t="shared" si="316"/>
        <v/>
      </c>
      <c r="HS164" s="110" t="str">
        <f t="shared" si="390"/>
        <v/>
      </c>
      <c r="HT164" s="51"/>
      <c r="HU164" s="108" t="str">
        <f t="shared" si="317"/>
        <v/>
      </c>
      <c r="HV164" s="109" t="str">
        <f t="shared" si="391"/>
        <v/>
      </c>
      <c r="HW164" s="109" t="str">
        <f t="shared" si="318"/>
        <v/>
      </c>
      <c r="HX164" s="110" t="str">
        <f t="shared" si="419"/>
        <v/>
      </c>
      <c r="HY164" s="51"/>
      <c r="HZ164" s="108" t="str">
        <f t="shared" si="392"/>
        <v/>
      </c>
      <c r="IA164" s="109" t="str">
        <f t="shared" si="393"/>
        <v/>
      </c>
      <c r="IB164" s="109" t="str">
        <f t="shared" si="319"/>
        <v/>
      </c>
      <c r="IC164" s="110" t="str">
        <f t="shared" si="394"/>
        <v/>
      </c>
      <c r="ID164" s="51"/>
      <c r="IE164" s="108" t="str">
        <f t="shared" si="320"/>
        <v/>
      </c>
      <c r="IF164" s="109" t="str">
        <f t="shared" si="395"/>
        <v/>
      </c>
      <c r="IG164" s="109" t="str">
        <f t="shared" si="321"/>
        <v/>
      </c>
      <c r="IH164" s="110" t="str">
        <f t="shared" si="420"/>
        <v/>
      </c>
      <c r="II164" s="51"/>
      <c r="IJ164" s="108" t="str">
        <f t="shared" si="396"/>
        <v/>
      </c>
      <c r="IK164" s="109" t="str">
        <f t="shared" si="397"/>
        <v/>
      </c>
      <c r="IL164" s="109" t="str">
        <f t="shared" si="322"/>
        <v/>
      </c>
      <c r="IM164" s="110" t="str">
        <f t="shared" si="398"/>
        <v/>
      </c>
      <c r="IN164" s="51"/>
      <c r="IO164" s="108" t="str">
        <f t="shared" si="323"/>
        <v/>
      </c>
      <c r="IP164" s="109" t="str">
        <f t="shared" si="399"/>
        <v/>
      </c>
      <c r="IQ164" s="109" t="str">
        <f t="shared" si="324"/>
        <v/>
      </c>
      <c r="IR164" s="110" t="str">
        <f t="shared" si="421"/>
        <v/>
      </c>
      <c r="IS164" s="51"/>
      <c r="IT164" s="108" t="str">
        <f t="shared" si="400"/>
        <v/>
      </c>
      <c r="IU164" s="109" t="str">
        <f t="shared" si="401"/>
        <v/>
      </c>
      <c r="IV164" s="109" t="str">
        <f t="shared" si="325"/>
        <v/>
      </c>
      <c r="IW164" s="110" t="str">
        <f t="shared" si="402"/>
        <v/>
      </c>
      <c r="IX164" s="51"/>
      <c r="IY164" s="108" t="str">
        <f t="shared" si="326"/>
        <v/>
      </c>
      <c r="IZ164" s="109" t="str">
        <f t="shared" si="403"/>
        <v/>
      </c>
      <c r="JA164" s="109" t="str">
        <f t="shared" si="327"/>
        <v/>
      </c>
      <c r="JB164" s="110" t="str">
        <f t="shared" si="422"/>
        <v/>
      </c>
      <c r="JC164" s="51"/>
      <c r="JD164" s="108" t="str">
        <f t="shared" si="404"/>
        <v/>
      </c>
      <c r="JE164" s="109" t="str">
        <f t="shared" si="405"/>
        <v/>
      </c>
      <c r="JF164" s="109" t="str">
        <f t="shared" si="328"/>
        <v/>
      </c>
      <c r="JG164" s="110" t="str">
        <f t="shared" si="406"/>
        <v/>
      </c>
      <c r="JH164" s="51"/>
      <c r="JI164" s="108" t="str">
        <f t="shared" si="329"/>
        <v/>
      </c>
      <c r="JJ164" s="109" t="str">
        <f t="shared" si="407"/>
        <v/>
      </c>
      <c r="JK164" s="109" t="str">
        <f t="shared" si="330"/>
        <v/>
      </c>
      <c r="JL164" s="110" t="str">
        <f t="shared" si="423"/>
        <v/>
      </c>
      <c r="JM164" s="51"/>
      <c r="JN164" s="108" t="str">
        <f t="shared" si="408"/>
        <v/>
      </c>
      <c r="JO164" s="109" t="str">
        <f t="shared" si="409"/>
        <v/>
      </c>
      <c r="JP164" s="109" t="str">
        <f t="shared" si="331"/>
        <v/>
      </c>
      <c r="JQ164" s="110" t="str">
        <f t="shared" si="410"/>
        <v/>
      </c>
      <c r="JR164" s="51"/>
      <c r="JS164" s="108" t="str">
        <f t="shared" si="332"/>
        <v/>
      </c>
      <c r="JT164" s="109" t="str">
        <f t="shared" si="411"/>
        <v/>
      </c>
      <c r="JU164" s="109" t="str">
        <f t="shared" si="333"/>
        <v/>
      </c>
      <c r="JV164" s="110" t="str">
        <f t="shared" si="424"/>
        <v/>
      </c>
      <c r="JW164" s="51"/>
      <c r="JX164" s="108" t="str">
        <f t="shared" si="412"/>
        <v/>
      </c>
      <c r="JY164" s="109" t="str">
        <f t="shared" si="413"/>
        <v/>
      </c>
      <c r="JZ164" s="109" t="str">
        <f t="shared" si="334"/>
        <v/>
      </c>
      <c r="KA164" s="110" t="str">
        <f t="shared" si="335"/>
        <v/>
      </c>
    </row>
    <row r="165" spans="1:287" ht="12" customHeight="1">
      <c r="A165" s="105">
        <f t="array" ref="A165">MAX(IF($J$80:J164&gt;0,$C$80:C164,0))</f>
        <v>43536</v>
      </c>
      <c r="B165" s="81" t="str">
        <f t="shared" si="248"/>
        <v/>
      </c>
      <c r="C165" s="82">
        <f t="shared" si="414"/>
        <v>0</v>
      </c>
      <c r="D165" s="83" t="str">
        <f t="shared" si="249"/>
        <v/>
      </c>
      <c r="E165" s="83" t="str">
        <f t="shared" si="336"/>
        <v/>
      </c>
      <c r="F165" s="83" t="str">
        <f t="shared" si="250"/>
        <v/>
      </c>
      <c r="G165" s="83" t="str">
        <f t="shared" si="251"/>
        <v/>
      </c>
      <c r="H165" s="83" t="str">
        <f t="shared" si="252"/>
        <v/>
      </c>
      <c r="I165" s="105">
        <f t="array" ref="I165">MAX(IF($R$80:R164&gt;0,$L$80:L164,0))</f>
        <v>0</v>
      </c>
      <c r="J165" s="106"/>
      <c r="K165" s="2" t="str">
        <f t="shared" si="253"/>
        <v/>
      </c>
      <c r="L165" s="82">
        <f t="shared" si="415"/>
        <v>0</v>
      </c>
      <c r="M165" s="83" t="str">
        <f t="shared" si="337"/>
        <v/>
      </c>
      <c r="N165" s="83" t="str">
        <f t="shared" si="254"/>
        <v/>
      </c>
      <c r="O165" s="83" t="str">
        <f t="shared" si="255"/>
        <v/>
      </c>
      <c r="P165" s="83" t="str">
        <f t="shared" si="256"/>
        <v/>
      </c>
      <c r="Q165" s="83" t="str">
        <f t="shared" si="257"/>
        <v/>
      </c>
      <c r="R165" s="106"/>
      <c r="S165" s="1"/>
      <c r="U165" s="85" t="e">
        <f t="shared" si="244"/>
        <v>#NUM!</v>
      </c>
      <c r="V165" s="86" t="e">
        <f t="shared" si="338"/>
        <v>#NUM!</v>
      </c>
      <c r="W165" s="87" t="e">
        <f t="shared" si="258"/>
        <v>#NUM!</v>
      </c>
      <c r="X165" s="87" t="e">
        <f t="shared" si="259"/>
        <v>#NUM!</v>
      </c>
      <c r="Y165" s="87" t="e">
        <f t="shared" si="260"/>
        <v>#NUM!</v>
      </c>
      <c r="Z165" s="88" t="e">
        <f t="shared" si="245"/>
        <v>#NUM!</v>
      </c>
      <c r="AA165" t="s">
        <v>282</v>
      </c>
      <c r="AB165" s="89">
        <f t="shared" si="339"/>
        <v>0</v>
      </c>
      <c r="AC165" s="87">
        <f t="shared" si="340"/>
        <v>0</v>
      </c>
      <c r="AD165" s="87" t="str">
        <f t="shared" si="261"/>
        <v/>
      </c>
      <c r="AE165" s="87" t="str">
        <f t="shared" si="262"/>
        <v/>
      </c>
      <c r="AF165" s="86">
        <f t="shared" si="341"/>
        <v>0</v>
      </c>
      <c r="AG165" s="87">
        <f t="shared" si="246"/>
        <v>0</v>
      </c>
      <c r="AH165" s="87">
        <f t="shared" si="342"/>
        <v>0</v>
      </c>
      <c r="AI165" s="90"/>
      <c r="AJ165" s="87" t="e">
        <f t="shared" si="263"/>
        <v>#NUM!</v>
      </c>
      <c r="AK165" s="87" t="e">
        <f t="shared" si="343"/>
        <v>#NUM!</v>
      </c>
      <c r="AL165" s="87" t="e">
        <f t="shared" si="344"/>
        <v>#NUM!</v>
      </c>
      <c r="AM165" s="87" t="e">
        <f t="shared" si="345"/>
        <v>#NUM!</v>
      </c>
      <c r="AN165" s="86">
        <f t="shared" si="264"/>
        <v>0</v>
      </c>
      <c r="AO165" s="87">
        <f t="shared" si="265"/>
        <v>0</v>
      </c>
      <c r="AP165" s="88">
        <f t="shared" si="266"/>
        <v>0</v>
      </c>
      <c r="AR165" s="89">
        <f t="shared" si="267"/>
        <v>0</v>
      </c>
      <c r="AS165" s="87">
        <f t="shared" si="268"/>
        <v>0</v>
      </c>
      <c r="AT165" s="87" t="str">
        <f t="shared" si="269"/>
        <v/>
      </c>
      <c r="AU165" s="87" t="str">
        <f t="shared" si="270"/>
        <v/>
      </c>
      <c r="AV165" s="86">
        <f t="shared" si="346"/>
        <v>0</v>
      </c>
      <c r="AW165" s="87">
        <f t="shared" si="347"/>
        <v>0</v>
      </c>
      <c r="AX165" s="87">
        <f t="shared" si="348"/>
        <v>0</v>
      </c>
      <c r="AY165" s="93"/>
      <c r="AZ165" s="87">
        <f t="shared" si="425"/>
        <v>0</v>
      </c>
      <c r="BA165" s="87">
        <f t="shared" si="349"/>
        <v>0</v>
      </c>
      <c r="BB165" s="87">
        <f t="shared" si="350"/>
        <v>0</v>
      </c>
      <c r="BC165" s="87">
        <f t="shared" si="416"/>
        <v>0</v>
      </c>
      <c r="BD165" s="86" t="e">
        <f t="shared" si="271"/>
        <v>#NUM!</v>
      </c>
      <c r="BE165" s="87" t="e">
        <f t="shared" si="247"/>
        <v>#NUM!</v>
      </c>
      <c r="BF165" s="88">
        <f t="shared" si="351"/>
        <v>0</v>
      </c>
      <c r="BH165" s="87" t="e">
        <f t="shared" si="272"/>
        <v>#NUM!</v>
      </c>
      <c r="BK165" s="95">
        <v>41420</v>
      </c>
      <c r="BL165" s="96">
        <v>86</v>
      </c>
      <c r="CS165" s="108" t="str">
        <f t="shared" si="273"/>
        <v/>
      </c>
      <c r="CT165" s="109" t="str">
        <f t="shared" si="274"/>
        <v/>
      </c>
      <c r="CU165" s="109" t="str">
        <f t="shared" si="275"/>
        <v/>
      </c>
      <c r="CV165" s="110" t="str">
        <f t="shared" si="225"/>
        <v/>
      </c>
      <c r="CX165" s="108" t="str">
        <f t="shared" si="276"/>
        <v/>
      </c>
      <c r="CY165" s="109" t="str">
        <f t="shared" si="352"/>
        <v/>
      </c>
      <c r="CZ165" s="109" t="str">
        <f t="shared" si="277"/>
        <v/>
      </c>
      <c r="DA165" s="110" t="str">
        <f t="shared" si="226"/>
        <v/>
      </c>
      <c r="DC165" s="108" t="str">
        <f t="shared" si="353"/>
        <v/>
      </c>
      <c r="DD165" s="109" t="str">
        <f t="shared" si="354"/>
        <v/>
      </c>
      <c r="DE165" s="109" t="str">
        <f t="shared" si="278"/>
        <v/>
      </c>
      <c r="DF165" s="110" t="str">
        <f t="shared" si="227"/>
        <v/>
      </c>
      <c r="DH165" s="108" t="str">
        <f t="shared" si="279"/>
        <v/>
      </c>
      <c r="DI165" s="109" t="str">
        <f t="shared" si="280"/>
        <v/>
      </c>
      <c r="DJ165" s="109" t="str">
        <f t="shared" si="281"/>
        <v/>
      </c>
      <c r="DK165" s="110" t="str">
        <f t="shared" si="228"/>
        <v/>
      </c>
      <c r="DM165" s="108" t="str">
        <f t="shared" si="355"/>
        <v/>
      </c>
      <c r="DN165" s="109" t="str">
        <f t="shared" si="356"/>
        <v/>
      </c>
      <c r="DO165" s="109" t="str">
        <f t="shared" si="282"/>
        <v/>
      </c>
      <c r="DP165" s="110" t="str">
        <f t="shared" si="229"/>
        <v/>
      </c>
      <c r="DR165" s="108" t="str">
        <f t="shared" si="283"/>
        <v/>
      </c>
      <c r="DS165" s="109" t="str">
        <f t="shared" si="357"/>
        <v/>
      </c>
      <c r="DT165" s="109" t="str">
        <f t="shared" si="284"/>
        <v/>
      </c>
      <c r="DU165" s="110" t="str">
        <f t="shared" si="230"/>
        <v/>
      </c>
      <c r="DW165" s="108" t="str">
        <f t="shared" si="358"/>
        <v/>
      </c>
      <c r="DX165" s="109" t="str">
        <f t="shared" si="359"/>
        <v/>
      </c>
      <c r="DY165" s="109" t="str">
        <f t="shared" si="285"/>
        <v/>
      </c>
      <c r="DZ165" s="110" t="str">
        <f t="shared" si="231"/>
        <v/>
      </c>
      <c r="EB165" s="108" t="str">
        <f t="shared" si="286"/>
        <v/>
      </c>
      <c r="EC165" s="109" t="str">
        <f t="shared" si="360"/>
        <v/>
      </c>
      <c r="ED165" s="109" t="str">
        <f t="shared" si="287"/>
        <v/>
      </c>
      <c r="EE165" s="110" t="str">
        <f t="shared" si="232"/>
        <v/>
      </c>
      <c r="EG165" s="108" t="str">
        <f t="shared" si="361"/>
        <v/>
      </c>
      <c r="EH165" s="109" t="str">
        <f t="shared" si="362"/>
        <v/>
      </c>
      <c r="EI165" s="109" t="str">
        <f t="shared" si="288"/>
        <v/>
      </c>
      <c r="EJ165" s="110" t="str">
        <f t="shared" si="233"/>
        <v/>
      </c>
      <c r="EL165" s="108" t="str">
        <f t="shared" si="289"/>
        <v/>
      </c>
      <c r="EM165" s="109" t="str">
        <f t="shared" si="363"/>
        <v/>
      </c>
      <c r="EN165" s="109" t="str">
        <f t="shared" si="290"/>
        <v/>
      </c>
      <c r="EO165" s="110" t="str">
        <f t="shared" si="234"/>
        <v/>
      </c>
      <c r="EQ165" s="108" t="str">
        <f t="shared" si="364"/>
        <v/>
      </c>
      <c r="ER165" s="109" t="str">
        <f t="shared" si="365"/>
        <v/>
      </c>
      <c r="ES165" s="109" t="str">
        <f t="shared" si="291"/>
        <v/>
      </c>
      <c r="ET165" s="110" t="str">
        <f t="shared" si="235"/>
        <v/>
      </c>
      <c r="EV165" s="108" t="str">
        <f t="shared" si="292"/>
        <v/>
      </c>
      <c r="EW165" s="109" t="str">
        <f t="shared" si="366"/>
        <v/>
      </c>
      <c r="EX165" s="109" t="str">
        <f t="shared" si="293"/>
        <v/>
      </c>
      <c r="EY165" s="110" t="str">
        <f t="shared" si="236"/>
        <v/>
      </c>
      <c r="FA165" s="108" t="str">
        <f t="shared" si="367"/>
        <v/>
      </c>
      <c r="FB165" s="109" t="str">
        <f t="shared" si="368"/>
        <v/>
      </c>
      <c r="FC165" s="109" t="str">
        <f t="shared" si="294"/>
        <v/>
      </c>
      <c r="FD165" s="110" t="str">
        <f t="shared" si="237"/>
        <v/>
      </c>
      <c r="FF165" s="108" t="str">
        <f t="shared" si="295"/>
        <v/>
      </c>
      <c r="FG165" s="109" t="str">
        <f t="shared" si="369"/>
        <v/>
      </c>
      <c r="FH165" s="109" t="str">
        <f t="shared" si="296"/>
        <v/>
      </c>
      <c r="FI165" s="110" t="str">
        <f t="shared" si="238"/>
        <v/>
      </c>
      <c r="FK165" s="108" t="str">
        <f t="shared" si="370"/>
        <v/>
      </c>
      <c r="FL165" s="109" t="str">
        <f t="shared" si="371"/>
        <v/>
      </c>
      <c r="FM165" s="109" t="str">
        <f t="shared" si="297"/>
        <v/>
      </c>
      <c r="FN165" s="110" t="str">
        <f t="shared" si="239"/>
        <v/>
      </c>
      <c r="FP165" s="108" t="str">
        <f t="shared" si="298"/>
        <v/>
      </c>
      <c r="FQ165" s="109" t="str">
        <f t="shared" si="372"/>
        <v/>
      </c>
      <c r="FR165" s="109" t="str">
        <f t="shared" si="299"/>
        <v/>
      </c>
      <c r="FS165" s="110" t="str">
        <f t="shared" si="240"/>
        <v/>
      </c>
      <c r="FU165" s="108" t="str">
        <f t="shared" si="373"/>
        <v/>
      </c>
      <c r="FV165" s="109" t="str">
        <f t="shared" si="374"/>
        <v/>
      </c>
      <c r="FW165" s="109" t="str">
        <f t="shared" si="300"/>
        <v/>
      </c>
      <c r="FX165" s="110" t="str">
        <f t="shared" si="241"/>
        <v/>
      </c>
      <c r="FZ165" s="108" t="str">
        <f t="shared" si="301"/>
        <v/>
      </c>
      <c r="GA165" s="109" t="str">
        <f t="shared" si="375"/>
        <v/>
      </c>
      <c r="GB165" s="109" t="str">
        <f t="shared" si="302"/>
        <v/>
      </c>
      <c r="GC165" s="110" t="str">
        <f t="shared" si="242"/>
        <v/>
      </c>
      <c r="GE165" s="108" t="str">
        <f t="shared" si="376"/>
        <v/>
      </c>
      <c r="GF165" s="109" t="str">
        <f t="shared" si="377"/>
        <v/>
      </c>
      <c r="GG165" s="109" t="str">
        <f t="shared" si="378"/>
        <v/>
      </c>
      <c r="GH165" s="110" t="str">
        <f t="shared" si="243"/>
        <v/>
      </c>
      <c r="GL165" s="108" t="str">
        <f t="shared" si="303"/>
        <v/>
      </c>
      <c r="GM165" s="109" t="str">
        <f t="shared" si="304"/>
        <v/>
      </c>
      <c r="GN165" s="109" t="str">
        <f t="shared" si="305"/>
        <v/>
      </c>
      <c r="GO165" s="110" t="str">
        <f t="shared" si="306"/>
        <v/>
      </c>
      <c r="GP165" s="51"/>
      <c r="GQ165" s="108" t="str">
        <f t="shared" si="307"/>
        <v/>
      </c>
      <c r="GR165" s="109" t="str">
        <f t="shared" si="379"/>
        <v/>
      </c>
      <c r="GS165" s="109" t="str">
        <f t="shared" si="308"/>
        <v/>
      </c>
      <c r="GT165" s="110" t="str">
        <f t="shared" si="309"/>
        <v/>
      </c>
      <c r="GU165" s="51"/>
      <c r="GV165" s="108" t="str">
        <f t="shared" si="380"/>
        <v/>
      </c>
      <c r="GW165" s="109" t="str">
        <f t="shared" si="381"/>
        <v/>
      </c>
      <c r="GX165" s="109" t="str">
        <f t="shared" si="310"/>
        <v/>
      </c>
      <c r="GY165" s="110" t="str">
        <f t="shared" si="382"/>
        <v/>
      </c>
      <c r="GZ165" s="51"/>
      <c r="HA165" s="108" t="str">
        <f t="shared" si="311"/>
        <v/>
      </c>
      <c r="HB165" s="109" t="str">
        <f t="shared" si="383"/>
        <v/>
      </c>
      <c r="HC165" s="109" t="str">
        <f t="shared" si="312"/>
        <v/>
      </c>
      <c r="HD165" s="110" t="str">
        <f t="shared" si="417"/>
        <v/>
      </c>
      <c r="HE165" s="51"/>
      <c r="HF165" s="108" t="str">
        <f t="shared" si="384"/>
        <v/>
      </c>
      <c r="HG165" s="109" t="str">
        <f t="shared" si="385"/>
        <v/>
      </c>
      <c r="HH165" s="109" t="str">
        <f t="shared" si="313"/>
        <v/>
      </c>
      <c r="HI165" s="110" t="str">
        <f t="shared" si="386"/>
        <v/>
      </c>
      <c r="HJ165" s="51"/>
      <c r="HK165" s="108" t="str">
        <f t="shared" si="314"/>
        <v/>
      </c>
      <c r="HL165" s="109" t="str">
        <f t="shared" si="387"/>
        <v/>
      </c>
      <c r="HM165" s="109" t="str">
        <f t="shared" si="315"/>
        <v/>
      </c>
      <c r="HN165" s="110" t="str">
        <f t="shared" si="418"/>
        <v/>
      </c>
      <c r="HO165" s="51"/>
      <c r="HP165" s="108" t="str">
        <f t="shared" si="388"/>
        <v/>
      </c>
      <c r="HQ165" s="109" t="str">
        <f t="shared" si="389"/>
        <v/>
      </c>
      <c r="HR165" s="109" t="str">
        <f t="shared" si="316"/>
        <v/>
      </c>
      <c r="HS165" s="110" t="str">
        <f t="shared" si="390"/>
        <v/>
      </c>
      <c r="HT165" s="51"/>
      <c r="HU165" s="108" t="str">
        <f t="shared" si="317"/>
        <v/>
      </c>
      <c r="HV165" s="109" t="str">
        <f t="shared" si="391"/>
        <v/>
      </c>
      <c r="HW165" s="109" t="str">
        <f t="shared" si="318"/>
        <v/>
      </c>
      <c r="HX165" s="110" t="str">
        <f t="shared" si="419"/>
        <v/>
      </c>
      <c r="HY165" s="51"/>
      <c r="HZ165" s="108" t="str">
        <f t="shared" si="392"/>
        <v/>
      </c>
      <c r="IA165" s="109" t="str">
        <f t="shared" si="393"/>
        <v/>
      </c>
      <c r="IB165" s="109" t="str">
        <f t="shared" si="319"/>
        <v/>
      </c>
      <c r="IC165" s="110" t="str">
        <f t="shared" si="394"/>
        <v/>
      </c>
      <c r="ID165" s="51"/>
      <c r="IE165" s="108" t="str">
        <f t="shared" si="320"/>
        <v/>
      </c>
      <c r="IF165" s="109" t="str">
        <f t="shared" si="395"/>
        <v/>
      </c>
      <c r="IG165" s="109" t="str">
        <f t="shared" si="321"/>
        <v/>
      </c>
      <c r="IH165" s="110" t="str">
        <f t="shared" si="420"/>
        <v/>
      </c>
      <c r="II165" s="51"/>
      <c r="IJ165" s="108" t="str">
        <f t="shared" si="396"/>
        <v/>
      </c>
      <c r="IK165" s="109" t="str">
        <f t="shared" si="397"/>
        <v/>
      </c>
      <c r="IL165" s="109" t="str">
        <f t="shared" si="322"/>
        <v/>
      </c>
      <c r="IM165" s="110" t="str">
        <f t="shared" si="398"/>
        <v/>
      </c>
      <c r="IN165" s="51"/>
      <c r="IO165" s="108" t="str">
        <f t="shared" si="323"/>
        <v/>
      </c>
      <c r="IP165" s="109" t="str">
        <f t="shared" si="399"/>
        <v/>
      </c>
      <c r="IQ165" s="109" t="str">
        <f t="shared" si="324"/>
        <v/>
      </c>
      <c r="IR165" s="110" t="str">
        <f t="shared" si="421"/>
        <v/>
      </c>
      <c r="IS165" s="51"/>
      <c r="IT165" s="108" t="str">
        <f t="shared" si="400"/>
        <v/>
      </c>
      <c r="IU165" s="109" t="str">
        <f t="shared" si="401"/>
        <v/>
      </c>
      <c r="IV165" s="109" t="str">
        <f t="shared" si="325"/>
        <v/>
      </c>
      <c r="IW165" s="110" t="str">
        <f t="shared" si="402"/>
        <v/>
      </c>
      <c r="IX165" s="51"/>
      <c r="IY165" s="108" t="str">
        <f t="shared" si="326"/>
        <v/>
      </c>
      <c r="IZ165" s="109" t="str">
        <f t="shared" si="403"/>
        <v/>
      </c>
      <c r="JA165" s="109" t="str">
        <f t="shared" si="327"/>
        <v/>
      </c>
      <c r="JB165" s="110" t="str">
        <f t="shared" si="422"/>
        <v/>
      </c>
      <c r="JC165" s="51"/>
      <c r="JD165" s="108" t="str">
        <f t="shared" si="404"/>
        <v/>
      </c>
      <c r="JE165" s="109" t="str">
        <f t="shared" si="405"/>
        <v/>
      </c>
      <c r="JF165" s="109" t="str">
        <f t="shared" si="328"/>
        <v/>
      </c>
      <c r="JG165" s="110" t="str">
        <f t="shared" si="406"/>
        <v/>
      </c>
      <c r="JH165" s="51"/>
      <c r="JI165" s="108" t="str">
        <f t="shared" si="329"/>
        <v/>
      </c>
      <c r="JJ165" s="109" t="str">
        <f t="shared" si="407"/>
        <v/>
      </c>
      <c r="JK165" s="109" t="str">
        <f t="shared" si="330"/>
        <v/>
      </c>
      <c r="JL165" s="110" t="str">
        <f t="shared" si="423"/>
        <v/>
      </c>
      <c r="JM165" s="51"/>
      <c r="JN165" s="108" t="str">
        <f t="shared" si="408"/>
        <v/>
      </c>
      <c r="JO165" s="109" t="str">
        <f t="shared" si="409"/>
        <v/>
      </c>
      <c r="JP165" s="109" t="str">
        <f t="shared" si="331"/>
        <v/>
      </c>
      <c r="JQ165" s="110" t="str">
        <f t="shared" si="410"/>
        <v/>
      </c>
      <c r="JR165" s="51"/>
      <c r="JS165" s="108" t="str">
        <f t="shared" si="332"/>
        <v/>
      </c>
      <c r="JT165" s="109" t="str">
        <f t="shared" si="411"/>
        <v/>
      </c>
      <c r="JU165" s="109" t="str">
        <f t="shared" si="333"/>
        <v/>
      </c>
      <c r="JV165" s="110" t="str">
        <f t="shared" si="424"/>
        <v/>
      </c>
      <c r="JW165" s="51"/>
      <c r="JX165" s="108" t="str">
        <f t="shared" si="412"/>
        <v/>
      </c>
      <c r="JY165" s="109" t="str">
        <f t="shared" si="413"/>
        <v/>
      </c>
      <c r="JZ165" s="109" t="str">
        <f t="shared" si="334"/>
        <v/>
      </c>
      <c r="KA165" s="110" t="str">
        <f t="shared" si="335"/>
        <v/>
      </c>
    </row>
    <row r="166" spans="1:287" ht="12" customHeight="1">
      <c r="A166" s="105">
        <f t="array" ref="A166">MAX(IF($J$80:J165&gt;0,$C$80:C165,0))</f>
        <v>43536</v>
      </c>
      <c r="B166" s="81" t="str">
        <f t="shared" si="248"/>
        <v/>
      </c>
      <c r="C166" s="82">
        <f t="shared" si="414"/>
        <v>0</v>
      </c>
      <c r="D166" s="83" t="str">
        <f t="shared" si="249"/>
        <v/>
      </c>
      <c r="E166" s="83" t="str">
        <f t="shared" si="336"/>
        <v/>
      </c>
      <c r="F166" s="83" t="str">
        <f t="shared" si="250"/>
        <v/>
      </c>
      <c r="G166" s="83" t="str">
        <f t="shared" si="251"/>
        <v/>
      </c>
      <c r="H166" s="83" t="str">
        <f t="shared" si="252"/>
        <v/>
      </c>
      <c r="I166" s="105">
        <f t="array" ref="I166">MAX(IF($R$80:R165&gt;0,$L$80:L165,0))</f>
        <v>0</v>
      </c>
      <c r="J166" s="106"/>
      <c r="K166" s="2" t="str">
        <f t="shared" si="253"/>
        <v/>
      </c>
      <c r="L166" s="82">
        <f t="shared" si="415"/>
        <v>0</v>
      </c>
      <c r="M166" s="83" t="str">
        <f t="shared" si="337"/>
        <v/>
      </c>
      <c r="N166" s="83" t="str">
        <f t="shared" si="254"/>
        <v/>
      </c>
      <c r="O166" s="83" t="str">
        <f t="shared" si="255"/>
        <v/>
      </c>
      <c r="P166" s="83" t="str">
        <f t="shared" si="256"/>
        <v/>
      </c>
      <c r="Q166" s="83" t="str">
        <f t="shared" si="257"/>
        <v/>
      </c>
      <c r="R166" s="106"/>
      <c r="S166" s="1"/>
      <c r="U166" s="85" t="e">
        <f t="shared" si="244"/>
        <v>#NUM!</v>
      </c>
      <c r="V166" s="86" t="e">
        <f t="shared" si="338"/>
        <v>#NUM!</v>
      </c>
      <c r="W166" s="87" t="e">
        <f t="shared" si="258"/>
        <v>#NUM!</v>
      </c>
      <c r="X166" s="87" t="e">
        <f t="shared" si="259"/>
        <v>#NUM!</v>
      </c>
      <c r="Y166" s="87" t="e">
        <f t="shared" si="260"/>
        <v>#NUM!</v>
      </c>
      <c r="Z166" s="88" t="e">
        <f t="shared" si="245"/>
        <v>#NUM!</v>
      </c>
      <c r="AA166" t="s">
        <v>282</v>
      </c>
      <c r="AB166" s="89">
        <f t="shared" si="339"/>
        <v>0</v>
      </c>
      <c r="AC166" s="87">
        <f t="shared" si="340"/>
        <v>0</v>
      </c>
      <c r="AD166" s="87" t="str">
        <f t="shared" si="261"/>
        <v/>
      </c>
      <c r="AE166" s="87" t="str">
        <f t="shared" si="262"/>
        <v/>
      </c>
      <c r="AF166" s="86">
        <f t="shared" si="341"/>
        <v>0</v>
      </c>
      <c r="AG166" s="87">
        <f t="shared" si="246"/>
        <v>0</v>
      </c>
      <c r="AH166" s="87">
        <f t="shared" si="342"/>
        <v>0</v>
      </c>
      <c r="AI166" s="90"/>
      <c r="AJ166" s="87" t="e">
        <f t="shared" si="263"/>
        <v>#NUM!</v>
      </c>
      <c r="AK166" s="87" t="e">
        <f t="shared" si="343"/>
        <v>#NUM!</v>
      </c>
      <c r="AL166" s="87" t="e">
        <f t="shared" si="344"/>
        <v>#NUM!</v>
      </c>
      <c r="AM166" s="87" t="e">
        <f t="shared" si="345"/>
        <v>#NUM!</v>
      </c>
      <c r="AN166" s="86">
        <f t="shared" si="264"/>
        <v>0</v>
      </c>
      <c r="AO166" s="87">
        <f t="shared" si="265"/>
        <v>0</v>
      </c>
      <c r="AP166" s="88">
        <f t="shared" si="266"/>
        <v>0</v>
      </c>
      <c r="AR166" s="89">
        <f t="shared" si="267"/>
        <v>0</v>
      </c>
      <c r="AS166" s="87">
        <f t="shared" si="268"/>
        <v>0</v>
      </c>
      <c r="AT166" s="87" t="str">
        <f t="shared" si="269"/>
        <v/>
      </c>
      <c r="AU166" s="87" t="str">
        <f t="shared" si="270"/>
        <v/>
      </c>
      <c r="AV166" s="86">
        <f t="shared" si="346"/>
        <v>0</v>
      </c>
      <c r="AW166" s="87">
        <f t="shared" si="347"/>
        <v>0</v>
      </c>
      <c r="AX166" s="87">
        <f t="shared" si="348"/>
        <v>0</v>
      </c>
      <c r="AY166" s="93"/>
      <c r="AZ166" s="87">
        <f t="shared" si="425"/>
        <v>0</v>
      </c>
      <c r="BA166" s="87">
        <f t="shared" si="349"/>
        <v>0</v>
      </c>
      <c r="BB166" s="87">
        <f t="shared" si="350"/>
        <v>0</v>
      </c>
      <c r="BC166" s="87">
        <f t="shared" si="416"/>
        <v>0</v>
      </c>
      <c r="BD166" s="86" t="e">
        <f t="shared" si="271"/>
        <v>#NUM!</v>
      </c>
      <c r="BE166" s="87" t="e">
        <f t="shared" si="247"/>
        <v>#NUM!</v>
      </c>
      <c r="BF166" s="88">
        <f t="shared" si="351"/>
        <v>0</v>
      </c>
      <c r="BH166" s="87" t="e">
        <f t="shared" si="272"/>
        <v>#NUM!</v>
      </c>
      <c r="BK166" s="95">
        <v>41514</v>
      </c>
      <c r="BL166" s="96">
        <v>87</v>
      </c>
      <c r="CS166" s="108" t="str">
        <f t="shared" si="273"/>
        <v/>
      </c>
      <c r="CT166" s="109" t="str">
        <f t="shared" si="274"/>
        <v/>
      </c>
      <c r="CU166" s="109" t="str">
        <f t="shared" si="275"/>
        <v/>
      </c>
      <c r="CV166" s="110" t="str">
        <f t="shared" si="225"/>
        <v/>
      </c>
      <c r="CX166" s="108" t="str">
        <f t="shared" si="276"/>
        <v/>
      </c>
      <c r="CY166" s="109" t="str">
        <f t="shared" si="352"/>
        <v/>
      </c>
      <c r="CZ166" s="109" t="str">
        <f t="shared" si="277"/>
        <v/>
      </c>
      <c r="DA166" s="110" t="str">
        <f t="shared" si="226"/>
        <v/>
      </c>
      <c r="DC166" s="108" t="str">
        <f t="shared" si="353"/>
        <v/>
      </c>
      <c r="DD166" s="109" t="str">
        <f t="shared" si="354"/>
        <v/>
      </c>
      <c r="DE166" s="109" t="str">
        <f t="shared" si="278"/>
        <v/>
      </c>
      <c r="DF166" s="110" t="str">
        <f t="shared" si="227"/>
        <v/>
      </c>
      <c r="DH166" s="108" t="str">
        <f t="shared" si="279"/>
        <v/>
      </c>
      <c r="DI166" s="109" t="str">
        <f t="shared" si="280"/>
        <v/>
      </c>
      <c r="DJ166" s="109" t="str">
        <f t="shared" si="281"/>
        <v/>
      </c>
      <c r="DK166" s="110" t="str">
        <f t="shared" si="228"/>
        <v/>
      </c>
      <c r="DM166" s="108" t="str">
        <f t="shared" si="355"/>
        <v/>
      </c>
      <c r="DN166" s="109" t="str">
        <f t="shared" si="356"/>
        <v/>
      </c>
      <c r="DO166" s="109" t="str">
        <f t="shared" si="282"/>
        <v/>
      </c>
      <c r="DP166" s="110" t="str">
        <f t="shared" si="229"/>
        <v/>
      </c>
      <c r="DR166" s="108" t="str">
        <f t="shared" si="283"/>
        <v/>
      </c>
      <c r="DS166" s="109" t="str">
        <f t="shared" si="357"/>
        <v/>
      </c>
      <c r="DT166" s="109" t="str">
        <f t="shared" si="284"/>
        <v/>
      </c>
      <c r="DU166" s="110" t="str">
        <f t="shared" si="230"/>
        <v/>
      </c>
      <c r="DW166" s="108" t="str">
        <f t="shared" si="358"/>
        <v/>
      </c>
      <c r="DX166" s="109" t="str">
        <f t="shared" si="359"/>
        <v/>
      </c>
      <c r="DY166" s="109" t="str">
        <f t="shared" si="285"/>
        <v/>
      </c>
      <c r="DZ166" s="110" t="str">
        <f t="shared" si="231"/>
        <v/>
      </c>
      <c r="EB166" s="108" t="str">
        <f t="shared" si="286"/>
        <v/>
      </c>
      <c r="EC166" s="109" t="str">
        <f t="shared" si="360"/>
        <v/>
      </c>
      <c r="ED166" s="109" t="str">
        <f t="shared" si="287"/>
        <v/>
      </c>
      <c r="EE166" s="110" t="str">
        <f t="shared" si="232"/>
        <v/>
      </c>
      <c r="EG166" s="108" t="str">
        <f t="shared" si="361"/>
        <v/>
      </c>
      <c r="EH166" s="109" t="str">
        <f t="shared" si="362"/>
        <v/>
      </c>
      <c r="EI166" s="109" t="str">
        <f t="shared" si="288"/>
        <v/>
      </c>
      <c r="EJ166" s="110" t="str">
        <f t="shared" si="233"/>
        <v/>
      </c>
      <c r="EL166" s="108" t="str">
        <f t="shared" si="289"/>
        <v/>
      </c>
      <c r="EM166" s="109" t="str">
        <f t="shared" si="363"/>
        <v/>
      </c>
      <c r="EN166" s="109" t="str">
        <f t="shared" si="290"/>
        <v/>
      </c>
      <c r="EO166" s="110" t="str">
        <f t="shared" si="234"/>
        <v/>
      </c>
      <c r="EQ166" s="108" t="str">
        <f t="shared" si="364"/>
        <v/>
      </c>
      <c r="ER166" s="109" t="str">
        <f t="shared" si="365"/>
        <v/>
      </c>
      <c r="ES166" s="109" t="str">
        <f t="shared" si="291"/>
        <v/>
      </c>
      <c r="ET166" s="110" t="str">
        <f t="shared" si="235"/>
        <v/>
      </c>
      <c r="EV166" s="108" t="str">
        <f t="shared" si="292"/>
        <v/>
      </c>
      <c r="EW166" s="109" t="str">
        <f t="shared" si="366"/>
        <v/>
      </c>
      <c r="EX166" s="109" t="str">
        <f t="shared" si="293"/>
        <v/>
      </c>
      <c r="EY166" s="110" t="str">
        <f t="shared" si="236"/>
        <v/>
      </c>
      <c r="FA166" s="108" t="str">
        <f t="shared" si="367"/>
        <v/>
      </c>
      <c r="FB166" s="109" t="str">
        <f t="shared" si="368"/>
        <v/>
      </c>
      <c r="FC166" s="109" t="str">
        <f t="shared" si="294"/>
        <v/>
      </c>
      <c r="FD166" s="110" t="str">
        <f t="shared" si="237"/>
        <v/>
      </c>
      <c r="FF166" s="108" t="str">
        <f t="shared" si="295"/>
        <v/>
      </c>
      <c r="FG166" s="109" t="str">
        <f t="shared" si="369"/>
        <v/>
      </c>
      <c r="FH166" s="109" t="str">
        <f t="shared" si="296"/>
        <v/>
      </c>
      <c r="FI166" s="110" t="str">
        <f t="shared" si="238"/>
        <v/>
      </c>
      <c r="FK166" s="108" t="str">
        <f t="shared" si="370"/>
        <v/>
      </c>
      <c r="FL166" s="109" t="str">
        <f t="shared" si="371"/>
        <v/>
      </c>
      <c r="FM166" s="109" t="str">
        <f t="shared" si="297"/>
        <v/>
      </c>
      <c r="FN166" s="110" t="str">
        <f t="shared" si="239"/>
        <v/>
      </c>
      <c r="FP166" s="108" t="str">
        <f t="shared" si="298"/>
        <v/>
      </c>
      <c r="FQ166" s="109" t="str">
        <f t="shared" si="372"/>
        <v/>
      </c>
      <c r="FR166" s="109" t="str">
        <f t="shared" si="299"/>
        <v/>
      </c>
      <c r="FS166" s="110" t="str">
        <f t="shared" si="240"/>
        <v/>
      </c>
      <c r="FU166" s="108" t="str">
        <f t="shared" si="373"/>
        <v/>
      </c>
      <c r="FV166" s="109" t="str">
        <f t="shared" si="374"/>
        <v/>
      </c>
      <c r="FW166" s="109" t="str">
        <f t="shared" si="300"/>
        <v/>
      </c>
      <c r="FX166" s="110" t="str">
        <f t="shared" si="241"/>
        <v/>
      </c>
      <c r="FZ166" s="108" t="str">
        <f t="shared" si="301"/>
        <v/>
      </c>
      <c r="GA166" s="109" t="str">
        <f t="shared" si="375"/>
        <v/>
      </c>
      <c r="GB166" s="109" t="str">
        <f t="shared" si="302"/>
        <v/>
      </c>
      <c r="GC166" s="110" t="str">
        <f t="shared" si="242"/>
        <v/>
      </c>
      <c r="GE166" s="108" t="str">
        <f t="shared" si="376"/>
        <v/>
      </c>
      <c r="GF166" s="109" t="str">
        <f t="shared" si="377"/>
        <v/>
      </c>
      <c r="GG166" s="109" t="str">
        <f t="shared" si="378"/>
        <v/>
      </c>
      <c r="GH166" s="110" t="str">
        <f t="shared" si="243"/>
        <v/>
      </c>
      <c r="GL166" s="108" t="str">
        <f t="shared" si="303"/>
        <v/>
      </c>
      <c r="GM166" s="109" t="str">
        <f t="shared" si="304"/>
        <v/>
      </c>
      <c r="GN166" s="109" t="str">
        <f t="shared" si="305"/>
        <v/>
      </c>
      <c r="GO166" s="110" t="str">
        <f t="shared" si="306"/>
        <v/>
      </c>
      <c r="GP166" s="51"/>
      <c r="GQ166" s="108" t="str">
        <f t="shared" si="307"/>
        <v/>
      </c>
      <c r="GR166" s="109" t="str">
        <f t="shared" si="379"/>
        <v/>
      </c>
      <c r="GS166" s="109" t="str">
        <f t="shared" si="308"/>
        <v/>
      </c>
      <c r="GT166" s="110" t="str">
        <f t="shared" si="309"/>
        <v/>
      </c>
      <c r="GU166" s="51"/>
      <c r="GV166" s="108" t="str">
        <f t="shared" si="380"/>
        <v/>
      </c>
      <c r="GW166" s="109" t="str">
        <f t="shared" si="381"/>
        <v/>
      </c>
      <c r="GX166" s="109" t="str">
        <f t="shared" si="310"/>
        <v/>
      </c>
      <c r="GY166" s="110" t="str">
        <f t="shared" si="382"/>
        <v/>
      </c>
      <c r="GZ166" s="51"/>
      <c r="HA166" s="108" t="str">
        <f t="shared" si="311"/>
        <v/>
      </c>
      <c r="HB166" s="109" t="str">
        <f t="shared" si="383"/>
        <v/>
      </c>
      <c r="HC166" s="109" t="str">
        <f t="shared" si="312"/>
        <v/>
      </c>
      <c r="HD166" s="110" t="str">
        <f t="shared" si="417"/>
        <v/>
      </c>
      <c r="HE166" s="51"/>
      <c r="HF166" s="108" t="str">
        <f t="shared" si="384"/>
        <v/>
      </c>
      <c r="HG166" s="109" t="str">
        <f t="shared" si="385"/>
        <v/>
      </c>
      <c r="HH166" s="109" t="str">
        <f t="shared" si="313"/>
        <v/>
      </c>
      <c r="HI166" s="110" t="str">
        <f t="shared" si="386"/>
        <v/>
      </c>
      <c r="HJ166" s="51"/>
      <c r="HK166" s="108" t="str">
        <f t="shared" si="314"/>
        <v/>
      </c>
      <c r="HL166" s="109" t="str">
        <f t="shared" si="387"/>
        <v/>
      </c>
      <c r="HM166" s="109" t="str">
        <f t="shared" si="315"/>
        <v/>
      </c>
      <c r="HN166" s="110" t="str">
        <f t="shared" si="418"/>
        <v/>
      </c>
      <c r="HO166" s="51"/>
      <c r="HP166" s="108" t="str">
        <f t="shared" si="388"/>
        <v/>
      </c>
      <c r="HQ166" s="109" t="str">
        <f t="shared" si="389"/>
        <v/>
      </c>
      <c r="HR166" s="109" t="str">
        <f t="shared" si="316"/>
        <v/>
      </c>
      <c r="HS166" s="110" t="str">
        <f t="shared" si="390"/>
        <v/>
      </c>
      <c r="HT166" s="51"/>
      <c r="HU166" s="108" t="str">
        <f t="shared" si="317"/>
        <v/>
      </c>
      <c r="HV166" s="109" t="str">
        <f t="shared" si="391"/>
        <v/>
      </c>
      <c r="HW166" s="109" t="str">
        <f t="shared" si="318"/>
        <v/>
      </c>
      <c r="HX166" s="110" t="str">
        <f t="shared" si="419"/>
        <v/>
      </c>
      <c r="HY166" s="51"/>
      <c r="HZ166" s="108" t="str">
        <f t="shared" si="392"/>
        <v/>
      </c>
      <c r="IA166" s="109" t="str">
        <f t="shared" si="393"/>
        <v/>
      </c>
      <c r="IB166" s="109" t="str">
        <f t="shared" si="319"/>
        <v/>
      </c>
      <c r="IC166" s="110" t="str">
        <f t="shared" si="394"/>
        <v/>
      </c>
      <c r="ID166" s="51"/>
      <c r="IE166" s="108" t="str">
        <f t="shared" si="320"/>
        <v/>
      </c>
      <c r="IF166" s="109" t="str">
        <f t="shared" si="395"/>
        <v/>
      </c>
      <c r="IG166" s="109" t="str">
        <f t="shared" si="321"/>
        <v/>
      </c>
      <c r="IH166" s="110" t="str">
        <f t="shared" si="420"/>
        <v/>
      </c>
      <c r="II166" s="51"/>
      <c r="IJ166" s="108" t="str">
        <f t="shared" si="396"/>
        <v/>
      </c>
      <c r="IK166" s="109" t="str">
        <f t="shared" si="397"/>
        <v/>
      </c>
      <c r="IL166" s="109" t="str">
        <f t="shared" si="322"/>
        <v/>
      </c>
      <c r="IM166" s="110" t="str">
        <f t="shared" si="398"/>
        <v/>
      </c>
      <c r="IN166" s="51"/>
      <c r="IO166" s="108" t="str">
        <f t="shared" si="323"/>
        <v/>
      </c>
      <c r="IP166" s="109" t="str">
        <f t="shared" si="399"/>
        <v/>
      </c>
      <c r="IQ166" s="109" t="str">
        <f t="shared" si="324"/>
        <v/>
      </c>
      <c r="IR166" s="110" t="str">
        <f t="shared" si="421"/>
        <v/>
      </c>
      <c r="IS166" s="51"/>
      <c r="IT166" s="108" t="str">
        <f t="shared" si="400"/>
        <v/>
      </c>
      <c r="IU166" s="109" t="str">
        <f t="shared" si="401"/>
        <v/>
      </c>
      <c r="IV166" s="109" t="str">
        <f t="shared" si="325"/>
        <v/>
      </c>
      <c r="IW166" s="110" t="str">
        <f t="shared" si="402"/>
        <v/>
      </c>
      <c r="IX166" s="51"/>
      <c r="IY166" s="108" t="str">
        <f t="shared" si="326"/>
        <v/>
      </c>
      <c r="IZ166" s="109" t="str">
        <f t="shared" si="403"/>
        <v/>
      </c>
      <c r="JA166" s="109" t="str">
        <f t="shared" si="327"/>
        <v/>
      </c>
      <c r="JB166" s="110" t="str">
        <f t="shared" si="422"/>
        <v/>
      </c>
      <c r="JC166" s="51"/>
      <c r="JD166" s="108" t="str">
        <f t="shared" si="404"/>
        <v/>
      </c>
      <c r="JE166" s="109" t="str">
        <f t="shared" si="405"/>
        <v/>
      </c>
      <c r="JF166" s="109" t="str">
        <f t="shared" si="328"/>
        <v/>
      </c>
      <c r="JG166" s="110" t="str">
        <f t="shared" si="406"/>
        <v/>
      </c>
      <c r="JH166" s="51"/>
      <c r="JI166" s="108" t="str">
        <f t="shared" si="329"/>
        <v/>
      </c>
      <c r="JJ166" s="109" t="str">
        <f t="shared" si="407"/>
        <v/>
      </c>
      <c r="JK166" s="109" t="str">
        <f t="shared" si="330"/>
        <v/>
      </c>
      <c r="JL166" s="110" t="str">
        <f t="shared" si="423"/>
        <v/>
      </c>
      <c r="JM166" s="51"/>
      <c r="JN166" s="108" t="str">
        <f t="shared" si="408"/>
        <v/>
      </c>
      <c r="JO166" s="109" t="str">
        <f t="shared" si="409"/>
        <v/>
      </c>
      <c r="JP166" s="109" t="str">
        <f t="shared" si="331"/>
        <v/>
      </c>
      <c r="JQ166" s="110" t="str">
        <f t="shared" si="410"/>
        <v/>
      </c>
      <c r="JR166" s="51"/>
      <c r="JS166" s="108" t="str">
        <f t="shared" si="332"/>
        <v/>
      </c>
      <c r="JT166" s="109" t="str">
        <f t="shared" si="411"/>
        <v/>
      </c>
      <c r="JU166" s="109" t="str">
        <f t="shared" si="333"/>
        <v/>
      </c>
      <c r="JV166" s="110" t="str">
        <f t="shared" si="424"/>
        <v/>
      </c>
      <c r="JW166" s="51"/>
      <c r="JX166" s="108" t="str">
        <f t="shared" si="412"/>
        <v/>
      </c>
      <c r="JY166" s="109" t="str">
        <f t="shared" si="413"/>
        <v/>
      </c>
      <c r="JZ166" s="109" t="str">
        <f t="shared" si="334"/>
        <v/>
      </c>
      <c r="KA166" s="110" t="str">
        <f t="shared" si="335"/>
        <v/>
      </c>
    </row>
    <row r="167" spans="1:287" ht="12" customHeight="1">
      <c r="A167" s="105">
        <f t="array" ref="A167">MAX(IF($J$80:J166&gt;0,$C$80:C166,0))</f>
        <v>43536</v>
      </c>
      <c r="B167" s="81" t="str">
        <f t="shared" si="248"/>
        <v/>
      </c>
      <c r="C167" s="82">
        <f t="shared" si="414"/>
        <v>0</v>
      </c>
      <c r="D167" s="83" t="str">
        <f t="shared" si="249"/>
        <v/>
      </c>
      <c r="E167" s="83" t="str">
        <f t="shared" si="336"/>
        <v/>
      </c>
      <c r="F167" s="83" t="str">
        <f t="shared" si="250"/>
        <v/>
      </c>
      <c r="G167" s="83" t="str">
        <f t="shared" si="251"/>
        <v/>
      </c>
      <c r="H167" s="83" t="str">
        <f t="shared" si="252"/>
        <v/>
      </c>
      <c r="I167" s="105">
        <f t="array" ref="I167">MAX(IF($R$80:R166&gt;0,$L$80:L166,0))</f>
        <v>0</v>
      </c>
      <c r="J167" s="106"/>
      <c r="K167" s="2" t="str">
        <f t="shared" si="253"/>
        <v/>
      </c>
      <c r="L167" s="82">
        <f t="shared" si="415"/>
        <v>0</v>
      </c>
      <c r="M167" s="83" t="str">
        <f t="shared" si="337"/>
        <v/>
      </c>
      <c r="N167" s="83" t="str">
        <f t="shared" si="254"/>
        <v/>
      </c>
      <c r="O167" s="83" t="str">
        <f t="shared" si="255"/>
        <v/>
      </c>
      <c r="P167" s="83" t="str">
        <f t="shared" si="256"/>
        <v/>
      </c>
      <c r="Q167" s="83" t="str">
        <f t="shared" si="257"/>
        <v/>
      </c>
      <c r="R167" s="106"/>
      <c r="S167" s="1"/>
      <c r="U167" s="85" t="e">
        <f t="shared" si="244"/>
        <v>#NUM!</v>
      </c>
      <c r="V167" s="86" t="e">
        <f t="shared" si="338"/>
        <v>#NUM!</v>
      </c>
      <c r="W167" s="87" t="e">
        <f t="shared" si="258"/>
        <v>#NUM!</v>
      </c>
      <c r="X167" s="87" t="e">
        <f t="shared" si="259"/>
        <v>#NUM!</v>
      </c>
      <c r="Y167" s="87" t="e">
        <f t="shared" si="260"/>
        <v>#NUM!</v>
      </c>
      <c r="Z167" s="88" t="e">
        <f t="shared" si="245"/>
        <v>#NUM!</v>
      </c>
      <c r="AA167" t="s">
        <v>282</v>
      </c>
      <c r="AB167" s="89">
        <f t="shared" si="339"/>
        <v>0</v>
      </c>
      <c r="AC167" s="87">
        <f t="shared" si="340"/>
        <v>0</v>
      </c>
      <c r="AD167" s="87" t="str">
        <f t="shared" si="261"/>
        <v/>
      </c>
      <c r="AE167" s="87" t="str">
        <f t="shared" si="262"/>
        <v/>
      </c>
      <c r="AF167" s="86">
        <f t="shared" si="341"/>
        <v>0</v>
      </c>
      <c r="AG167" s="87">
        <f t="shared" si="246"/>
        <v>0</v>
      </c>
      <c r="AH167" s="87">
        <f t="shared" si="342"/>
        <v>0</v>
      </c>
      <c r="AI167" s="90"/>
      <c r="AJ167" s="87" t="e">
        <f t="shared" si="263"/>
        <v>#NUM!</v>
      </c>
      <c r="AK167" s="87" t="e">
        <f t="shared" si="343"/>
        <v>#NUM!</v>
      </c>
      <c r="AL167" s="87" t="e">
        <f t="shared" si="344"/>
        <v>#NUM!</v>
      </c>
      <c r="AM167" s="87" t="e">
        <f t="shared" si="345"/>
        <v>#NUM!</v>
      </c>
      <c r="AN167" s="86">
        <f t="shared" si="264"/>
        <v>0</v>
      </c>
      <c r="AO167" s="87">
        <f t="shared" si="265"/>
        <v>0</v>
      </c>
      <c r="AP167" s="88">
        <f t="shared" si="266"/>
        <v>0</v>
      </c>
      <c r="AR167" s="89">
        <f t="shared" si="267"/>
        <v>0</v>
      </c>
      <c r="AS167" s="87">
        <f t="shared" si="268"/>
        <v>0</v>
      </c>
      <c r="AT167" s="87" t="str">
        <f t="shared" si="269"/>
        <v/>
      </c>
      <c r="AU167" s="87" t="str">
        <f t="shared" si="270"/>
        <v/>
      </c>
      <c r="AV167" s="86">
        <f t="shared" si="346"/>
        <v>0</v>
      </c>
      <c r="AW167" s="87">
        <f t="shared" si="347"/>
        <v>0</v>
      </c>
      <c r="AX167" s="87">
        <f t="shared" si="348"/>
        <v>0</v>
      </c>
      <c r="AY167" s="93"/>
      <c r="AZ167" s="87">
        <f t="shared" si="425"/>
        <v>0</v>
      </c>
      <c r="BA167" s="87">
        <f t="shared" si="349"/>
        <v>0</v>
      </c>
      <c r="BB167" s="87">
        <f t="shared" si="350"/>
        <v>0</v>
      </c>
      <c r="BC167" s="87">
        <f t="shared" si="416"/>
        <v>0</v>
      </c>
      <c r="BD167" s="86" t="e">
        <f t="shared" si="271"/>
        <v>#NUM!</v>
      </c>
      <c r="BE167" s="87" t="e">
        <f t="shared" si="247"/>
        <v>#NUM!</v>
      </c>
      <c r="BF167" s="88">
        <f t="shared" si="351"/>
        <v>0</v>
      </c>
      <c r="BH167" s="87" t="e">
        <f t="shared" si="272"/>
        <v>#NUM!</v>
      </c>
      <c r="BK167" s="95">
        <v>41561</v>
      </c>
      <c r="BL167" s="96">
        <v>88</v>
      </c>
      <c r="CS167" s="108" t="str">
        <f t="shared" si="273"/>
        <v/>
      </c>
      <c r="CT167" s="109" t="str">
        <f t="shared" si="274"/>
        <v/>
      </c>
      <c r="CU167" s="109" t="str">
        <f t="shared" si="275"/>
        <v/>
      </c>
      <c r="CV167" s="110" t="str">
        <f t="shared" si="225"/>
        <v/>
      </c>
      <c r="CX167" s="108" t="str">
        <f t="shared" si="276"/>
        <v/>
      </c>
      <c r="CY167" s="109" t="str">
        <f t="shared" si="352"/>
        <v/>
      </c>
      <c r="CZ167" s="109" t="str">
        <f t="shared" si="277"/>
        <v/>
      </c>
      <c r="DA167" s="110" t="str">
        <f t="shared" si="226"/>
        <v/>
      </c>
      <c r="DC167" s="108" t="str">
        <f t="shared" si="353"/>
        <v/>
      </c>
      <c r="DD167" s="109" t="str">
        <f t="shared" si="354"/>
        <v/>
      </c>
      <c r="DE167" s="109" t="str">
        <f t="shared" si="278"/>
        <v/>
      </c>
      <c r="DF167" s="110" t="str">
        <f t="shared" si="227"/>
        <v/>
      </c>
      <c r="DH167" s="108" t="str">
        <f t="shared" si="279"/>
        <v/>
      </c>
      <c r="DI167" s="109" t="str">
        <f t="shared" si="280"/>
        <v/>
      </c>
      <c r="DJ167" s="109" t="str">
        <f t="shared" si="281"/>
        <v/>
      </c>
      <c r="DK167" s="110" t="str">
        <f t="shared" si="228"/>
        <v/>
      </c>
      <c r="DM167" s="108" t="str">
        <f t="shared" si="355"/>
        <v/>
      </c>
      <c r="DN167" s="109" t="str">
        <f t="shared" si="356"/>
        <v/>
      </c>
      <c r="DO167" s="109" t="str">
        <f t="shared" si="282"/>
        <v/>
      </c>
      <c r="DP167" s="110" t="str">
        <f t="shared" si="229"/>
        <v/>
      </c>
      <c r="DR167" s="108" t="str">
        <f t="shared" si="283"/>
        <v/>
      </c>
      <c r="DS167" s="109" t="str">
        <f t="shared" si="357"/>
        <v/>
      </c>
      <c r="DT167" s="109" t="str">
        <f t="shared" si="284"/>
        <v/>
      </c>
      <c r="DU167" s="110" t="str">
        <f t="shared" si="230"/>
        <v/>
      </c>
      <c r="DW167" s="108" t="str">
        <f t="shared" si="358"/>
        <v/>
      </c>
      <c r="DX167" s="109" t="str">
        <f t="shared" si="359"/>
        <v/>
      </c>
      <c r="DY167" s="109" t="str">
        <f t="shared" si="285"/>
        <v/>
      </c>
      <c r="DZ167" s="110" t="str">
        <f t="shared" si="231"/>
        <v/>
      </c>
      <c r="EB167" s="108" t="str">
        <f t="shared" si="286"/>
        <v/>
      </c>
      <c r="EC167" s="109" t="str">
        <f t="shared" si="360"/>
        <v/>
      </c>
      <c r="ED167" s="109" t="str">
        <f t="shared" si="287"/>
        <v/>
      </c>
      <c r="EE167" s="110" t="str">
        <f t="shared" si="232"/>
        <v/>
      </c>
      <c r="EG167" s="108" t="str">
        <f t="shared" si="361"/>
        <v/>
      </c>
      <c r="EH167" s="109" t="str">
        <f t="shared" si="362"/>
        <v/>
      </c>
      <c r="EI167" s="109" t="str">
        <f t="shared" si="288"/>
        <v/>
      </c>
      <c r="EJ167" s="110" t="str">
        <f t="shared" si="233"/>
        <v/>
      </c>
      <c r="EL167" s="108" t="str">
        <f t="shared" si="289"/>
        <v/>
      </c>
      <c r="EM167" s="109" t="str">
        <f t="shared" si="363"/>
        <v/>
      </c>
      <c r="EN167" s="109" t="str">
        <f t="shared" si="290"/>
        <v/>
      </c>
      <c r="EO167" s="110" t="str">
        <f t="shared" si="234"/>
        <v/>
      </c>
      <c r="EQ167" s="108" t="str">
        <f t="shared" si="364"/>
        <v/>
      </c>
      <c r="ER167" s="109" t="str">
        <f t="shared" si="365"/>
        <v/>
      </c>
      <c r="ES167" s="109" t="str">
        <f t="shared" si="291"/>
        <v/>
      </c>
      <c r="ET167" s="110" t="str">
        <f t="shared" si="235"/>
        <v/>
      </c>
      <c r="EV167" s="108" t="str">
        <f t="shared" si="292"/>
        <v/>
      </c>
      <c r="EW167" s="109" t="str">
        <f t="shared" si="366"/>
        <v/>
      </c>
      <c r="EX167" s="109" t="str">
        <f t="shared" si="293"/>
        <v/>
      </c>
      <c r="EY167" s="110" t="str">
        <f t="shared" si="236"/>
        <v/>
      </c>
      <c r="FA167" s="108" t="str">
        <f t="shared" si="367"/>
        <v/>
      </c>
      <c r="FB167" s="109" t="str">
        <f t="shared" si="368"/>
        <v/>
      </c>
      <c r="FC167" s="109" t="str">
        <f t="shared" si="294"/>
        <v/>
      </c>
      <c r="FD167" s="110" t="str">
        <f t="shared" si="237"/>
        <v/>
      </c>
      <c r="FF167" s="108" t="str">
        <f t="shared" si="295"/>
        <v/>
      </c>
      <c r="FG167" s="109" t="str">
        <f t="shared" si="369"/>
        <v/>
      </c>
      <c r="FH167" s="109" t="str">
        <f t="shared" si="296"/>
        <v/>
      </c>
      <c r="FI167" s="110" t="str">
        <f t="shared" si="238"/>
        <v/>
      </c>
      <c r="FK167" s="108" t="str">
        <f t="shared" si="370"/>
        <v/>
      </c>
      <c r="FL167" s="109" t="str">
        <f t="shared" si="371"/>
        <v/>
      </c>
      <c r="FM167" s="109" t="str">
        <f t="shared" si="297"/>
        <v/>
      </c>
      <c r="FN167" s="110" t="str">
        <f t="shared" si="239"/>
        <v/>
      </c>
      <c r="FP167" s="108" t="str">
        <f t="shared" si="298"/>
        <v/>
      </c>
      <c r="FQ167" s="109" t="str">
        <f t="shared" si="372"/>
        <v/>
      </c>
      <c r="FR167" s="109" t="str">
        <f t="shared" si="299"/>
        <v/>
      </c>
      <c r="FS167" s="110" t="str">
        <f t="shared" si="240"/>
        <v/>
      </c>
      <c r="FU167" s="108" t="str">
        <f t="shared" si="373"/>
        <v/>
      </c>
      <c r="FV167" s="109" t="str">
        <f t="shared" si="374"/>
        <v/>
      </c>
      <c r="FW167" s="109" t="str">
        <f t="shared" si="300"/>
        <v/>
      </c>
      <c r="FX167" s="110" t="str">
        <f t="shared" si="241"/>
        <v/>
      </c>
      <c r="FZ167" s="108" t="str">
        <f t="shared" si="301"/>
        <v/>
      </c>
      <c r="GA167" s="109" t="str">
        <f t="shared" si="375"/>
        <v/>
      </c>
      <c r="GB167" s="109" t="str">
        <f t="shared" si="302"/>
        <v/>
      </c>
      <c r="GC167" s="110" t="str">
        <f t="shared" si="242"/>
        <v/>
      </c>
      <c r="GE167" s="108" t="str">
        <f t="shared" si="376"/>
        <v/>
      </c>
      <c r="GF167" s="109" t="str">
        <f t="shared" si="377"/>
        <v/>
      </c>
      <c r="GG167" s="109" t="str">
        <f t="shared" si="378"/>
        <v/>
      </c>
      <c r="GH167" s="110" t="str">
        <f t="shared" si="243"/>
        <v/>
      </c>
      <c r="GL167" s="108" t="str">
        <f t="shared" si="303"/>
        <v/>
      </c>
      <c r="GM167" s="109" t="str">
        <f t="shared" si="304"/>
        <v/>
      </c>
      <c r="GN167" s="109" t="str">
        <f t="shared" si="305"/>
        <v/>
      </c>
      <c r="GO167" s="110" t="str">
        <f t="shared" si="306"/>
        <v/>
      </c>
      <c r="GP167" s="51"/>
      <c r="GQ167" s="108" t="str">
        <f t="shared" si="307"/>
        <v/>
      </c>
      <c r="GR167" s="109" t="str">
        <f t="shared" si="379"/>
        <v/>
      </c>
      <c r="GS167" s="109" t="str">
        <f t="shared" si="308"/>
        <v/>
      </c>
      <c r="GT167" s="110" t="str">
        <f t="shared" si="309"/>
        <v/>
      </c>
      <c r="GU167" s="51"/>
      <c r="GV167" s="108" t="str">
        <f t="shared" si="380"/>
        <v/>
      </c>
      <c r="GW167" s="109" t="str">
        <f t="shared" si="381"/>
        <v/>
      </c>
      <c r="GX167" s="109" t="str">
        <f t="shared" si="310"/>
        <v/>
      </c>
      <c r="GY167" s="110" t="str">
        <f t="shared" si="382"/>
        <v/>
      </c>
      <c r="GZ167" s="51"/>
      <c r="HA167" s="108" t="str">
        <f t="shared" si="311"/>
        <v/>
      </c>
      <c r="HB167" s="109" t="str">
        <f t="shared" si="383"/>
        <v/>
      </c>
      <c r="HC167" s="109" t="str">
        <f t="shared" si="312"/>
        <v/>
      </c>
      <c r="HD167" s="110" t="str">
        <f t="shared" si="417"/>
        <v/>
      </c>
      <c r="HE167" s="51"/>
      <c r="HF167" s="108" t="str">
        <f t="shared" si="384"/>
        <v/>
      </c>
      <c r="HG167" s="109" t="str">
        <f t="shared" si="385"/>
        <v/>
      </c>
      <c r="HH167" s="109" t="str">
        <f t="shared" si="313"/>
        <v/>
      </c>
      <c r="HI167" s="110" t="str">
        <f t="shared" si="386"/>
        <v/>
      </c>
      <c r="HJ167" s="51"/>
      <c r="HK167" s="108" t="str">
        <f t="shared" si="314"/>
        <v/>
      </c>
      <c r="HL167" s="109" t="str">
        <f t="shared" si="387"/>
        <v/>
      </c>
      <c r="HM167" s="109" t="str">
        <f t="shared" si="315"/>
        <v/>
      </c>
      <c r="HN167" s="110" t="str">
        <f t="shared" si="418"/>
        <v/>
      </c>
      <c r="HO167" s="51"/>
      <c r="HP167" s="108" t="str">
        <f t="shared" si="388"/>
        <v/>
      </c>
      <c r="HQ167" s="109" t="str">
        <f t="shared" si="389"/>
        <v/>
      </c>
      <c r="HR167" s="109" t="str">
        <f t="shared" si="316"/>
        <v/>
      </c>
      <c r="HS167" s="110" t="str">
        <f t="shared" si="390"/>
        <v/>
      </c>
      <c r="HT167" s="51"/>
      <c r="HU167" s="108" t="str">
        <f t="shared" si="317"/>
        <v/>
      </c>
      <c r="HV167" s="109" t="str">
        <f t="shared" si="391"/>
        <v/>
      </c>
      <c r="HW167" s="109" t="str">
        <f t="shared" si="318"/>
        <v/>
      </c>
      <c r="HX167" s="110" t="str">
        <f t="shared" si="419"/>
        <v/>
      </c>
      <c r="HY167" s="51"/>
      <c r="HZ167" s="108" t="str">
        <f t="shared" si="392"/>
        <v/>
      </c>
      <c r="IA167" s="109" t="str">
        <f t="shared" si="393"/>
        <v/>
      </c>
      <c r="IB167" s="109" t="str">
        <f t="shared" si="319"/>
        <v/>
      </c>
      <c r="IC167" s="110" t="str">
        <f t="shared" si="394"/>
        <v/>
      </c>
      <c r="ID167" s="51"/>
      <c r="IE167" s="108" t="str">
        <f t="shared" si="320"/>
        <v/>
      </c>
      <c r="IF167" s="109" t="str">
        <f t="shared" si="395"/>
        <v/>
      </c>
      <c r="IG167" s="109" t="str">
        <f t="shared" si="321"/>
        <v/>
      </c>
      <c r="IH167" s="110" t="str">
        <f t="shared" si="420"/>
        <v/>
      </c>
      <c r="II167" s="51"/>
      <c r="IJ167" s="108" t="str">
        <f t="shared" si="396"/>
        <v/>
      </c>
      <c r="IK167" s="109" t="str">
        <f t="shared" si="397"/>
        <v/>
      </c>
      <c r="IL167" s="109" t="str">
        <f t="shared" si="322"/>
        <v/>
      </c>
      <c r="IM167" s="110" t="str">
        <f t="shared" si="398"/>
        <v/>
      </c>
      <c r="IN167" s="51"/>
      <c r="IO167" s="108" t="str">
        <f t="shared" si="323"/>
        <v/>
      </c>
      <c r="IP167" s="109" t="str">
        <f t="shared" si="399"/>
        <v/>
      </c>
      <c r="IQ167" s="109" t="str">
        <f t="shared" si="324"/>
        <v/>
      </c>
      <c r="IR167" s="110" t="str">
        <f t="shared" si="421"/>
        <v/>
      </c>
      <c r="IS167" s="51"/>
      <c r="IT167" s="108" t="str">
        <f t="shared" si="400"/>
        <v/>
      </c>
      <c r="IU167" s="109" t="str">
        <f t="shared" si="401"/>
        <v/>
      </c>
      <c r="IV167" s="109" t="str">
        <f t="shared" si="325"/>
        <v/>
      </c>
      <c r="IW167" s="110" t="str">
        <f t="shared" si="402"/>
        <v/>
      </c>
      <c r="IX167" s="51"/>
      <c r="IY167" s="108" t="str">
        <f t="shared" si="326"/>
        <v/>
      </c>
      <c r="IZ167" s="109" t="str">
        <f t="shared" si="403"/>
        <v/>
      </c>
      <c r="JA167" s="109" t="str">
        <f t="shared" si="327"/>
        <v/>
      </c>
      <c r="JB167" s="110" t="str">
        <f t="shared" si="422"/>
        <v/>
      </c>
      <c r="JC167" s="51"/>
      <c r="JD167" s="108" t="str">
        <f t="shared" si="404"/>
        <v/>
      </c>
      <c r="JE167" s="109" t="str">
        <f t="shared" si="405"/>
        <v/>
      </c>
      <c r="JF167" s="109" t="str">
        <f t="shared" si="328"/>
        <v/>
      </c>
      <c r="JG167" s="110" t="str">
        <f t="shared" si="406"/>
        <v/>
      </c>
      <c r="JH167" s="51"/>
      <c r="JI167" s="108" t="str">
        <f t="shared" si="329"/>
        <v/>
      </c>
      <c r="JJ167" s="109" t="str">
        <f t="shared" si="407"/>
        <v/>
      </c>
      <c r="JK167" s="109" t="str">
        <f t="shared" si="330"/>
        <v/>
      </c>
      <c r="JL167" s="110" t="str">
        <f t="shared" si="423"/>
        <v/>
      </c>
      <c r="JM167" s="51"/>
      <c r="JN167" s="108" t="str">
        <f t="shared" si="408"/>
        <v/>
      </c>
      <c r="JO167" s="109" t="str">
        <f t="shared" si="409"/>
        <v/>
      </c>
      <c r="JP167" s="109" t="str">
        <f t="shared" si="331"/>
        <v/>
      </c>
      <c r="JQ167" s="110" t="str">
        <f t="shared" si="410"/>
        <v/>
      </c>
      <c r="JR167" s="51"/>
      <c r="JS167" s="108" t="str">
        <f t="shared" si="332"/>
        <v/>
      </c>
      <c r="JT167" s="109" t="str">
        <f t="shared" si="411"/>
        <v/>
      </c>
      <c r="JU167" s="109" t="str">
        <f t="shared" si="333"/>
        <v/>
      </c>
      <c r="JV167" s="110" t="str">
        <f t="shared" si="424"/>
        <v/>
      </c>
      <c r="JW167" s="51"/>
      <c r="JX167" s="108" t="str">
        <f t="shared" si="412"/>
        <v/>
      </c>
      <c r="JY167" s="109" t="str">
        <f t="shared" si="413"/>
        <v/>
      </c>
      <c r="JZ167" s="109" t="str">
        <f t="shared" si="334"/>
        <v/>
      </c>
      <c r="KA167" s="110" t="str">
        <f t="shared" si="335"/>
        <v/>
      </c>
    </row>
    <row r="168" spans="1:287" ht="12" customHeight="1">
      <c r="A168" s="105">
        <f t="array" ref="A168">MAX(IF($J$80:J167&gt;0,$C$80:C167,0))</f>
        <v>43536</v>
      </c>
      <c r="B168" s="81" t="str">
        <f t="shared" si="248"/>
        <v/>
      </c>
      <c r="C168" s="82">
        <f t="shared" si="414"/>
        <v>0</v>
      </c>
      <c r="D168" s="83" t="str">
        <f t="shared" si="249"/>
        <v/>
      </c>
      <c r="E168" s="83" t="str">
        <f t="shared" si="336"/>
        <v/>
      </c>
      <c r="F168" s="83" t="str">
        <f t="shared" si="250"/>
        <v/>
      </c>
      <c r="G168" s="83" t="str">
        <f t="shared" si="251"/>
        <v/>
      </c>
      <c r="H168" s="83" t="str">
        <f t="shared" si="252"/>
        <v/>
      </c>
      <c r="I168" s="105">
        <f t="array" ref="I168">MAX(IF($R$80:R167&gt;0,$L$80:L167,0))</f>
        <v>0</v>
      </c>
      <c r="J168" s="106"/>
      <c r="K168" s="2" t="str">
        <f t="shared" si="253"/>
        <v/>
      </c>
      <c r="L168" s="82">
        <f t="shared" si="415"/>
        <v>0</v>
      </c>
      <c r="M168" s="83" t="str">
        <f t="shared" si="337"/>
        <v/>
      </c>
      <c r="N168" s="83" t="str">
        <f t="shared" si="254"/>
        <v/>
      </c>
      <c r="O168" s="83" t="str">
        <f t="shared" si="255"/>
        <v/>
      </c>
      <c r="P168" s="83" t="str">
        <f t="shared" si="256"/>
        <v/>
      </c>
      <c r="Q168" s="83" t="str">
        <f t="shared" si="257"/>
        <v/>
      </c>
      <c r="R168" s="106"/>
      <c r="S168" s="1"/>
      <c r="U168" s="85" t="e">
        <f t="shared" si="244"/>
        <v>#NUM!</v>
      </c>
      <c r="V168" s="86" t="e">
        <f t="shared" si="338"/>
        <v>#NUM!</v>
      </c>
      <c r="W168" s="87" t="e">
        <f t="shared" si="258"/>
        <v>#NUM!</v>
      </c>
      <c r="X168" s="87" t="e">
        <f t="shared" si="259"/>
        <v>#NUM!</v>
      </c>
      <c r="Y168" s="87" t="e">
        <f t="shared" si="260"/>
        <v>#NUM!</v>
      </c>
      <c r="Z168" s="88" t="e">
        <f t="shared" si="245"/>
        <v>#NUM!</v>
      </c>
      <c r="AA168" t="s">
        <v>282</v>
      </c>
      <c r="AB168" s="89">
        <f t="shared" si="339"/>
        <v>0</v>
      </c>
      <c r="AC168" s="87">
        <f t="shared" si="340"/>
        <v>0</v>
      </c>
      <c r="AD168" s="87" t="str">
        <f t="shared" si="261"/>
        <v/>
      </c>
      <c r="AE168" s="87" t="str">
        <f t="shared" si="262"/>
        <v/>
      </c>
      <c r="AF168" s="86">
        <f t="shared" si="341"/>
        <v>0</v>
      </c>
      <c r="AG168" s="87">
        <f t="shared" si="246"/>
        <v>0</v>
      </c>
      <c r="AH168" s="87">
        <f t="shared" si="342"/>
        <v>0</v>
      </c>
      <c r="AI168" s="90"/>
      <c r="AJ168" s="87" t="e">
        <f t="shared" si="263"/>
        <v>#NUM!</v>
      </c>
      <c r="AK168" s="87" t="e">
        <f t="shared" si="343"/>
        <v>#NUM!</v>
      </c>
      <c r="AL168" s="87" t="e">
        <f t="shared" si="344"/>
        <v>#NUM!</v>
      </c>
      <c r="AM168" s="87" t="e">
        <f t="shared" si="345"/>
        <v>#NUM!</v>
      </c>
      <c r="AN168" s="86">
        <f t="shared" si="264"/>
        <v>0</v>
      </c>
      <c r="AO168" s="87">
        <f t="shared" si="265"/>
        <v>0</v>
      </c>
      <c r="AP168" s="88">
        <f t="shared" si="266"/>
        <v>0</v>
      </c>
      <c r="AR168" s="89">
        <f t="shared" si="267"/>
        <v>0</v>
      </c>
      <c r="AS168" s="87">
        <f t="shared" si="268"/>
        <v>0</v>
      </c>
      <c r="AT168" s="87" t="str">
        <f t="shared" si="269"/>
        <v/>
      </c>
      <c r="AU168" s="87" t="str">
        <f t="shared" si="270"/>
        <v/>
      </c>
      <c r="AV168" s="86">
        <f t="shared" si="346"/>
        <v>0</v>
      </c>
      <c r="AW168" s="87">
        <f t="shared" si="347"/>
        <v>0</v>
      </c>
      <c r="AX168" s="87">
        <f t="shared" si="348"/>
        <v>0</v>
      </c>
      <c r="AY168" s="93"/>
      <c r="AZ168" s="87">
        <f t="shared" si="425"/>
        <v>0</v>
      </c>
      <c r="BA168" s="87">
        <f t="shared" si="349"/>
        <v>0</v>
      </c>
      <c r="BB168" s="87">
        <f t="shared" si="350"/>
        <v>0</v>
      </c>
      <c r="BC168" s="87">
        <f t="shared" si="416"/>
        <v>0</v>
      </c>
      <c r="BD168" s="86" t="e">
        <f t="shared" si="271"/>
        <v>#NUM!</v>
      </c>
      <c r="BE168" s="87" t="e">
        <f t="shared" si="247"/>
        <v>#NUM!</v>
      </c>
      <c r="BF168" s="88">
        <f t="shared" si="351"/>
        <v>0</v>
      </c>
      <c r="BH168" s="87" t="e">
        <f t="shared" si="272"/>
        <v>#NUM!</v>
      </c>
      <c r="BK168" s="95">
        <v>41601</v>
      </c>
      <c r="BL168" s="96">
        <v>89</v>
      </c>
      <c r="CS168" s="108" t="str">
        <f t="shared" si="273"/>
        <v/>
      </c>
      <c r="CT168" s="109" t="str">
        <f t="shared" si="274"/>
        <v/>
      </c>
      <c r="CU168" s="109" t="str">
        <f t="shared" si="275"/>
        <v/>
      </c>
      <c r="CV168" s="110" t="str">
        <f t="shared" si="225"/>
        <v/>
      </c>
      <c r="CX168" s="108" t="str">
        <f t="shared" si="276"/>
        <v/>
      </c>
      <c r="CY168" s="109" t="str">
        <f t="shared" si="352"/>
        <v/>
      </c>
      <c r="CZ168" s="109" t="str">
        <f t="shared" si="277"/>
        <v/>
      </c>
      <c r="DA168" s="110" t="str">
        <f t="shared" si="226"/>
        <v/>
      </c>
      <c r="DC168" s="108" t="str">
        <f t="shared" si="353"/>
        <v/>
      </c>
      <c r="DD168" s="109" t="str">
        <f t="shared" si="354"/>
        <v/>
      </c>
      <c r="DE168" s="109" t="str">
        <f t="shared" si="278"/>
        <v/>
      </c>
      <c r="DF168" s="110" t="str">
        <f t="shared" si="227"/>
        <v/>
      </c>
      <c r="DH168" s="108" t="str">
        <f t="shared" si="279"/>
        <v/>
      </c>
      <c r="DI168" s="109" t="str">
        <f t="shared" si="280"/>
        <v/>
      </c>
      <c r="DJ168" s="109" t="str">
        <f t="shared" si="281"/>
        <v/>
      </c>
      <c r="DK168" s="110" t="str">
        <f t="shared" si="228"/>
        <v/>
      </c>
      <c r="DM168" s="108" t="str">
        <f t="shared" si="355"/>
        <v/>
      </c>
      <c r="DN168" s="109" t="str">
        <f t="shared" si="356"/>
        <v/>
      </c>
      <c r="DO168" s="109" t="str">
        <f t="shared" si="282"/>
        <v/>
      </c>
      <c r="DP168" s="110" t="str">
        <f t="shared" si="229"/>
        <v/>
      </c>
      <c r="DR168" s="108" t="str">
        <f t="shared" si="283"/>
        <v/>
      </c>
      <c r="DS168" s="109" t="str">
        <f t="shared" si="357"/>
        <v/>
      </c>
      <c r="DT168" s="109" t="str">
        <f t="shared" si="284"/>
        <v/>
      </c>
      <c r="DU168" s="110" t="str">
        <f t="shared" si="230"/>
        <v/>
      </c>
      <c r="DW168" s="108" t="str">
        <f t="shared" si="358"/>
        <v/>
      </c>
      <c r="DX168" s="109" t="str">
        <f t="shared" si="359"/>
        <v/>
      </c>
      <c r="DY168" s="109" t="str">
        <f t="shared" si="285"/>
        <v/>
      </c>
      <c r="DZ168" s="110" t="str">
        <f t="shared" si="231"/>
        <v/>
      </c>
      <c r="EB168" s="108" t="str">
        <f t="shared" si="286"/>
        <v/>
      </c>
      <c r="EC168" s="109" t="str">
        <f t="shared" si="360"/>
        <v/>
      </c>
      <c r="ED168" s="109" t="str">
        <f t="shared" si="287"/>
        <v/>
      </c>
      <c r="EE168" s="110" t="str">
        <f t="shared" si="232"/>
        <v/>
      </c>
      <c r="EG168" s="108" t="str">
        <f t="shared" si="361"/>
        <v/>
      </c>
      <c r="EH168" s="109" t="str">
        <f t="shared" si="362"/>
        <v/>
      </c>
      <c r="EI168" s="109" t="str">
        <f t="shared" si="288"/>
        <v/>
      </c>
      <c r="EJ168" s="110" t="str">
        <f t="shared" si="233"/>
        <v/>
      </c>
      <c r="EL168" s="108" t="str">
        <f t="shared" si="289"/>
        <v/>
      </c>
      <c r="EM168" s="109" t="str">
        <f t="shared" si="363"/>
        <v/>
      </c>
      <c r="EN168" s="109" t="str">
        <f t="shared" si="290"/>
        <v/>
      </c>
      <c r="EO168" s="110" t="str">
        <f t="shared" si="234"/>
        <v/>
      </c>
      <c r="EQ168" s="108" t="str">
        <f t="shared" si="364"/>
        <v/>
      </c>
      <c r="ER168" s="109" t="str">
        <f t="shared" si="365"/>
        <v/>
      </c>
      <c r="ES168" s="109" t="str">
        <f t="shared" si="291"/>
        <v/>
      </c>
      <c r="ET168" s="110" t="str">
        <f t="shared" si="235"/>
        <v/>
      </c>
      <c r="EV168" s="108" t="str">
        <f t="shared" si="292"/>
        <v/>
      </c>
      <c r="EW168" s="109" t="str">
        <f t="shared" si="366"/>
        <v/>
      </c>
      <c r="EX168" s="109" t="str">
        <f t="shared" si="293"/>
        <v/>
      </c>
      <c r="EY168" s="110" t="str">
        <f t="shared" si="236"/>
        <v/>
      </c>
      <c r="FA168" s="108" t="str">
        <f t="shared" si="367"/>
        <v/>
      </c>
      <c r="FB168" s="109" t="str">
        <f t="shared" si="368"/>
        <v/>
      </c>
      <c r="FC168" s="109" t="str">
        <f t="shared" si="294"/>
        <v/>
      </c>
      <c r="FD168" s="110" t="str">
        <f t="shared" si="237"/>
        <v/>
      </c>
      <c r="FF168" s="108" t="str">
        <f t="shared" si="295"/>
        <v/>
      </c>
      <c r="FG168" s="109" t="str">
        <f t="shared" si="369"/>
        <v/>
      </c>
      <c r="FH168" s="109" t="str">
        <f t="shared" si="296"/>
        <v/>
      </c>
      <c r="FI168" s="110" t="str">
        <f t="shared" si="238"/>
        <v/>
      </c>
      <c r="FK168" s="108" t="str">
        <f t="shared" si="370"/>
        <v/>
      </c>
      <c r="FL168" s="109" t="str">
        <f t="shared" si="371"/>
        <v/>
      </c>
      <c r="FM168" s="109" t="str">
        <f t="shared" si="297"/>
        <v/>
      </c>
      <c r="FN168" s="110" t="str">
        <f t="shared" si="239"/>
        <v/>
      </c>
      <c r="FP168" s="108" t="str">
        <f t="shared" si="298"/>
        <v/>
      </c>
      <c r="FQ168" s="109" t="str">
        <f t="shared" si="372"/>
        <v/>
      </c>
      <c r="FR168" s="109" t="str">
        <f t="shared" si="299"/>
        <v/>
      </c>
      <c r="FS168" s="110" t="str">
        <f t="shared" si="240"/>
        <v/>
      </c>
      <c r="FU168" s="108" t="str">
        <f t="shared" si="373"/>
        <v/>
      </c>
      <c r="FV168" s="109" t="str">
        <f t="shared" si="374"/>
        <v/>
      </c>
      <c r="FW168" s="109" t="str">
        <f t="shared" si="300"/>
        <v/>
      </c>
      <c r="FX168" s="110" t="str">
        <f t="shared" si="241"/>
        <v/>
      </c>
      <c r="FZ168" s="108" t="str">
        <f t="shared" si="301"/>
        <v/>
      </c>
      <c r="GA168" s="109" t="str">
        <f t="shared" si="375"/>
        <v/>
      </c>
      <c r="GB168" s="109" t="str">
        <f t="shared" si="302"/>
        <v/>
      </c>
      <c r="GC168" s="110" t="str">
        <f t="shared" si="242"/>
        <v/>
      </c>
      <c r="GE168" s="108" t="str">
        <f t="shared" si="376"/>
        <v/>
      </c>
      <c r="GF168" s="109" t="str">
        <f t="shared" si="377"/>
        <v/>
      </c>
      <c r="GG168" s="109" t="str">
        <f t="shared" si="378"/>
        <v/>
      </c>
      <c r="GH168" s="110" t="str">
        <f t="shared" si="243"/>
        <v/>
      </c>
      <c r="GL168" s="108" t="str">
        <f t="shared" si="303"/>
        <v/>
      </c>
      <c r="GM168" s="109" t="str">
        <f t="shared" si="304"/>
        <v/>
      </c>
      <c r="GN168" s="109" t="str">
        <f t="shared" si="305"/>
        <v/>
      </c>
      <c r="GO168" s="110" t="str">
        <f t="shared" si="306"/>
        <v/>
      </c>
      <c r="GP168" s="51"/>
      <c r="GQ168" s="108" t="str">
        <f t="shared" si="307"/>
        <v/>
      </c>
      <c r="GR168" s="109" t="str">
        <f t="shared" si="379"/>
        <v/>
      </c>
      <c r="GS168" s="109" t="str">
        <f t="shared" si="308"/>
        <v/>
      </c>
      <c r="GT168" s="110" t="str">
        <f t="shared" si="309"/>
        <v/>
      </c>
      <c r="GU168" s="51"/>
      <c r="GV168" s="108" t="str">
        <f t="shared" si="380"/>
        <v/>
      </c>
      <c r="GW168" s="109" t="str">
        <f t="shared" si="381"/>
        <v/>
      </c>
      <c r="GX168" s="109" t="str">
        <f t="shared" si="310"/>
        <v/>
      </c>
      <c r="GY168" s="110" t="str">
        <f t="shared" si="382"/>
        <v/>
      </c>
      <c r="GZ168" s="51"/>
      <c r="HA168" s="108" t="str">
        <f t="shared" si="311"/>
        <v/>
      </c>
      <c r="HB168" s="109" t="str">
        <f t="shared" si="383"/>
        <v/>
      </c>
      <c r="HC168" s="109" t="str">
        <f t="shared" si="312"/>
        <v/>
      </c>
      <c r="HD168" s="110" t="str">
        <f t="shared" si="417"/>
        <v/>
      </c>
      <c r="HE168" s="51"/>
      <c r="HF168" s="108" t="str">
        <f t="shared" si="384"/>
        <v/>
      </c>
      <c r="HG168" s="109" t="str">
        <f t="shared" si="385"/>
        <v/>
      </c>
      <c r="HH168" s="109" t="str">
        <f t="shared" si="313"/>
        <v/>
      </c>
      <c r="HI168" s="110" t="str">
        <f t="shared" si="386"/>
        <v/>
      </c>
      <c r="HJ168" s="51"/>
      <c r="HK168" s="108" t="str">
        <f t="shared" si="314"/>
        <v/>
      </c>
      <c r="HL168" s="109" t="str">
        <f t="shared" si="387"/>
        <v/>
      </c>
      <c r="HM168" s="109" t="str">
        <f t="shared" si="315"/>
        <v/>
      </c>
      <c r="HN168" s="110" t="str">
        <f t="shared" si="418"/>
        <v/>
      </c>
      <c r="HO168" s="51"/>
      <c r="HP168" s="108" t="str">
        <f t="shared" si="388"/>
        <v/>
      </c>
      <c r="HQ168" s="109" t="str">
        <f t="shared" si="389"/>
        <v/>
      </c>
      <c r="HR168" s="109" t="str">
        <f t="shared" si="316"/>
        <v/>
      </c>
      <c r="HS168" s="110" t="str">
        <f t="shared" si="390"/>
        <v/>
      </c>
      <c r="HT168" s="51"/>
      <c r="HU168" s="108" t="str">
        <f t="shared" si="317"/>
        <v/>
      </c>
      <c r="HV168" s="109" t="str">
        <f t="shared" si="391"/>
        <v/>
      </c>
      <c r="HW168" s="109" t="str">
        <f t="shared" si="318"/>
        <v/>
      </c>
      <c r="HX168" s="110" t="str">
        <f t="shared" si="419"/>
        <v/>
      </c>
      <c r="HY168" s="51"/>
      <c r="HZ168" s="108" t="str">
        <f t="shared" si="392"/>
        <v/>
      </c>
      <c r="IA168" s="109" t="str">
        <f t="shared" si="393"/>
        <v/>
      </c>
      <c r="IB168" s="109" t="str">
        <f t="shared" si="319"/>
        <v/>
      </c>
      <c r="IC168" s="110" t="str">
        <f t="shared" si="394"/>
        <v/>
      </c>
      <c r="ID168" s="51"/>
      <c r="IE168" s="108" t="str">
        <f t="shared" si="320"/>
        <v/>
      </c>
      <c r="IF168" s="109" t="str">
        <f t="shared" si="395"/>
        <v/>
      </c>
      <c r="IG168" s="109" t="str">
        <f t="shared" si="321"/>
        <v/>
      </c>
      <c r="IH168" s="110" t="str">
        <f t="shared" si="420"/>
        <v/>
      </c>
      <c r="II168" s="51"/>
      <c r="IJ168" s="108" t="str">
        <f t="shared" si="396"/>
        <v/>
      </c>
      <c r="IK168" s="109" t="str">
        <f t="shared" si="397"/>
        <v/>
      </c>
      <c r="IL168" s="109" t="str">
        <f t="shared" si="322"/>
        <v/>
      </c>
      <c r="IM168" s="110" t="str">
        <f t="shared" si="398"/>
        <v/>
      </c>
      <c r="IN168" s="51"/>
      <c r="IO168" s="108" t="str">
        <f t="shared" si="323"/>
        <v/>
      </c>
      <c r="IP168" s="109" t="str">
        <f t="shared" si="399"/>
        <v/>
      </c>
      <c r="IQ168" s="109" t="str">
        <f t="shared" si="324"/>
        <v/>
      </c>
      <c r="IR168" s="110" t="str">
        <f t="shared" si="421"/>
        <v/>
      </c>
      <c r="IS168" s="51"/>
      <c r="IT168" s="108" t="str">
        <f t="shared" si="400"/>
        <v/>
      </c>
      <c r="IU168" s="109" t="str">
        <f t="shared" si="401"/>
        <v/>
      </c>
      <c r="IV168" s="109" t="str">
        <f t="shared" si="325"/>
        <v/>
      </c>
      <c r="IW168" s="110" t="str">
        <f t="shared" si="402"/>
        <v/>
      </c>
      <c r="IX168" s="51"/>
      <c r="IY168" s="108" t="str">
        <f t="shared" si="326"/>
        <v/>
      </c>
      <c r="IZ168" s="109" t="str">
        <f t="shared" si="403"/>
        <v/>
      </c>
      <c r="JA168" s="109" t="str">
        <f t="shared" si="327"/>
        <v/>
      </c>
      <c r="JB168" s="110" t="str">
        <f t="shared" si="422"/>
        <v/>
      </c>
      <c r="JC168" s="51"/>
      <c r="JD168" s="108" t="str">
        <f t="shared" si="404"/>
        <v/>
      </c>
      <c r="JE168" s="109" t="str">
        <f t="shared" si="405"/>
        <v/>
      </c>
      <c r="JF168" s="109" t="str">
        <f t="shared" si="328"/>
        <v/>
      </c>
      <c r="JG168" s="110" t="str">
        <f t="shared" si="406"/>
        <v/>
      </c>
      <c r="JH168" s="51"/>
      <c r="JI168" s="108" t="str">
        <f t="shared" si="329"/>
        <v/>
      </c>
      <c r="JJ168" s="109" t="str">
        <f t="shared" si="407"/>
        <v/>
      </c>
      <c r="JK168" s="109" t="str">
        <f t="shared" si="330"/>
        <v/>
      </c>
      <c r="JL168" s="110" t="str">
        <f t="shared" si="423"/>
        <v/>
      </c>
      <c r="JM168" s="51"/>
      <c r="JN168" s="108" t="str">
        <f t="shared" si="408"/>
        <v/>
      </c>
      <c r="JO168" s="109" t="str">
        <f t="shared" si="409"/>
        <v/>
      </c>
      <c r="JP168" s="109" t="str">
        <f t="shared" si="331"/>
        <v/>
      </c>
      <c r="JQ168" s="110" t="str">
        <f t="shared" si="410"/>
        <v/>
      </c>
      <c r="JR168" s="51"/>
      <c r="JS168" s="108" t="str">
        <f t="shared" si="332"/>
        <v/>
      </c>
      <c r="JT168" s="109" t="str">
        <f t="shared" si="411"/>
        <v/>
      </c>
      <c r="JU168" s="109" t="str">
        <f t="shared" si="333"/>
        <v/>
      </c>
      <c r="JV168" s="110" t="str">
        <f t="shared" si="424"/>
        <v/>
      </c>
      <c r="JW168" s="51"/>
      <c r="JX168" s="108" t="str">
        <f t="shared" si="412"/>
        <v/>
      </c>
      <c r="JY168" s="109" t="str">
        <f t="shared" si="413"/>
        <v/>
      </c>
      <c r="JZ168" s="109" t="str">
        <f t="shared" si="334"/>
        <v/>
      </c>
      <c r="KA168" s="110" t="str">
        <f t="shared" si="335"/>
        <v/>
      </c>
    </row>
    <row r="169" spans="1:287" ht="12" customHeight="1">
      <c r="A169" s="105">
        <f t="array" ref="A169">MAX(IF($J$80:J168&gt;0,$C$80:C168,0))</f>
        <v>43536</v>
      </c>
      <c r="B169" s="81" t="str">
        <f t="shared" si="248"/>
        <v/>
      </c>
      <c r="C169" s="82">
        <f t="shared" si="414"/>
        <v>0</v>
      </c>
      <c r="D169" s="83" t="str">
        <f t="shared" si="249"/>
        <v/>
      </c>
      <c r="E169" s="83" t="str">
        <f t="shared" si="336"/>
        <v/>
      </c>
      <c r="F169" s="83" t="str">
        <f t="shared" si="250"/>
        <v/>
      </c>
      <c r="G169" s="83" t="str">
        <f t="shared" si="251"/>
        <v/>
      </c>
      <c r="H169" s="83" t="str">
        <f t="shared" si="252"/>
        <v/>
      </c>
      <c r="I169" s="105">
        <f t="array" ref="I169">MAX(IF($R$80:R168&gt;0,$L$80:L168,0))</f>
        <v>0</v>
      </c>
      <c r="J169" s="106"/>
      <c r="K169" s="2" t="str">
        <f t="shared" si="253"/>
        <v/>
      </c>
      <c r="L169" s="82">
        <f t="shared" si="415"/>
        <v>0</v>
      </c>
      <c r="M169" s="83" t="str">
        <f t="shared" si="337"/>
        <v/>
      </c>
      <c r="N169" s="83" t="str">
        <f t="shared" si="254"/>
        <v/>
      </c>
      <c r="O169" s="83" t="str">
        <f t="shared" si="255"/>
        <v/>
      </c>
      <c r="P169" s="83" t="str">
        <f t="shared" si="256"/>
        <v/>
      </c>
      <c r="Q169" s="83" t="str">
        <f t="shared" si="257"/>
        <v/>
      </c>
      <c r="R169" s="106"/>
      <c r="S169" s="1"/>
      <c r="U169" s="85" t="e">
        <f t="shared" si="244"/>
        <v>#NUM!</v>
      </c>
      <c r="V169" s="86" t="e">
        <f t="shared" si="338"/>
        <v>#NUM!</v>
      </c>
      <c r="W169" s="87" t="e">
        <f t="shared" si="258"/>
        <v>#NUM!</v>
      </c>
      <c r="X169" s="87" t="e">
        <f t="shared" si="259"/>
        <v>#NUM!</v>
      </c>
      <c r="Y169" s="87" t="e">
        <f t="shared" si="260"/>
        <v>#NUM!</v>
      </c>
      <c r="Z169" s="88" t="e">
        <f t="shared" si="245"/>
        <v>#NUM!</v>
      </c>
      <c r="AA169" t="s">
        <v>282</v>
      </c>
      <c r="AB169" s="89">
        <f t="shared" si="339"/>
        <v>0</v>
      </c>
      <c r="AC169" s="87">
        <f t="shared" si="340"/>
        <v>0</v>
      </c>
      <c r="AD169" s="87" t="str">
        <f t="shared" si="261"/>
        <v/>
      </c>
      <c r="AE169" s="87" t="str">
        <f t="shared" si="262"/>
        <v/>
      </c>
      <c r="AF169" s="86">
        <f t="shared" si="341"/>
        <v>0</v>
      </c>
      <c r="AG169" s="87">
        <f t="shared" si="246"/>
        <v>0</v>
      </c>
      <c r="AH169" s="87">
        <f t="shared" si="342"/>
        <v>0</v>
      </c>
      <c r="AI169" s="90"/>
      <c r="AJ169" s="87" t="e">
        <f t="shared" si="263"/>
        <v>#NUM!</v>
      </c>
      <c r="AK169" s="87" t="e">
        <f t="shared" si="343"/>
        <v>#NUM!</v>
      </c>
      <c r="AL169" s="87" t="e">
        <f t="shared" si="344"/>
        <v>#NUM!</v>
      </c>
      <c r="AM169" s="87" t="e">
        <f t="shared" si="345"/>
        <v>#NUM!</v>
      </c>
      <c r="AN169" s="86">
        <f t="shared" si="264"/>
        <v>0</v>
      </c>
      <c r="AO169" s="87">
        <f t="shared" si="265"/>
        <v>0</v>
      </c>
      <c r="AP169" s="88">
        <f t="shared" si="266"/>
        <v>0</v>
      </c>
      <c r="AR169" s="89">
        <f t="shared" si="267"/>
        <v>0</v>
      </c>
      <c r="AS169" s="87">
        <f t="shared" si="268"/>
        <v>0</v>
      </c>
      <c r="AT169" s="87" t="str">
        <f t="shared" si="269"/>
        <v/>
      </c>
      <c r="AU169" s="87" t="str">
        <f t="shared" si="270"/>
        <v/>
      </c>
      <c r="AV169" s="86">
        <f t="shared" si="346"/>
        <v>0</v>
      </c>
      <c r="AW169" s="87">
        <f t="shared" si="347"/>
        <v>0</v>
      </c>
      <c r="AX169" s="87">
        <f t="shared" si="348"/>
        <v>0</v>
      </c>
      <c r="AY169" s="93"/>
      <c r="AZ169" s="87">
        <f t="shared" si="425"/>
        <v>0</v>
      </c>
      <c r="BA169" s="87">
        <f t="shared" si="349"/>
        <v>0</v>
      </c>
      <c r="BB169" s="87">
        <f t="shared" si="350"/>
        <v>0</v>
      </c>
      <c r="BC169" s="87">
        <f t="shared" si="416"/>
        <v>0</v>
      </c>
      <c r="BD169" s="86" t="e">
        <f t="shared" si="271"/>
        <v>#NUM!</v>
      </c>
      <c r="BE169" s="87" t="e">
        <f t="shared" si="247"/>
        <v>#NUM!</v>
      </c>
      <c r="BF169" s="88">
        <f t="shared" si="351"/>
        <v>0</v>
      </c>
      <c r="BH169" s="87" t="e">
        <f t="shared" si="272"/>
        <v>#NUM!</v>
      </c>
      <c r="BK169" s="95">
        <v>41640</v>
      </c>
      <c r="BL169" s="96">
        <v>90</v>
      </c>
      <c r="CS169" s="108" t="str">
        <f t="shared" si="273"/>
        <v/>
      </c>
      <c r="CT169" s="109" t="str">
        <f t="shared" si="274"/>
        <v/>
      </c>
      <c r="CU169" s="109" t="str">
        <f t="shared" si="275"/>
        <v/>
      </c>
      <c r="CV169" s="110" t="str">
        <f t="shared" si="225"/>
        <v/>
      </c>
      <c r="CX169" s="108" t="str">
        <f t="shared" si="276"/>
        <v/>
      </c>
      <c r="CY169" s="109" t="str">
        <f t="shared" si="352"/>
        <v/>
      </c>
      <c r="CZ169" s="109" t="str">
        <f t="shared" si="277"/>
        <v/>
      </c>
      <c r="DA169" s="110" t="str">
        <f t="shared" si="226"/>
        <v/>
      </c>
      <c r="DC169" s="108" t="str">
        <f t="shared" si="353"/>
        <v/>
      </c>
      <c r="DD169" s="109" t="str">
        <f t="shared" si="354"/>
        <v/>
      </c>
      <c r="DE169" s="109" t="str">
        <f t="shared" si="278"/>
        <v/>
      </c>
      <c r="DF169" s="110" t="str">
        <f t="shared" si="227"/>
        <v/>
      </c>
      <c r="DH169" s="108" t="str">
        <f t="shared" si="279"/>
        <v/>
      </c>
      <c r="DI169" s="109" t="str">
        <f t="shared" si="280"/>
        <v/>
      </c>
      <c r="DJ169" s="109" t="str">
        <f t="shared" si="281"/>
        <v/>
      </c>
      <c r="DK169" s="110" t="str">
        <f t="shared" si="228"/>
        <v/>
      </c>
      <c r="DM169" s="108" t="str">
        <f t="shared" si="355"/>
        <v/>
      </c>
      <c r="DN169" s="109" t="str">
        <f t="shared" si="356"/>
        <v/>
      </c>
      <c r="DO169" s="109" t="str">
        <f t="shared" si="282"/>
        <v/>
      </c>
      <c r="DP169" s="110" t="str">
        <f t="shared" si="229"/>
        <v/>
      </c>
      <c r="DR169" s="108" t="str">
        <f t="shared" si="283"/>
        <v/>
      </c>
      <c r="DS169" s="109" t="str">
        <f t="shared" si="357"/>
        <v/>
      </c>
      <c r="DT169" s="109" t="str">
        <f t="shared" si="284"/>
        <v/>
      </c>
      <c r="DU169" s="110" t="str">
        <f t="shared" si="230"/>
        <v/>
      </c>
      <c r="DW169" s="108" t="str">
        <f t="shared" si="358"/>
        <v/>
      </c>
      <c r="DX169" s="109" t="str">
        <f t="shared" si="359"/>
        <v/>
      </c>
      <c r="DY169" s="109" t="str">
        <f t="shared" si="285"/>
        <v/>
      </c>
      <c r="DZ169" s="110" t="str">
        <f t="shared" si="231"/>
        <v/>
      </c>
      <c r="EB169" s="108" t="str">
        <f t="shared" si="286"/>
        <v/>
      </c>
      <c r="EC169" s="109" t="str">
        <f t="shared" si="360"/>
        <v/>
      </c>
      <c r="ED169" s="109" t="str">
        <f t="shared" si="287"/>
        <v/>
      </c>
      <c r="EE169" s="110" t="str">
        <f t="shared" si="232"/>
        <v/>
      </c>
      <c r="EG169" s="108" t="str">
        <f t="shared" si="361"/>
        <v/>
      </c>
      <c r="EH169" s="109" t="str">
        <f t="shared" si="362"/>
        <v/>
      </c>
      <c r="EI169" s="109" t="str">
        <f t="shared" si="288"/>
        <v/>
      </c>
      <c r="EJ169" s="110" t="str">
        <f t="shared" si="233"/>
        <v/>
      </c>
      <c r="EL169" s="108" t="str">
        <f t="shared" si="289"/>
        <v/>
      </c>
      <c r="EM169" s="109" t="str">
        <f t="shared" si="363"/>
        <v/>
      </c>
      <c r="EN169" s="109" t="str">
        <f t="shared" si="290"/>
        <v/>
      </c>
      <c r="EO169" s="110" t="str">
        <f t="shared" si="234"/>
        <v/>
      </c>
      <c r="EQ169" s="108" t="str">
        <f t="shared" si="364"/>
        <v/>
      </c>
      <c r="ER169" s="109" t="str">
        <f t="shared" si="365"/>
        <v/>
      </c>
      <c r="ES169" s="109" t="str">
        <f t="shared" si="291"/>
        <v/>
      </c>
      <c r="ET169" s="110" t="str">
        <f t="shared" si="235"/>
        <v/>
      </c>
      <c r="EV169" s="108" t="str">
        <f t="shared" si="292"/>
        <v/>
      </c>
      <c r="EW169" s="109" t="str">
        <f t="shared" si="366"/>
        <v/>
      </c>
      <c r="EX169" s="109" t="str">
        <f t="shared" si="293"/>
        <v/>
      </c>
      <c r="EY169" s="110" t="str">
        <f t="shared" si="236"/>
        <v/>
      </c>
      <c r="FA169" s="108" t="str">
        <f t="shared" si="367"/>
        <v/>
      </c>
      <c r="FB169" s="109" t="str">
        <f t="shared" si="368"/>
        <v/>
      </c>
      <c r="FC169" s="109" t="str">
        <f t="shared" si="294"/>
        <v/>
      </c>
      <c r="FD169" s="110" t="str">
        <f t="shared" si="237"/>
        <v/>
      </c>
      <c r="FF169" s="108" t="str">
        <f t="shared" si="295"/>
        <v/>
      </c>
      <c r="FG169" s="109" t="str">
        <f t="shared" si="369"/>
        <v/>
      </c>
      <c r="FH169" s="109" t="str">
        <f t="shared" si="296"/>
        <v/>
      </c>
      <c r="FI169" s="110" t="str">
        <f t="shared" si="238"/>
        <v/>
      </c>
      <c r="FK169" s="108" t="str">
        <f t="shared" si="370"/>
        <v/>
      </c>
      <c r="FL169" s="109" t="str">
        <f t="shared" si="371"/>
        <v/>
      </c>
      <c r="FM169" s="109" t="str">
        <f t="shared" si="297"/>
        <v/>
      </c>
      <c r="FN169" s="110" t="str">
        <f t="shared" si="239"/>
        <v/>
      </c>
      <c r="FP169" s="108" t="str">
        <f t="shared" si="298"/>
        <v/>
      </c>
      <c r="FQ169" s="109" t="str">
        <f t="shared" si="372"/>
        <v/>
      </c>
      <c r="FR169" s="109" t="str">
        <f t="shared" si="299"/>
        <v/>
      </c>
      <c r="FS169" s="110" t="str">
        <f t="shared" si="240"/>
        <v/>
      </c>
      <c r="FU169" s="108" t="str">
        <f t="shared" si="373"/>
        <v/>
      </c>
      <c r="FV169" s="109" t="str">
        <f t="shared" si="374"/>
        <v/>
      </c>
      <c r="FW169" s="109" t="str">
        <f t="shared" si="300"/>
        <v/>
      </c>
      <c r="FX169" s="110" t="str">
        <f t="shared" si="241"/>
        <v/>
      </c>
      <c r="FZ169" s="108" t="str">
        <f t="shared" si="301"/>
        <v/>
      </c>
      <c r="GA169" s="109" t="str">
        <f t="shared" si="375"/>
        <v/>
      </c>
      <c r="GB169" s="109" t="str">
        <f t="shared" si="302"/>
        <v/>
      </c>
      <c r="GC169" s="110" t="str">
        <f t="shared" si="242"/>
        <v/>
      </c>
      <c r="GE169" s="108" t="str">
        <f t="shared" si="376"/>
        <v/>
      </c>
      <c r="GF169" s="109" t="str">
        <f t="shared" si="377"/>
        <v/>
      </c>
      <c r="GG169" s="109" t="str">
        <f t="shared" si="378"/>
        <v/>
      </c>
      <c r="GH169" s="110" t="str">
        <f t="shared" si="243"/>
        <v/>
      </c>
      <c r="GL169" s="108" t="str">
        <f t="shared" si="303"/>
        <v/>
      </c>
      <c r="GM169" s="109" t="str">
        <f t="shared" si="304"/>
        <v/>
      </c>
      <c r="GN169" s="109" t="str">
        <f t="shared" si="305"/>
        <v/>
      </c>
      <c r="GO169" s="110" t="str">
        <f t="shared" si="306"/>
        <v/>
      </c>
      <c r="GP169" s="51"/>
      <c r="GQ169" s="108" t="str">
        <f t="shared" si="307"/>
        <v/>
      </c>
      <c r="GR169" s="109" t="str">
        <f t="shared" si="379"/>
        <v/>
      </c>
      <c r="GS169" s="109" t="str">
        <f t="shared" si="308"/>
        <v/>
      </c>
      <c r="GT169" s="110" t="str">
        <f t="shared" si="309"/>
        <v/>
      </c>
      <c r="GU169" s="51"/>
      <c r="GV169" s="108" t="str">
        <f t="shared" si="380"/>
        <v/>
      </c>
      <c r="GW169" s="109" t="str">
        <f t="shared" si="381"/>
        <v/>
      </c>
      <c r="GX169" s="109" t="str">
        <f t="shared" si="310"/>
        <v/>
      </c>
      <c r="GY169" s="110" t="str">
        <f t="shared" si="382"/>
        <v/>
      </c>
      <c r="GZ169" s="51"/>
      <c r="HA169" s="108" t="str">
        <f t="shared" si="311"/>
        <v/>
      </c>
      <c r="HB169" s="109" t="str">
        <f t="shared" si="383"/>
        <v/>
      </c>
      <c r="HC169" s="109" t="str">
        <f t="shared" si="312"/>
        <v/>
      </c>
      <c r="HD169" s="110" t="str">
        <f t="shared" si="417"/>
        <v/>
      </c>
      <c r="HE169" s="51"/>
      <c r="HF169" s="108" t="str">
        <f t="shared" si="384"/>
        <v/>
      </c>
      <c r="HG169" s="109" t="str">
        <f t="shared" si="385"/>
        <v/>
      </c>
      <c r="HH169" s="109" t="str">
        <f t="shared" si="313"/>
        <v/>
      </c>
      <c r="HI169" s="110" t="str">
        <f t="shared" si="386"/>
        <v/>
      </c>
      <c r="HJ169" s="51"/>
      <c r="HK169" s="108" t="str">
        <f t="shared" si="314"/>
        <v/>
      </c>
      <c r="HL169" s="109" t="str">
        <f t="shared" si="387"/>
        <v/>
      </c>
      <c r="HM169" s="109" t="str">
        <f t="shared" si="315"/>
        <v/>
      </c>
      <c r="HN169" s="110" t="str">
        <f t="shared" si="418"/>
        <v/>
      </c>
      <c r="HO169" s="51"/>
      <c r="HP169" s="108" t="str">
        <f t="shared" si="388"/>
        <v/>
      </c>
      <c r="HQ169" s="109" t="str">
        <f t="shared" si="389"/>
        <v/>
      </c>
      <c r="HR169" s="109" t="str">
        <f t="shared" si="316"/>
        <v/>
      </c>
      <c r="HS169" s="110" t="str">
        <f t="shared" si="390"/>
        <v/>
      </c>
      <c r="HT169" s="51"/>
      <c r="HU169" s="108" t="str">
        <f t="shared" si="317"/>
        <v/>
      </c>
      <c r="HV169" s="109" t="str">
        <f t="shared" si="391"/>
        <v/>
      </c>
      <c r="HW169" s="109" t="str">
        <f t="shared" si="318"/>
        <v/>
      </c>
      <c r="HX169" s="110" t="str">
        <f t="shared" si="419"/>
        <v/>
      </c>
      <c r="HY169" s="51"/>
      <c r="HZ169" s="108" t="str">
        <f t="shared" si="392"/>
        <v/>
      </c>
      <c r="IA169" s="109" t="str">
        <f t="shared" si="393"/>
        <v/>
      </c>
      <c r="IB169" s="109" t="str">
        <f t="shared" si="319"/>
        <v/>
      </c>
      <c r="IC169" s="110" t="str">
        <f t="shared" si="394"/>
        <v/>
      </c>
      <c r="ID169" s="51"/>
      <c r="IE169" s="108" t="str">
        <f t="shared" si="320"/>
        <v/>
      </c>
      <c r="IF169" s="109" t="str">
        <f t="shared" si="395"/>
        <v/>
      </c>
      <c r="IG169" s="109" t="str">
        <f t="shared" si="321"/>
        <v/>
      </c>
      <c r="IH169" s="110" t="str">
        <f t="shared" si="420"/>
        <v/>
      </c>
      <c r="II169" s="51"/>
      <c r="IJ169" s="108" t="str">
        <f t="shared" si="396"/>
        <v/>
      </c>
      <c r="IK169" s="109" t="str">
        <f t="shared" si="397"/>
        <v/>
      </c>
      <c r="IL169" s="109" t="str">
        <f t="shared" si="322"/>
        <v/>
      </c>
      <c r="IM169" s="110" t="str">
        <f t="shared" si="398"/>
        <v/>
      </c>
      <c r="IN169" s="51"/>
      <c r="IO169" s="108" t="str">
        <f t="shared" si="323"/>
        <v/>
      </c>
      <c r="IP169" s="109" t="str">
        <f t="shared" si="399"/>
        <v/>
      </c>
      <c r="IQ169" s="109" t="str">
        <f t="shared" si="324"/>
        <v/>
      </c>
      <c r="IR169" s="110" t="str">
        <f t="shared" si="421"/>
        <v/>
      </c>
      <c r="IS169" s="51"/>
      <c r="IT169" s="108" t="str">
        <f t="shared" si="400"/>
        <v/>
      </c>
      <c r="IU169" s="109" t="str">
        <f t="shared" si="401"/>
        <v/>
      </c>
      <c r="IV169" s="109" t="str">
        <f t="shared" si="325"/>
        <v/>
      </c>
      <c r="IW169" s="110" t="str">
        <f t="shared" si="402"/>
        <v/>
      </c>
      <c r="IX169" s="51"/>
      <c r="IY169" s="108" t="str">
        <f t="shared" si="326"/>
        <v/>
      </c>
      <c r="IZ169" s="109" t="str">
        <f t="shared" si="403"/>
        <v/>
      </c>
      <c r="JA169" s="109" t="str">
        <f t="shared" si="327"/>
        <v/>
      </c>
      <c r="JB169" s="110" t="str">
        <f t="shared" si="422"/>
        <v/>
      </c>
      <c r="JC169" s="51"/>
      <c r="JD169" s="108" t="str">
        <f t="shared" si="404"/>
        <v/>
      </c>
      <c r="JE169" s="109" t="str">
        <f t="shared" si="405"/>
        <v/>
      </c>
      <c r="JF169" s="109" t="str">
        <f t="shared" si="328"/>
        <v/>
      </c>
      <c r="JG169" s="110" t="str">
        <f t="shared" si="406"/>
        <v/>
      </c>
      <c r="JH169" s="51"/>
      <c r="JI169" s="108" t="str">
        <f t="shared" si="329"/>
        <v/>
      </c>
      <c r="JJ169" s="109" t="str">
        <f t="shared" si="407"/>
        <v/>
      </c>
      <c r="JK169" s="109" t="str">
        <f t="shared" si="330"/>
        <v/>
      </c>
      <c r="JL169" s="110" t="str">
        <f t="shared" si="423"/>
        <v/>
      </c>
      <c r="JM169" s="51"/>
      <c r="JN169" s="108" t="str">
        <f t="shared" si="408"/>
        <v/>
      </c>
      <c r="JO169" s="109" t="str">
        <f t="shared" si="409"/>
        <v/>
      </c>
      <c r="JP169" s="109" t="str">
        <f t="shared" si="331"/>
        <v/>
      </c>
      <c r="JQ169" s="110" t="str">
        <f t="shared" si="410"/>
        <v/>
      </c>
      <c r="JR169" s="51"/>
      <c r="JS169" s="108" t="str">
        <f t="shared" si="332"/>
        <v/>
      </c>
      <c r="JT169" s="109" t="str">
        <f t="shared" si="411"/>
        <v/>
      </c>
      <c r="JU169" s="109" t="str">
        <f t="shared" si="333"/>
        <v/>
      </c>
      <c r="JV169" s="110" t="str">
        <f t="shared" si="424"/>
        <v/>
      </c>
      <c r="JW169" s="51"/>
      <c r="JX169" s="108" t="str">
        <f t="shared" si="412"/>
        <v/>
      </c>
      <c r="JY169" s="109" t="str">
        <f t="shared" si="413"/>
        <v/>
      </c>
      <c r="JZ169" s="109" t="str">
        <f t="shared" si="334"/>
        <v/>
      </c>
      <c r="KA169" s="110" t="str">
        <f t="shared" si="335"/>
        <v/>
      </c>
    </row>
    <row r="170" spans="1:287" ht="12" customHeight="1">
      <c r="A170" s="105">
        <f t="array" ref="A170">MAX(IF($J$80:J169&gt;0,$C$80:C169,0))</f>
        <v>43536</v>
      </c>
      <c r="B170" s="81" t="str">
        <f t="shared" si="248"/>
        <v/>
      </c>
      <c r="C170" s="82">
        <f t="shared" si="414"/>
        <v>0</v>
      </c>
      <c r="D170" s="83" t="str">
        <f t="shared" si="249"/>
        <v/>
      </c>
      <c r="E170" s="83" t="str">
        <f t="shared" si="336"/>
        <v/>
      </c>
      <c r="F170" s="83" t="str">
        <f t="shared" si="250"/>
        <v/>
      </c>
      <c r="G170" s="83" t="str">
        <f t="shared" si="251"/>
        <v/>
      </c>
      <c r="H170" s="83" t="str">
        <f t="shared" si="252"/>
        <v/>
      </c>
      <c r="I170" s="105">
        <f t="array" ref="I170">MAX(IF($R$80:R169&gt;0,$L$80:L169,0))</f>
        <v>0</v>
      </c>
      <c r="J170" s="106"/>
      <c r="K170" s="2" t="str">
        <f t="shared" si="253"/>
        <v/>
      </c>
      <c r="L170" s="82">
        <f t="shared" si="415"/>
        <v>0</v>
      </c>
      <c r="M170" s="83" t="str">
        <f t="shared" si="337"/>
        <v/>
      </c>
      <c r="N170" s="83" t="str">
        <f t="shared" si="254"/>
        <v/>
      </c>
      <c r="O170" s="83" t="str">
        <f t="shared" si="255"/>
        <v/>
      </c>
      <c r="P170" s="83" t="str">
        <f t="shared" si="256"/>
        <v/>
      </c>
      <c r="Q170" s="83" t="str">
        <f t="shared" si="257"/>
        <v/>
      </c>
      <c r="R170" s="106"/>
      <c r="S170" s="1"/>
      <c r="U170" s="85" t="e">
        <f t="shared" si="244"/>
        <v>#NUM!</v>
      </c>
      <c r="V170" s="86" t="e">
        <f t="shared" si="338"/>
        <v>#NUM!</v>
      </c>
      <c r="W170" s="87" t="e">
        <f t="shared" si="258"/>
        <v>#NUM!</v>
      </c>
      <c r="X170" s="87" t="e">
        <f t="shared" si="259"/>
        <v>#NUM!</v>
      </c>
      <c r="Y170" s="87" t="e">
        <f t="shared" si="260"/>
        <v>#NUM!</v>
      </c>
      <c r="Z170" s="88" t="e">
        <f t="shared" si="245"/>
        <v>#NUM!</v>
      </c>
      <c r="AA170" t="s">
        <v>282</v>
      </c>
      <c r="AB170" s="89">
        <f t="shared" si="339"/>
        <v>0</v>
      </c>
      <c r="AC170" s="87">
        <f t="shared" si="340"/>
        <v>0</v>
      </c>
      <c r="AD170" s="87" t="str">
        <f t="shared" si="261"/>
        <v/>
      </c>
      <c r="AE170" s="87" t="str">
        <f t="shared" si="262"/>
        <v/>
      </c>
      <c r="AF170" s="86">
        <f t="shared" si="341"/>
        <v>0</v>
      </c>
      <c r="AG170" s="87">
        <f t="shared" si="246"/>
        <v>0</v>
      </c>
      <c r="AH170" s="87">
        <f t="shared" si="342"/>
        <v>0</v>
      </c>
      <c r="AI170" s="90"/>
      <c r="AJ170" s="87" t="e">
        <f t="shared" si="263"/>
        <v>#NUM!</v>
      </c>
      <c r="AK170" s="87" t="e">
        <f t="shared" si="343"/>
        <v>#NUM!</v>
      </c>
      <c r="AL170" s="87" t="e">
        <f t="shared" si="344"/>
        <v>#NUM!</v>
      </c>
      <c r="AM170" s="87" t="e">
        <f t="shared" si="345"/>
        <v>#NUM!</v>
      </c>
      <c r="AN170" s="86">
        <f t="shared" si="264"/>
        <v>0</v>
      </c>
      <c r="AO170" s="87">
        <f t="shared" si="265"/>
        <v>0</v>
      </c>
      <c r="AP170" s="88">
        <f t="shared" si="266"/>
        <v>0</v>
      </c>
      <c r="AR170" s="89">
        <f t="shared" si="267"/>
        <v>0</v>
      </c>
      <c r="AS170" s="87">
        <f t="shared" si="268"/>
        <v>0</v>
      </c>
      <c r="AT170" s="87" t="str">
        <f t="shared" si="269"/>
        <v/>
      </c>
      <c r="AU170" s="87" t="str">
        <f t="shared" si="270"/>
        <v/>
      </c>
      <c r="AV170" s="86">
        <f t="shared" si="346"/>
        <v>0</v>
      </c>
      <c r="AW170" s="87">
        <f t="shared" si="347"/>
        <v>0</v>
      </c>
      <c r="AX170" s="87">
        <f t="shared" si="348"/>
        <v>0</v>
      </c>
      <c r="AY170" s="93"/>
      <c r="AZ170" s="87">
        <f t="shared" si="425"/>
        <v>0</v>
      </c>
      <c r="BA170" s="87">
        <f t="shared" si="349"/>
        <v>0</v>
      </c>
      <c r="BB170" s="87">
        <f t="shared" si="350"/>
        <v>0</v>
      </c>
      <c r="BC170" s="87">
        <f t="shared" si="416"/>
        <v>0</v>
      </c>
      <c r="BD170" s="86" t="e">
        <f t="shared" si="271"/>
        <v>#NUM!</v>
      </c>
      <c r="BE170" s="87" t="e">
        <f t="shared" si="247"/>
        <v>#NUM!</v>
      </c>
      <c r="BF170" s="88">
        <f t="shared" si="351"/>
        <v>0</v>
      </c>
      <c r="BH170" s="87" t="e">
        <f t="shared" si="272"/>
        <v>#NUM!</v>
      </c>
      <c r="BK170" s="95">
        <v>41641</v>
      </c>
      <c r="BL170" s="96">
        <v>91</v>
      </c>
      <c r="CS170" s="108" t="str">
        <f t="shared" si="273"/>
        <v/>
      </c>
      <c r="CT170" s="109" t="str">
        <f t="shared" si="274"/>
        <v/>
      </c>
      <c r="CU170" s="109" t="str">
        <f t="shared" si="275"/>
        <v/>
      </c>
      <c r="CV170" s="110" t="str">
        <f t="shared" si="225"/>
        <v/>
      </c>
      <c r="CX170" s="108" t="str">
        <f t="shared" si="276"/>
        <v/>
      </c>
      <c r="CY170" s="109" t="str">
        <f t="shared" si="352"/>
        <v/>
      </c>
      <c r="CZ170" s="109" t="str">
        <f t="shared" si="277"/>
        <v/>
      </c>
      <c r="DA170" s="110" t="str">
        <f t="shared" si="226"/>
        <v/>
      </c>
      <c r="DC170" s="108" t="str">
        <f t="shared" si="353"/>
        <v/>
      </c>
      <c r="DD170" s="109" t="str">
        <f t="shared" si="354"/>
        <v/>
      </c>
      <c r="DE170" s="109" t="str">
        <f t="shared" si="278"/>
        <v/>
      </c>
      <c r="DF170" s="110" t="str">
        <f t="shared" si="227"/>
        <v/>
      </c>
      <c r="DH170" s="108" t="str">
        <f t="shared" si="279"/>
        <v/>
      </c>
      <c r="DI170" s="109" t="str">
        <f t="shared" si="280"/>
        <v/>
      </c>
      <c r="DJ170" s="109" t="str">
        <f t="shared" si="281"/>
        <v/>
      </c>
      <c r="DK170" s="110" t="str">
        <f t="shared" si="228"/>
        <v/>
      </c>
      <c r="DM170" s="108" t="str">
        <f t="shared" si="355"/>
        <v/>
      </c>
      <c r="DN170" s="109" t="str">
        <f t="shared" si="356"/>
        <v/>
      </c>
      <c r="DO170" s="109" t="str">
        <f t="shared" si="282"/>
        <v/>
      </c>
      <c r="DP170" s="110" t="str">
        <f t="shared" si="229"/>
        <v/>
      </c>
      <c r="DR170" s="108" t="str">
        <f t="shared" si="283"/>
        <v/>
      </c>
      <c r="DS170" s="109" t="str">
        <f t="shared" si="357"/>
        <v/>
      </c>
      <c r="DT170" s="109" t="str">
        <f t="shared" si="284"/>
        <v/>
      </c>
      <c r="DU170" s="110" t="str">
        <f t="shared" si="230"/>
        <v/>
      </c>
      <c r="DW170" s="108" t="str">
        <f t="shared" si="358"/>
        <v/>
      </c>
      <c r="DX170" s="109" t="str">
        <f t="shared" si="359"/>
        <v/>
      </c>
      <c r="DY170" s="109" t="str">
        <f t="shared" si="285"/>
        <v/>
      </c>
      <c r="DZ170" s="110" t="str">
        <f t="shared" si="231"/>
        <v/>
      </c>
      <c r="EB170" s="108" t="str">
        <f t="shared" si="286"/>
        <v/>
      </c>
      <c r="EC170" s="109" t="str">
        <f t="shared" si="360"/>
        <v/>
      </c>
      <c r="ED170" s="109" t="str">
        <f t="shared" si="287"/>
        <v/>
      </c>
      <c r="EE170" s="110" t="str">
        <f t="shared" si="232"/>
        <v/>
      </c>
      <c r="EG170" s="108" t="str">
        <f t="shared" si="361"/>
        <v/>
      </c>
      <c r="EH170" s="109" t="str">
        <f t="shared" si="362"/>
        <v/>
      </c>
      <c r="EI170" s="109" t="str">
        <f t="shared" si="288"/>
        <v/>
      </c>
      <c r="EJ170" s="110" t="str">
        <f t="shared" si="233"/>
        <v/>
      </c>
      <c r="EL170" s="108" t="str">
        <f t="shared" si="289"/>
        <v/>
      </c>
      <c r="EM170" s="109" t="str">
        <f t="shared" si="363"/>
        <v/>
      </c>
      <c r="EN170" s="109" t="str">
        <f t="shared" si="290"/>
        <v/>
      </c>
      <c r="EO170" s="110" t="str">
        <f t="shared" si="234"/>
        <v/>
      </c>
      <c r="EQ170" s="108" t="str">
        <f t="shared" si="364"/>
        <v/>
      </c>
      <c r="ER170" s="109" t="str">
        <f t="shared" si="365"/>
        <v/>
      </c>
      <c r="ES170" s="109" t="str">
        <f t="shared" si="291"/>
        <v/>
      </c>
      <c r="ET170" s="110" t="str">
        <f t="shared" si="235"/>
        <v/>
      </c>
      <c r="EV170" s="108" t="str">
        <f t="shared" si="292"/>
        <v/>
      </c>
      <c r="EW170" s="109" t="str">
        <f t="shared" si="366"/>
        <v/>
      </c>
      <c r="EX170" s="109" t="str">
        <f t="shared" si="293"/>
        <v/>
      </c>
      <c r="EY170" s="110" t="str">
        <f t="shared" si="236"/>
        <v/>
      </c>
      <c r="FA170" s="108" t="str">
        <f t="shared" si="367"/>
        <v/>
      </c>
      <c r="FB170" s="109" t="str">
        <f t="shared" si="368"/>
        <v/>
      </c>
      <c r="FC170" s="109" t="str">
        <f t="shared" si="294"/>
        <v/>
      </c>
      <c r="FD170" s="110" t="str">
        <f t="shared" si="237"/>
        <v/>
      </c>
      <c r="FF170" s="108" t="str">
        <f t="shared" si="295"/>
        <v/>
      </c>
      <c r="FG170" s="109" t="str">
        <f t="shared" si="369"/>
        <v/>
      </c>
      <c r="FH170" s="109" t="str">
        <f t="shared" si="296"/>
        <v/>
      </c>
      <c r="FI170" s="110" t="str">
        <f t="shared" si="238"/>
        <v/>
      </c>
      <c r="FK170" s="108" t="str">
        <f t="shared" si="370"/>
        <v/>
      </c>
      <c r="FL170" s="109" t="str">
        <f t="shared" si="371"/>
        <v/>
      </c>
      <c r="FM170" s="109" t="str">
        <f t="shared" si="297"/>
        <v/>
      </c>
      <c r="FN170" s="110" t="str">
        <f t="shared" si="239"/>
        <v/>
      </c>
      <c r="FP170" s="108" t="str">
        <f t="shared" si="298"/>
        <v/>
      </c>
      <c r="FQ170" s="109" t="str">
        <f t="shared" si="372"/>
        <v/>
      </c>
      <c r="FR170" s="109" t="str">
        <f t="shared" si="299"/>
        <v/>
      </c>
      <c r="FS170" s="110" t="str">
        <f t="shared" si="240"/>
        <v/>
      </c>
      <c r="FU170" s="108" t="str">
        <f t="shared" si="373"/>
        <v/>
      </c>
      <c r="FV170" s="109" t="str">
        <f t="shared" si="374"/>
        <v/>
      </c>
      <c r="FW170" s="109" t="str">
        <f t="shared" si="300"/>
        <v/>
      </c>
      <c r="FX170" s="110" t="str">
        <f t="shared" si="241"/>
        <v/>
      </c>
      <c r="FZ170" s="108" t="str">
        <f t="shared" si="301"/>
        <v/>
      </c>
      <c r="GA170" s="109" t="str">
        <f t="shared" si="375"/>
        <v/>
      </c>
      <c r="GB170" s="109" t="str">
        <f t="shared" si="302"/>
        <v/>
      </c>
      <c r="GC170" s="110" t="str">
        <f t="shared" si="242"/>
        <v/>
      </c>
      <c r="GE170" s="108" t="str">
        <f t="shared" si="376"/>
        <v/>
      </c>
      <c r="GF170" s="109" t="str">
        <f t="shared" si="377"/>
        <v/>
      </c>
      <c r="GG170" s="109" t="str">
        <f t="shared" si="378"/>
        <v/>
      </c>
      <c r="GH170" s="110" t="str">
        <f t="shared" si="243"/>
        <v/>
      </c>
      <c r="GL170" s="108" t="str">
        <f t="shared" si="303"/>
        <v/>
      </c>
      <c r="GM170" s="109" t="str">
        <f t="shared" si="304"/>
        <v/>
      </c>
      <c r="GN170" s="109" t="str">
        <f t="shared" si="305"/>
        <v/>
      </c>
      <c r="GO170" s="110" t="str">
        <f t="shared" si="306"/>
        <v/>
      </c>
      <c r="GP170" s="51"/>
      <c r="GQ170" s="108" t="str">
        <f t="shared" si="307"/>
        <v/>
      </c>
      <c r="GR170" s="109" t="str">
        <f t="shared" si="379"/>
        <v/>
      </c>
      <c r="GS170" s="109" t="str">
        <f t="shared" si="308"/>
        <v/>
      </c>
      <c r="GT170" s="110" t="str">
        <f t="shared" si="309"/>
        <v/>
      </c>
      <c r="GU170" s="51"/>
      <c r="GV170" s="108" t="str">
        <f t="shared" si="380"/>
        <v/>
      </c>
      <c r="GW170" s="109" t="str">
        <f t="shared" si="381"/>
        <v/>
      </c>
      <c r="GX170" s="109" t="str">
        <f t="shared" si="310"/>
        <v/>
      </c>
      <c r="GY170" s="110" t="str">
        <f t="shared" si="382"/>
        <v/>
      </c>
      <c r="GZ170" s="51"/>
      <c r="HA170" s="108" t="str">
        <f t="shared" si="311"/>
        <v/>
      </c>
      <c r="HB170" s="109" t="str">
        <f t="shared" si="383"/>
        <v/>
      </c>
      <c r="HC170" s="109" t="str">
        <f t="shared" si="312"/>
        <v/>
      </c>
      <c r="HD170" s="110" t="str">
        <f t="shared" si="417"/>
        <v/>
      </c>
      <c r="HE170" s="51"/>
      <c r="HF170" s="108" t="str">
        <f t="shared" si="384"/>
        <v/>
      </c>
      <c r="HG170" s="109" t="str">
        <f t="shared" si="385"/>
        <v/>
      </c>
      <c r="HH170" s="109" t="str">
        <f t="shared" si="313"/>
        <v/>
      </c>
      <c r="HI170" s="110" t="str">
        <f t="shared" si="386"/>
        <v/>
      </c>
      <c r="HJ170" s="51"/>
      <c r="HK170" s="108" t="str">
        <f t="shared" si="314"/>
        <v/>
      </c>
      <c r="HL170" s="109" t="str">
        <f t="shared" si="387"/>
        <v/>
      </c>
      <c r="HM170" s="109" t="str">
        <f t="shared" si="315"/>
        <v/>
      </c>
      <c r="HN170" s="110" t="str">
        <f t="shared" si="418"/>
        <v/>
      </c>
      <c r="HO170" s="51"/>
      <c r="HP170" s="108" t="str">
        <f t="shared" si="388"/>
        <v/>
      </c>
      <c r="HQ170" s="109" t="str">
        <f t="shared" si="389"/>
        <v/>
      </c>
      <c r="HR170" s="109" t="str">
        <f t="shared" si="316"/>
        <v/>
      </c>
      <c r="HS170" s="110" t="str">
        <f t="shared" si="390"/>
        <v/>
      </c>
      <c r="HT170" s="51"/>
      <c r="HU170" s="108" t="str">
        <f t="shared" si="317"/>
        <v/>
      </c>
      <c r="HV170" s="109" t="str">
        <f t="shared" si="391"/>
        <v/>
      </c>
      <c r="HW170" s="109" t="str">
        <f t="shared" si="318"/>
        <v/>
      </c>
      <c r="HX170" s="110" t="str">
        <f t="shared" si="419"/>
        <v/>
      </c>
      <c r="HY170" s="51"/>
      <c r="HZ170" s="108" t="str">
        <f t="shared" si="392"/>
        <v/>
      </c>
      <c r="IA170" s="109" t="str">
        <f t="shared" si="393"/>
        <v/>
      </c>
      <c r="IB170" s="109" t="str">
        <f t="shared" si="319"/>
        <v/>
      </c>
      <c r="IC170" s="110" t="str">
        <f t="shared" si="394"/>
        <v/>
      </c>
      <c r="ID170" s="51"/>
      <c r="IE170" s="108" t="str">
        <f t="shared" si="320"/>
        <v/>
      </c>
      <c r="IF170" s="109" t="str">
        <f t="shared" si="395"/>
        <v/>
      </c>
      <c r="IG170" s="109" t="str">
        <f t="shared" si="321"/>
        <v/>
      </c>
      <c r="IH170" s="110" t="str">
        <f t="shared" si="420"/>
        <v/>
      </c>
      <c r="II170" s="51"/>
      <c r="IJ170" s="108" t="str">
        <f t="shared" si="396"/>
        <v/>
      </c>
      <c r="IK170" s="109" t="str">
        <f t="shared" si="397"/>
        <v/>
      </c>
      <c r="IL170" s="109" t="str">
        <f t="shared" si="322"/>
        <v/>
      </c>
      <c r="IM170" s="110" t="str">
        <f t="shared" si="398"/>
        <v/>
      </c>
      <c r="IN170" s="51"/>
      <c r="IO170" s="108" t="str">
        <f t="shared" si="323"/>
        <v/>
      </c>
      <c r="IP170" s="109" t="str">
        <f t="shared" si="399"/>
        <v/>
      </c>
      <c r="IQ170" s="109" t="str">
        <f t="shared" si="324"/>
        <v/>
      </c>
      <c r="IR170" s="110" t="str">
        <f t="shared" si="421"/>
        <v/>
      </c>
      <c r="IS170" s="51"/>
      <c r="IT170" s="108" t="str">
        <f t="shared" si="400"/>
        <v/>
      </c>
      <c r="IU170" s="109" t="str">
        <f t="shared" si="401"/>
        <v/>
      </c>
      <c r="IV170" s="109" t="str">
        <f t="shared" si="325"/>
        <v/>
      </c>
      <c r="IW170" s="110" t="str">
        <f t="shared" si="402"/>
        <v/>
      </c>
      <c r="IX170" s="51"/>
      <c r="IY170" s="108" t="str">
        <f t="shared" si="326"/>
        <v/>
      </c>
      <c r="IZ170" s="109" t="str">
        <f t="shared" si="403"/>
        <v/>
      </c>
      <c r="JA170" s="109" t="str">
        <f t="shared" si="327"/>
        <v/>
      </c>
      <c r="JB170" s="110" t="str">
        <f t="shared" si="422"/>
        <v/>
      </c>
      <c r="JC170" s="51"/>
      <c r="JD170" s="108" t="str">
        <f t="shared" si="404"/>
        <v/>
      </c>
      <c r="JE170" s="109" t="str">
        <f t="shared" si="405"/>
        <v/>
      </c>
      <c r="JF170" s="109" t="str">
        <f t="shared" si="328"/>
        <v/>
      </c>
      <c r="JG170" s="110" t="str">
        <f t="shared" si="406"/>
        <v/>
      </c>
      <c r="JH170" s="51"/>
      <c r="JI170" s="108" t="str">
        <f t="shared" si="329"/>
        <v/>
      </c>
      <c r="JJ170" s="109" t="str">
        <f t="shared" si="407"/>
        <v/>
      </c>
      <c r="JK170" s="109" t="str">
        <f t="shared" si="330"/>
        <v/>
      </c>
      <c r="JL170" s="110" t="str">
        <f t="shared" si="423"/>
        <v/>
      </c>
      <c r="JM170" s="51"/>
      <c r="JN170" s="108" t="str">
        <f t="shared" si="408"/>
        <v/>
      </c>
      <c r="JO170" s="109" t="str">
        <f t="shared" si="409"/>
        <v/>
      </c>
      <c r="JP170" s="109" t="str">
        <f t="shared" si="331"/>
        <v/>
      </c>
      <c r="JQ170" s="110" t="str">
        <f t="shared" si="410"/>
        <v/>
      </c>
      <c r="JR170" s="51"/>
      <c r="JS170" s="108" t="str">
        <f t="shared" si="332"/>
        <v/>
      </c>
      <c r="JT170" s="109" t="str">
        <f t="shared" si="411"/>
        <v/>
      </c>
      <c r="JU170" s="109" t="str">
        <f t="shared" si="333"/>
        <v/>
      </c>
      <c r="JV170" s="110" t="str">
        <f t="shared" si="424"/>
        <v/>
      </c>
      <c r="JW170" s="51"/>
      <c r="JX170" s="108" t="str">
        <f t="shared" si="412"/>
        <v/>
      </c>
      <c r="JY170" s="109" t="str">
        <f t="shared" si="413"/>
        <v/>
      </c>
      <c r="JZ170" s="109" t="str">
        <f t="shared" si="334"/>
        <v/>
      </c>
      <c r="KA170" s="110" t="str">
        <f t="shared" si="335"/>
        <v/>
      </c>
    </row>
    <row r="171" spans="1:287" ht="12" customHeight="1">
      <c r="A171" s="105">
        <f t="array" ref="A171">MAX(IF($J$80:J170&gt;0,$C$80:C170,0))</f>
        <v>43536</v>
      </c>
      <c r="B171" s="81" t="str">
        <f t="shared" si="248"/>
        <v/>
      </c>
      <c r="C171" s="82">
        <f t="shared" si="414"/>
        <v>0</v>
      </c>
      <c r="D171" s="83" t="str">
        <f t="shared" si="249"/>
        <v/>
      </c>
      <c r="E171" s="83" t="str">
        <f t="shared" si="336"/>
        <v/>
      </c>
      <c r="F171" s="83" t="str">
        <f t="shared" si="250"/>
        <v/>
      </c>
      <c r="G171" s="83" t="str">
        <f t="shared" si="251"/>
        <v/>
      </c>
      <c r="H171" s="83" t="str">
        <f t="shared" si="252"/>
        <v/>
      </c>
      <c r="I171" s="105">
        <f t="array" ref="I171">MAX(IF($R$80:R170&gt;0,$L$80:L170,0))</f>
        <v>0</v>
      </c>
      <c r="J171" s="106"/>
      <c r="K171" s="2" t="str">
        <f t="shared" si="253"/>
        <v/>
      </c>
      <c r="L171" s="82">
        <f t="shared" si="415"/>
        <v>0</v>
      </c>
      <c r="M171" s="83" t="str">
        <f t="shared" si="337"/>
        <v/>
      </c>
      <c r="N171" s="83" t="str">
        <f t="shared" si="254"/>
        <v/>
      </c>
      <c r="O171" s="83" t="str">
        <f t="shared" si="255"/>
        <v/>
      </c>
      <c r="P171" s="83" t="str">
        <f t="shared" si="256"/>
        <v/>
      </c>
      <c r="Q171" s="83" t="str">
        <f t="shared" si="257"/>
        <v/>
      </c>
      <c r="R171" s="106"/>
      <c r="S171" s="1"/>
      <c r="U171" s="85" t="e">
        <f t="shared" si="244"/>
        <v>#NUM!</v>
      </c>
      <c r="V171" s="86" t="e">
        <f t="shared" si="338"/>
        <v>#NUM!</v>
      </c>
      <c r="W171" s="87" t="e">
        <f t="shared" si="258"/>
        <v>#NUM!</v>
      </c>
      <c r="X171" s="87" t="e">
        <f t="shared" si="259"/>
        <v>#NUM!</v>
      </c>
      <c r="Y171" s="87" t="e">
        <f t="shared" si="260"/>
        <v>#NUM!</v>
      </c>
      <c r="Z171" s="88" t="e">
        <f t="shared" si="245"/>
        <v>#NUM!</v>
      </c>
      <c r="AA171" t="s">
        <v>282</v>
      </c>
      <c r="AB171" s="89">
        <f t="shared" si="339"/>
        <v>0</v>
      </c>
      <c r="AC171" s="87">
        <f t="shared" si="340"/>
        <v>0</v>
      </c>
      <c r="AD171" s="87" t="str">
        <f t="shared" si="261"/>
        <v/>
      </c>
      <c r="AE171" s="87" t="str">
        <f t="shared" si="262"/>
        <v/>
      </c>
      <c r="AF171" s="86">
        <f t="shared" si="341"/>
        <v>0</v>
      </c>
      <c r="AG171" s="87">
        <f t="shared" si="246"/>
        <v>0</v>
      </c>
      <c r="AH171" s="87">
        <f t="shared" si="342"/>
        <v>0</v>
      </c>
      <c r="AI171" s="90"/>
      <c r="AJ171" s="87" t="e">
        <f t="shared" si="263"/>
        <v>#NUM!</v>
      </c>
      <c r="AK171" s="87" t="e">
        <f t="shared" si="343"/>
        <v>#NUM!</v>
      </c>
      <c r="AL171" s="87" t="e">
        <f t="shared" si="344"/>
        <v>#NUM!</v>
      </c>
      <c r="AM171" s="87" t="e">
        <f t="shared" si="345"/>
        <v>#NUM!</v>
      </c>
      <c r="AN171" s="86">
        <f t="shared" si="264"/>
        <v>0</v>
      </c>
      <c r="AO171" s="87">
        <f t="shared" si="265"/>
        <v>0</v>
      </c>
      <c r="AP171" s="88">
        <f t="shared" si="266"/>
        <v>0</v>
      </c>
      <c r="AR171" s="89">
        <f t="shared" si="267"/>
        <v>0</v>
      </c>
      <c r="AS171" s="87">
        <f t="shared" si="268"/>
        <v>0</v>
      </c>
      <c r="AT171" s="87" t="str">
        <f t="shared" si="269"/>
        <v/>
      </c>
      <c r="AU171" s="87" t="str">
        <f t="shared" si="270"/>
        <v/>
      </c>
      <c r="AV171" s="86">
        <f t="shared" si="346"/>
        <v>0</v>
      </c>
      <c r="AW171" s="87">
        <f t="shared" si="347"/>
        <v>0</v>
      </c>
      <c r="AX171" s="87">
        <f t="shared" si="348"/>
        <v>0</v>
      </c>
      <c r="AY171" s="93"/>
      <c r="AZ171" s="87">
        <f t="shared" si="425"/>
        <v>0</v>
      </c>
      <c r="BA171" s="87">
        <f t="shared" si="349"/>
        <v>0</v>
      </c>
      <c r="BB171" s="87">
        <f t="shared" si="350"/>
        <v>0</v>
      </c>
      <c r="BC171" s="87">
        <f t="shared" si="416"/>
        <v>0</v>
      </c>
      <c r="BD171" s="86" t="e">
        <f t="shared" si="271"/>
        <v>#NUM!</v>
      </c>
      <c r="BE171" s="87" t="e">
        <f t="shared" si="247"/>
        <v>#NUM!</v>
      </c>
      <c r="BF171" s="88">
        <f t="shared" si="351"/>
        <v>0</v>
      </c>
      <c r="BH171" s="87" t="e">
        <f t="shared" si="272"/>
        <v>#NUM!</v>
      </c>
      <c r="BK171" s="95">
        <v>41646</v>
      </c>
      <c r="BL171" s="96">
        <v>92</v>
      </c>
      <c r="CS171" s="108" t="str">
        <f t="shared" si="273"/>
        <v/>
      </c>
      <c r="CT171" s="109" t="str">
        <f t="shared" si="274"/>
        <v/>
      </c>
      <c r="CU171" s="109" t="str">
        <f t="shared" si="275"/>
        <v/>
      </c>
      <c r="CV171" s="110" t="str">
        <f t="shared" si="225"/>
        <v/>
      </c>
      <c r="CX171" s="108" t="str">
        <f t="shared" si="276"/>
        <v/>
      </c>
      <c r="CY171" s="109" t="str">
        <f t="shared" si="352"/>
        <v/>
      </c>
      <c r="CZ171" s="109" t="str">
        <f t="shared" si="277"/>
        <v/>
      </c>
      <c r="DA171" s="110" t="str">
        <f t="shared" si="226"/>
        <v/>
      </c>
      <c r="DC171" s="108" t="str">
        <f t="shared" si="353"/>
        <v/>
      </c>
      <c r="DD171" s="109" t="str">
        <f t="shared" si="354"/>
        <v/>
      </c>
      <c r="DE171" s="109" t="str">
        <f t="shared" si="278"/>
        <v/>
      </c>
      <c r="DF171" s="110" t="str">
        <f t="shared" si="227"/>
        <v/>
      </c>
      <c r="DH171" s="108" t="str">
        <f t="shared" si="279"/>
        <v/>
      </c>
      <c r="DI171" s="109" t="str">
        <f t="shared" si="280"/>
        <v/>
      </c>
      <c r="DJ171" s="109" t="str">
        <f t="shared" si="281"/>
        <v/>
      </c>
      <c r="DK171" s="110" t="str">
        <f t="shared" si="228"/>
        <v/>
      </c>
      <c r="DM171" s="108" t="str">
        <f t="shared" si="355"/>
        <v/>
      </c>
      <c r="DN171" s="109" t="str">
        <f t="shared" si="356"/>
        <v/>
      </c>
      <c r="DO171" s="109" t="str">
        <f t="shared" si="282"/>
        <v/>
      </c>
      <c r="DP171" s="110" t="str">
        <f t="shared" si="229"/>
        <v/>
      </c>
      <c r="DR171" s="108" t="str">
        <f t="shared" si="283"/>
        <v/>
      </c>
      <c r="DS171" s="109" t="str">
        <f t="shared" si="357"/>
        <v/>
      </c>
      <c r="DT171" s="109" t="str">
        <f t="shared" si="284"/>
        <v/>
      </c>
      <c r="DU171" s="110" t="str">
        <f t="shared" si="230"/>
        <v/>
      </c>
      <c r="DW171" s="108" t="str">
        <f t="shared" si="358"/>
        <v/>
      </c>
      <c r="DX171" s="109" t="str">
        <f t="shared" si="359"/>
        <v/>
      </c>
      <c r="DY171" s="109" t="str">
        <f t="shared" si="285"/>
        <v/>
      </c>
      <c r="DZ171" s="110" t="str">
        <f t="shared" si="231"/>
        <v/>
      </c>
      <c r="EB171" s="108" t="str">
        <f t="shared" si="286"/>
        <v/>
      </c>
      <c r="EC171" s="109" t="str">
        <f t="shared" si="360"/>
        <v/>
      </c>
      <c r="ED171" s="109" t="str">
        <f t="shared" si="287"/>
        <v/>
      </c>
      <c r="EE171" s="110" t="str">
        <f t="shared" si="232"/>
        <v/>
      </c>
      <c r="EG171" s="108" t="str">
        <f t="shared" si="361"/>
        <v/>
      </c>
      <c r="EH171" s="109" t="str">
        <f t="shared" si="362"/>
        <v/>
      </c>
      <c r="EI171" s="109" t="str">
        <f t="shared" si="288"/>
        <v/>
      </c>
      <c r="EJ171" s="110" t="str">
        <f t="shared" si="233"/>
        <v/>
      </c>
      <c r="EL171" s="108" t="str">
        <f t="shared" si="289"/>
        <v/>
      </c>
      <c r="EM171" s="109" t="str">
        <f t="shared" si="363"/>
        <v/>
      </c>
      <c r="EN171" s="109" t="str">
        <f t="shared" si="290"/>
        <v/>
      </c>
      <c r="EO171" s="110" t="str">
        <f t="shared" si="234"/>
        <v/>
      </c>
      <c r="EQ171" s="108" t="str">
        <f t="shared" si="364"/>
        <v/>
      </c>
      <c r="ER171" s="109" t="str">
        <f t="shared" si="365"/>
        <v/>
      </c>
      <c r="ES171" s="109" t="str">
        <f t="shared" si="291"/>
        <v/>
      </c>
      <c r="ET171" s="110" t="str">
        <f t="shared" si="235"/>
        <v/>
      </c>
      <c r="EV171" s="108" t="str">
        <f t="shared" si="292"/>
        <v/>
      </c>
      <c r="EW171" s="109" t="str">
        <f t="shared" si="366"/>
        <v/>
      </c>
      <c r="EX171" s="109" t="str">
        <f t="shared" si="293"/>
        <v/>
      </c>
      <c r="EY171" s="110" t="str">
        <f t="shared" si="236"/>
        <v/>
      </c>
      <c r="FA171" s="108" t="str">
        <f t="shared" si="367"/>
        <v/>
      </c>
      <c r="FB171" s="109" t="str">
        <f t="shared" si="368"/>
        <v/>
      </c>
      <c r="FC171" s="109" t="str">
        <f t="shared" si="294"/>
        <v/>
      </c>
      <c r="FD171" s="110" t="str">
        <f t="shared" si="237"/>
        <v/>
      </c>
      <c r="FF171" s="108" t="str">
        <f t="shared" si="295"/>
        <v/>
      </c>
      <c r="FG171" s="109" t="str">
        <f t="shared" si="369"/>
        <v/>
      </c>
      <c r="FH171" s="109" t="str">
        <f t="shared" si="296"/>
        <v/>
      </c>
      <c r="FI171" s="110" t="str">
        <f t="shared" si="238"/>
        <v/>
      </c>
      <c r="FK171" s="108" t="str">
        <f t="shared" si="370"/>
        <v/>
      </c>
      <c r="FL171" s="109" t="str">
        <f t="shared" si="371"/>
        <v/>
      </c>
      <c r="FM171" s="109" t="str">
        <f t="shared" si="297"/>
        <v/>
      </c>
      <c r="FN171" s="110" t="str">
        <f t="shared" si="239"/>
        <v/>
      </c>
      <c r="FP171" s="108" t="str">
        <f t="shared" si="298"/>
        <v/>
      </c>
      <c r="FQ171" s="109" t="str">
        <f t="shared" si="372"/>
        <v/>
      </c>
      <c r="FR171" s="109" t="str">
        <f t="shared" si="299"/>
        <v/>
      </c>
      <c r="FS171" s="110" t="str">
        <f t="shared" si="240"/>
        <v/>
      </c>
      <c r="FU171" s="108" t="str">
        <f t="shared" si="373"/>
        <v/>
      </c>
      <c r="FV171" s="109" t="str">
        <f t="shared" si="374"/>
        <v/>
      </c>
      <c r="FW171" s="109" t="str">
        <f t="shared" si="300"/>
        <v/>
      </c>
      <c r="FX171" s="110" t="str">
        <f t="shared" si="241"/>
        <v/>
      </c>
      <c r="FZ171" s="108" t="str">
        <f t="shared" si="301"/>
        <v/>
      </c>
      <c r="GA171" s="109" t="str">
        <f t="shared" si="375"/>
        <v/>
      </c>
      <c r="GB171" s="109" t="str">
        <f t="shared" si="302"/>
        <v/>
      </c>
      <c r="GC171" s="110" t="str">
        <f t="shared" si="242"/>
        <v/>
      </c>
      <c r="GE171" s="108" t="str">
        <f t="shared" si="376"/>
        <v/>
      </c>
      <c r="GF171" s="109" t="str">
        <f t="shared" si="377"/>
        <v/>
      </c>
      <c r="GG171" s="109" t="str">
        <f t="shared" si="378"/>
        <v/>
      </c>
      <c r="GH171" s="110" t="str">
        <f t="shared" si="243"/>
        <v/>
      </c>
      <c r="GL171" s="108" t="str">
        <f t="shared" si="303"/>
        <v/>
      </c>
      <c r="GM171" s="109" t="str">
        <f t="shared" si="304"/>
        <v/>
      </c>
      <c r="GN171" s="109" t="str">
        <f t="shared" si="305"/>
        <v/>
      </c>
      <c r="GO171" s="110" t="str">
        <f t="shared" si="306"/>
        <v/>
      </c>
      <c r="GP171" s="51"/>
      <c r="GQ171" s="108" t="str">
        <f t="shared" si="307"/>
        <v/>
      </c>
      <c r="GR171" s="109" t="str">
        <f t="shared" si="379"/>
        <v/>
      </c>
      <c r="GS171" s="109" t="str">
        <f t="shared" si="308"/>
        <v/>
      </c>
      <c r="GT171" s="110" t="str">
        <f t="shared" si="309"/>
        <v/>
      </c>
      <c r="GU171" s="51"/>
      <c r="GV171" s="108" t="str">
        <f t="shared" si="380"/>
        <v/>
      </c>
      <c r="GW171" s="109" t="str">
        <f t="shared" si="381"/>
        <v/>
      </c>
      <c r="GX171" s="109" t="str">
        <f t="shared" si="310"/>
        <v/>
      </c>
      <c r="GY171" s="110" t="str">
        <f t="shared" si="382"/>
        <v/>
      </c>
      <c r="GZ171" s="51"/>
      <c r="HA171" s="108" t="str">
        <f t="shared" si="311"/>
        <v/>
      </c>
      <c r="HB171" s="109" t="str">
        <f t="shared" si="383"/>
        <v/>
      </c>
      <c r="HC171" s="109" t="str">
        <f t="shared" si="312"/>
        <v/>
      </c>
      <c r="HD171" s="110" t="str">
        <f t="shared" si="417"/>
        <v/>
      </c>
      <c r="HE171" s="51"/>
      <c r="HF171" s="108" t="str">
        <f t="shared" si="384"/>
        <v/>
      </c>
      <c r="HG171" s="109" t="str">
        <f t="shared" si="385"/>
        <v/>
      </c>
      <c r="HH171" s="109" t="str">
        <f t="shared" si="313"/>
        <v/>
      </c>
      <c r="HI171" s="110" t="str">
        <f t="shared" si="386"/>
        <v/>
      </c>
      <c r="HJ171" s="51"/>
      <c r="HK171" s="108" t="str">
        <f t="shared" si="314"/>
        <v/>
      </c>
      <c r="HL171" s="109" t="str">
        <f t="shared" si="387"/>
        <v/>
      </c>
      <c r="HM171" s="109" t="str">
        <f t="shared" si="315"/>
        <v/>
      </c>
      <c r="HN171" s="110" t="str">
        <f t="shared" si="418"/>
        <v/>
      </c>
      <c r="HO171" s="51"/>
      <c r="HP171" s="108" t="str">
        <f t="shared" si="388"/>
        <v/>
      </c>
      <c r="HQ171" s="109" t="str">
        <f t="shared" si="389"/>
        <v/>
      </c>
      <c r="HR171" s="109" t="str">
        <f t="shared" si="316"/>
        <v/>
      </c>
      <c r="HS171" s="110" t="str">
        <f t="shared" si="390"/>
        <v/>
      </c>
      <c r="HT171" s="51"/>
      <c r="HU171" s="108" t="str">
        <f t="shared" si="317"/>
        <v/>
      </c>
      <c r="HV171" s="109" t="str">
        <f t="shared" si="391"/>
        <v/>
      </c>
      <c r="HW171" s="109" t="str">
        <f t="shared" si="318"/>
        <v/>
      </c>
      <c r="HX171" s="110" t="str">
        <f t="shared" si="419"/>
        <v/>
      </c>
      <c r="HY171" s="51"/>
      <c r="HZ171" s="108" t="str">
        <f t="shared" si="392"/>
        <v/>
      </c>
      <c r="IA171" s="109" t="str">
        <f t="shared" si="393"/>
        <v/>
      </c>
      <c r="IB171" s="109" t="str">
        <f t="shared" si="319"/>
        <v/>
      </c>
      <c r="IC171" s="110" t="str">
        <f t="shared" si="394"/>
        <v/>
      </c>
      <c r="ID171" s="51"/>
      <c r="IE171" s="108" t="str">
        <f t="shared" si="320"/>
        <v/>
      </c>
      <c r="IF171" s="109" t="str">
        <f t="shared" si="395"/>
        <v/>
      </c>
      <c r="IG171" s="109" t="str">
        <f t="shared" si="321"/>
        <v/>
      </c>
      <c r="IH171" s="110" t="str">
        <f t="shared" si="420"/>
        <v/>
      </c>
      <c r="II171" s="51"/>
      <c r="IJ171" s="108" t="str">
        <f t="shared" si="396"/>
        <v/>
      </c>
      <c r="IK171" s="109" t="str">
        <f t="shared" si="397"/>
        <v/>
      </c>
      <c r="IL171" s="109" t="str">
        <f t="shared" si="322"/>
        <v/>
      </c>
      <c r="IM171" s="110" t="str">
        <f t="shared" si="398"/>
        <v/>
      </c>
      <c r="IN171" s="51"/>
      <c r="IO171" s="108" t="str">
        <f t="shared" si="323"/>
        <v/>
      </c>
      <c r="IP171" s="109" t="str">
        <f t="shared" si="399"/>
        <v/>
      </c>
      <c r="IQ171" s="109" t="str">
        <f t="shared" si="324"/>
        <v/>
      </c>
      <c r="IR171" s="110" t="str">
        <f t="shared" si="421"/>
        <v/>
      </c>
      <c r="IS171" s="51"/>
      <c r="IT171" s="108" t="str">
        <f t="shared" si="400"/>
        <v/>
      </c>
      <c r="IU171" s="109" t="str">
        <f t="shared" si="401"/>
        <v/>
      </c>
      <c r="IV171" s="109" t="str">
        <f t="shared" si="325"/>
        <v/>
      </c>
      <c r="IW171" s="110" t="str">
        <f t="shared" si="402"/>
        <v/>
      </c>
      <c r="IX171" s="51"/>
      <c r="IY171" s="108" t="str">
        <f t="shared" si="326"/>
        <v/>
      </c>
      <c r="IZ171" s="109" t="str">
        <f t="shared" si="403"/>
        <v/>
      </c>
      <c r="JA171" s="109" t="str">
        <f t="shared" si="327"/>
        <v/>
      </c>
      <c r="JB171" s="110" t="str">
        <f t="shared" si="422"/>
        <v/>
      </c>
      <c r="JC171" s="51"/>
      <c r="JD171" s="108" t="str">
        <f t="shared" si="404"/>
        <v/>
      </c>
      <c r="JE171" s="109" t="str">
        <f t="shared" si="405"/>
        <v/>
      </c>
      <c r="JF171" s="109" t="str">
        <f t="shared" si="328"/>
        <v/>
      </c>
      <c r="JG171" s="110" t="str">
        <f t="shared" si="406"/>
        <v/>
      </c>
      <c r="JH171" s="51"/>
      <c r="JI171" s="108" t="str">
        <f t="shared" si="329"/>
        <v/>
      </c>
      <c r="JJ171" s="109" t="str">
        <f t="shared" si="407"/>
        <v/>
      </c>
      <c r="JK171" s="109" t="str">
        <f t="shared" si="330"/>
        <v/>
      </c>
      <c r="JL171" s="110" t="str">
        <f t="shared" si="423"/>
        <v/>
      </c>
      <c r="JM171" s="51"/>
      <c r="JN171" s="108" t="str">
        <f t="shared" si="408"/>
        <v/>
      </c>
      <c r="JO171" s="109" t="str">
        <f t="shared" si="409"/>
        <v/>
      </c>
      <c r="JP171" s="109" t="str">
        <f t="shared" si="331"/>
        <v/>
      </c>
      <c r="JQ171" s="110" t="str">
        <f t="shared" si="410"/>
        <v/>
      </c>
      <c r="JR171" s="51"/>
      <c r="JS171" s="108" t="str">
        <f t="shared" si="332"/>
        <v/>
      </c>
      <c r="JT171" s="109" t="str">
        <f t="shared" si="411"/>
        <v/>
      </c>
      <c r="JU171" s="109" t="str">
        <f t="shared" si="333"/>
        <v/>
      </c>
      <c r="JV171" s="110" t="str">
        <f t="shared" si="424"/>
        <v/>
      </c>
      <c r="JW171" s="51"/>
      <c r="JX171" s="108" t="str">
        <f t="shared" si="412"/>
        <v/>
      </c>
      <c r="JY171" s="109" t="str">
        <f t="shared" si="413"/>
        <v/>
      </c>
      <c r="JZ171" s="109" t="str">
        <f t="shared" si="334"/>
        <v/>
      </c>
      <c r="KA171" s="110" t="str">
        <f t="shared" si="335"/>
        <v/>
      </c>
    </row>
    <row r="172" spans="1:287" ht="12" customHeight="1">
      <c r="A172" s="105">
        <f t="array" ref="A172">MAX(IF($J$80:J171&gt;0,$C$80:C171,0))</f>
        <v>43536</v>
      </c>
      <c r="B172" s="81" t="str">
        <f t="shared" si="248"/>
        <v/>
      </c>
      <c r="C172" s="82">
        <f t="shared" si="414"/>
        <v>0</v>
      </c>
      <c r="D172" s="83" t="str">
        <f t="shared" si="249"/>
        <v/>
      </c>
      <c r="E172" s="83" t="str">
        <f t="shared" si="336"/>
        <v/>
      </c>
      <c r="F172" s="83" t="str">
        <f t="shared" si="250"/>
        <v/>
      </c>
      <c r="G172" s="83" t="str">
        <f t="shared" si="251"/>
        <v/>
      </c>
      <c r="H172" s="83" t="str">
        <f t="shared" si="252"/>
        <v/>
      </c>
      <c r="I172" s="105">
        <f t="array" ref="I172">MAX(IF($R$80:R171&gt;0,$L$80:L171,0))</f>
        <v>0</v>
      </c>
      <c r="J172" s="106"/>
      <c r="K172" s="2" t="str">
        <f t="shared" si="253"/>
        <v/>
      </c>
      <c r="L172" s="82">
        <f t="shared" si="415"/>
        <v>0</v>
      </c>
      <c r="M172" s="83" t="str">
        <f t="shared" si="337"/>
        <v/>
      </c>
      <c r="N172" s="83" t="str">
        <f t="shared" si="254"/>
        <v/>
      </c>
      <c r="O172" s="83" t="str">
        <f t="shared" si="255"/>
        <v/>
      </c>
      <c r="P172" s="83" t="str">
        <f t="shared" si="256"/>
        <v/>
      </c>
      <c r="Q172" s="83" t="str">
        <f t="shared" si="257"/>
        <v/>
      </c>
      <c r="R172" s="106"/>
      <c r="S172" s="1"/>
      <c r="U172" s="85" t="e">
        <f t="shared" si="244"/>
        <v>#NUM!</v>
      </c>
      <c r="V172" s="86" t="e">
        <f t="shared" si="338"/>
        <v>#NUM!</v>
      </c>
      <c r="W172" s="87" t="e">
        <f t="shared" si="258"/>
        <v>#NUM!</v>
      </c>
      <c r="X172" s="87" t="e">
        <f t="shared" si="259"/>
        <v>#NUM!</v>
      </c>
      <c r="Y172" s="87" t="e">
        <f t="shared" si="260"/>
        <v>#NUM!</v>
      </c>
      <c r="Z172" s="88" t="e">
        <f t="shared" si="245"/>
        <v>#NUM!</v>
      </c>
      <c r="AA172" t="s">
        <v>282</v>
      </c>
      <c r="AB172" s="89">
        <f t="shared" si="339"/>
        <v>0</v>
      </c>
      <c r="AC172" s="87">
        <f t="shared" si="340"/>
        <v>0</v>
      </c>
      <c r="AD172" s="87" t="str">
        <f t="shared" si="261"/>
        <v/>
      </c>
      <c r="AE172" s="87" t="str">
        <f t="shared" si="262"/>
        <v/>
      </c>
      <c r="AF172" s="86">
        <f t="shared" si="341"/>
        <v>0</v>
      </c>
      <c r="AG172" s="87">
        <f t="shared" si="246"/>
        <v>0</v>
      </c>
      <c r="AH172" s="87">
        <f t="shared" si="342"/>
        <v>0</v>
      </c>
      <c r="AI172" s="90"/>
      <c r="AJ172" s="87" t="e">
        <f t="shared" si="263"/>
        <v>#NUM!</v>
      </c>
      <c r="AK172" s="87" t="e">
        <f t="shared" si="343"/>
        <v>#NUM!</v>
      </c>
      <c r="AL172" s="87" t="e">
        <f t="shared" si="344"/>
        <v>#NUM!</v>
      </c>
      <c r="AM172" s="87" t="e">
        <f t="shared" si="345"/>
        <v>#NUM!</v>
      </c>
      <c r="AN172" s="86">
        <f t="shared" si="264"/>
        <v>0</v>
      </c>
      <c r="AO172" s="87">
        <f t="shared" si="265"/>
        <v>0</v>
      </c>
      <c r="AP172" s="88">
        <f t="shared" si="266"/>
        <v>0</v>
      </c>
      <c r="AR172" s="89">
        <f t="shared" si="267"/>
        <v>0</v>
      </c>
      <c r="AS172" s="87">
        <f t="shared" si="268"/>
        <v>0</v>
      </c>
      <c r="AT172" s="87" t="str">
        <f t="shared" si="269"/>
        <v/>
      </c>
      <c r="AU172" s="87" t="str">
        <f t="shared" si="270"/>
        <v/>
      </c>
      <c r="AV172" s="86">
        <f t="shared" si="346"/>
        <v>0</v>
      </c>
      <c r="AW172" s="87">
        <f t="shared" si="347"/>
        <v>0</v>
      </c>
      <c r="AX172" s="87">
        <f t="shared" si="348"/>
        <v>0</v>
      </c>
      <c r="AY172" s="93"/>
      <c r="AZ172" s="87">
        <f t="shared" si="425"/>
        <v>0</v>
      </c>
      <c r="BA172" s="87">
        <f t="shared" si="349"/>
        <v>0</v>
      </c>
      <c r="BB172" s="87">
        <f t="shared" si="350"/>
        <v>0</v>
      </c>
      <c r="BC172" s="87">
        <f t="shared" si="416"/>
        <v>0</v>
      </c>
      <c r="BD172" s="86" t="e">
        <f t="shared" si="271"/>
        <v>#NUM!</v>
      </c>
      <c r="BE172" s="87" t="e">
        <f t="shared" si="247"/>
        <v>#NUM!</v>
      </c>
      <c r="BF172" s="88">
        <f t="shared" si="351"/>
        <v>0</v>
      </c>
      <c r="BH172" s="87" t="e">
        <f t="shared" si="272"/>
        <v>#NUM!</v>
      </c>
      <c r="BK172" s="95">
        <v>41658</v>
      </c>
      <c r="BL172" s="96">
        <v>93</v>
      </c>
      <c r="CS172" s="108" t="str">
        <f t="shared" si="273"/>
        <v/>
      </c>
      <c r="CT172" s="109" t="str">
        <f t="shared" si="274"/>
        <v/>
      </c>
      <c r="CU172" s="109" t="str">
        <f t="shared" si="275"/>
        <v/>
      </c>
      <c r="CV172" s="110" t="str">
        <f t="shared" si="225"/>
        <v/>
      </c>
      <c r="CX172" s="108" t="str">
        <f t="shared" si="276"/>
        <v/>
      </c>
      <c r="CY172" s="109" t="str">
        <f t="shared" si="352"/>
        <v/>
      </c>
      <c r="CZ172" s="109" t="str">
        <f t="shared" si="277"/>
        <v/>
      </c>
      <c r="DA172" s="110" t="str">
        <f t="shared" si="226"/>
        <v/>
      </c>
      <c r="DC172" s="108" t="str">
        <f t="shared" si="353"/>
        <v/>
      </c>
      <c r="DD172" s="109" t="str">
        <f t="shared" si="354"/>
        <v/>
      </c>
      <c r="DE172" s="109" t="str">
        <f t="shared" si="278"/>
        <v/>
      </c>
      <c r="DF172" s="110" t="str">
        <f t="shared" si="227"/>
        <v/>
      </c>
      <c r="DH172" s="108" t="str">
        <f t="shared" si="279"/>
        <v/>
      </c>
      <c r="DI172" s="109" t="str">
        <f t="shared" si="280"/>
        <v/>
      </c>
      <c r="DJ172" s="109" t="str">
        <f t="shared" si="281"/>
        <v/>
      </c>
      <c r="DK172" s="110" t="str">
        <f t="shared" si="228"/>
        <v/>
      </c>
      <c r="DM172" s="108" t="str">
        <f t="shared" si="355"/>
        <v/>
      </c>
      <c r="DN172" s="109" t="str">
        <f t="shared" si="356"/>
        <v/>
      </c>
      <c r="DO172" s="109" t="str">
        <f t="shared" si="282"/>
        <v/>
      </c>
      <c r="DP172" s="110" t="str">
        <f t="shared" si="229"/>
        <v/>
      </c>
      <c r="DR172" s="108" t="str">
        <f t="shared" si="283"/>
        <v/>
      </c>
      <c r="DS172" s="109" t="str">
        <f t="shared" si="357"/>
        <v/>
      </c>
      <c r="DT172" s="109" t="str">
        <f t="shared" si="284"/>
        <v/>
      </c>
      <c r="DU172" s="110" t="str">
        <f t="shared" si="230"/>
        <v/>
      </c>
      <c r="DW172" s="108" t="str">
        <f t="shared" si="358"/>
        <v/>
      </c>
      <c r="DX172" s="109" t="str">
        <f t="shared" si="359"/>
        <v/>
      </c>
      <c r="DY172" s="109" t="str">
        <f t="shared" si="285"/>
        <v/>
      </c>
      <c r="DZ172" s="110" t="str">
        <f t="shared" si="231"/>
        <v/>
      </c>
      <c r="EB172" s="108" t="str">
        <f t="shared" si="286"/>
        <v/>
      </c>
      <c r="EC172" s="109" t="str">
        <f t="shared" si="360"/>
        <v/>
      </c>
      <c r="ED172" s="109" t="str">
        <f t="shared" si="287"/>
        <v/>
      </c>
      <c r="EE172" s="110" t="str">
        <f t="shared" si="232"/>
        <v/>
      </c>
      <c r="EG172" s="108" t="str">
        <f t="shared" si="361"/>
        <v/>
      </c>
      <c r="EH172" s="109" t="str">
        <f t="shared" si="362"/>
        <v/>
      </c>
      <c r="EI172" s="109" t="str">
        <f t="shared" si="288"/>
        <v/>
      </c>
      <c r="EJ172" s="110" t="str">
        <f t="shared" si="233"/>
        <v/>
      </c>
      <c r="EL172" s="108" t="str">
        <f t="shared" si="289"/>
        <v/>
      </c>
      <c r="EM172" s="109" t="str">
        <f t="shared" si="363"/>
        <v/>
      </c>
      <c r="EN172" s="109" t="str">
        <f t="shared" si="290"/>
        <v/>
      </c>
      <c r="EO172" s="110" t="str">
        <f t="shared" si="234"/>
        <v/>
      </c>
      <c r="EQ172" s="108" t="str">
        <f t="shared" si="364"/>
        <v/>
      </c>
      <c r="ER172" s="109" t="str">
        <f t="shared" si="365"/>
        <v/>
      </c>
      <c r="ES172" s="109" t="str">
        <f t="shared" si="291"/>
        <v/>
      </c>
      <c r="ET172" s="110" t="str">
        <f t="shared" si="235"/>
        <v/>
      </c>
      <c r="EV172" s="108" t="str">
        <f t="shared" si="292"/>
        <v/>
      </c>
      <c r="EW172" s="109" t="str">
        <f t="shared" si="366"/>
        <v/>
      </c>
      <c r="EX172" s="109" t="str">
        <f t="shared" si="293"/>
        <v/>
      </c>
      <c r="EY172" s="110" t="str">
        <f t="shared" si="236"/>
        <v/>
      </c>
      <c r="FA172" s="108" t="str">
        <f t="shared" si="367"/>
        <v/>
      </c>
      <c r="FB172" s="109" t="str">
        <f t="shared" si="368"/>
        <v/>
      </c>
      <c r="FC172" s="109" t="str">
        <f t="shared" si="294"/>
        <v/>
      </c>
      <c r="FD172" s="110" t="str">
        <f t="shared" si="237"/>
        <v/>
      </c>
      <c r="FF172" s="108" t="str">
        <f t="shared" si="295"/>
        <v/>
      </c>
      <c r="FG172" s="109" t="str">
        <f t="shared" si="369"/>
        <v/>
      </c>
      <c r="FH172" s="109" t="str">
        <f t="shared" si="296"/>
        <v/>
      </c>
      <c r="FI172" s="110" t="str">
        <f t="shared" si="238"/>
        <v/>
      </c>
      <c r="FK172" s="108" t="str">
        <f t="shared" si="370"/>
        <v/>
      </c>
      <c r="FL172" s="109" t="str">
        <f t="shared" si="371"/>
        <v/>
      </c>
      <c r="FM172" s="109" t="str">
        <f t="shared" si="297"/>
        <v/>
      </c>
      <c r="FN172" s="110" t="str">
        <f t="shared" si="239"/>
        <v/>
      </c>
      <c r="FP172" s="108" t="str">
        <f t="shared" si="298"/>
        <v/>
      </c>
      <c r="FQ172" s="109" t="str">
        <f t="shared" si="372"/>
        <v/>
      </c>
      <c r="FR172" s="109" t="str">
        <f t="shared" si="299"/>
        <v/>
      </c>
      <c r="FS172" s="110" t="str">
        <f t="shared" si="240"/>
        <v/>
      </c>
      <c r="FU172" s="108" t="str">
        <f t="shared" si="373"/>
        <v/>
      </c>
      <c r="FV172" s="109" t="str">
        <f t="shared" si="374"/>
        <v/>
      </c>
      <c r="FW172" s="109" t="str">
        <f t="shared" si="300"/>
        <v/>
      </c>
      <c r="FX172" s="110" t="str">
        <f t="shared" si="241"/>
        <v/>
      </c>
      <c r="FZ172" s="108" t="str">
        <f t="shared" si="301"/>
        <v/>
      </c>
      <c r="GA172" s="109" t="str">
        <f t="shared" si="375"/>
        <v/>
      </c>
      <c r="GB172" s="109" t="str">
        <f t="shared" si="302"/>
        <v/>
      </c>
      <c r="GC172" s="110" t="str">
        <f t="shared" si="242"/>
        <v/>
      </c>
      <c r="GE172" s="108" t="str">
        <f t="shared" si="376"/>
        <v/>
      </c>
      <c r="GF172" s="109" t="str">
        <f t="shared" si="377"/>
        <v/>
      </c>
      <c r="GG172" s="109" t="str">
        <f t="shared" si="378"/>
        <v/>
      </c>
      <c r="GH172" s="110" t="str">
        <f t="shared" si="243"/>
        <v/>
      </c>
      <c r="GL172" s="108" t="str">
        <f t="shared" si="303"/>
        <v/>
      </c>
      <c r="GM172" s="109" t="str">
        <f t="shared" si="304"/>
        <v/>
      </c>
      <c r="GN172" s="109" t="str">
        <f t="shared" si="305"/>
        <v/>
      </c>
      <c r="GO172" s="110" t="str">
        <f t="shared" si="306"/>
        <v/>
      </c>
      <c r="GP172" s="51"/>
      <c r="GQ172" s="108" t="str">
        <f t="shared" si="307"/>
        <v/>
      </c>
      <c r="GR172" s="109" t="str">
        <f t="shared" si="379"/>
        <v/>
      </c>
      <c r="GS172" s="109" t="str">
        <f t="shared" si="308"/>
        <v/>
      </c>
      <c r="GT172" s="110" t="str">
        <f t="shared" si="309"/>
        <v/>
      </c>
      <c r="GU172" s="51"/>
      <c r="GV172" s="108" t="str">
        <f t="shared" si="380"/>
        <v/>
      </c>
      <c r="GW172" s="109" t="str">
        <f t="shared" si="381"/>
        <v/>
      </c>
      <c r="GX172" s="109" t="str">
        <f t="shared" si="310"/>
        <v/>
      </c>
      <c r="GY172" s="110" t="str">
        <f t="shared" si="382"/>
        <v/>
      </c>
      <c r="GZ172" s="51"/>
      <c r="HA172" s="108" t="str">
        <f t="shared" si="311"/>
        <v/>
      </c>
      <c r="HB172" s="109" t="str">
        <f t="shared" si="383"/>
        <v/>
      </c>
      <c r="HC172" s="109" t="str">
        <f t="shared" si="312"/>
        <v/>
      </c>
      <c r="HD172" s="110" t="str">
        <f t="shared" si="417"/>
        <v/>
      </c>
      <c r="HE172" s="51"/>
      <c r="HF172" s="108" t="str">
        <f t="shared" si="384"/>
        <v/>
      </c>
      <c r="HG172" s="109" t="str">
        <f t="shared" si="385"/>
        <v/>
      </c>
      <c r="HH172" s="109" t="str">
        <f t="shared" si="313"/>
        <v/>
      </c>
      <c r="HI172" s="110" t="str">
        <f t="shared" si="386"/>
        <v/>
      </c>
      <c r="HJ172" s="51"/>
      <c r="HK172" s="108" t="str">
        <f t="shared" si="314"/>
        <v/>
      </c>
      <c r="HL172" s="109" t="str">
        <f t="shared" si="387"/>
        <v/>
      </c>
      <c r="HM172" s="109" t="str">
        <f t="shared" si="315"/>
        <v/>
      </c>
      <c r="HN172" s="110" t="str">
        <f t="shared" si="418"/>
        <v/>
      </c>
      <c r="HO172" s="51"/>
      <c r="HP172" s="108" t="str">
        <f t="shared" si="388"/>
        <v/>
      </c>
      <c r="HQ172" s="109" t="str">
        <f t="shared" si="389"/>
        <v/>
      </c>
      <c r="HR172" s="109" t="str">
        <f t="shared" si="316"/>
        <v/>
      </c>
      <c r="HS172" s="110" t="str">
        <f t="shared" si="390"/>
        <v/>
      </c>
      <c r="HT172" s="51"/>
      <c r="HU172" s="108" t="str">
        <f t="shared" si="317"/>
        <v/>
      </c>
      <c r="HV172" s="109" t="str">
        <f t="shared" si="391"/>
        <v/>
      </c>
      <c r="HW172" s="109" t="str">
        <f t="shared" si="318"/>
        <v/>
      </c>
      <c r="HX172" s="110" t="str">
        <f t="shared" si="419"/>
        <v/>
      </c>
      <c r="HY172" s="51"/>
      <c r="HZ172" s="108" t="str">
        <f t="shared" si="392"/>
        <v/>
      </c>
      <c r="IA172" s="109" t="str">
        <f t="shared" si="393"/>
        <v/>
      </c>
      <c r="IB172" s="109" t="str">
        <f t="shared" si="319"/>
        <v/>
      </c>
      <c r="IC172" s="110" t="str">
        <f t="shared" si="394"/>
        <v/>
      </c>
      <c r="ID172" s="51"/>
      <c r="IE172" s="108" t="str">
        <f t="shared" si="320"/>
        <v/>
      </c>
      <c r="IF172" s="109" t="str">
        <f t="shared" si="395"/>
        <v/>
      </c>
      <c r="IG172" s="109" t="str">
        <f t="shared" si="321"/>
        <v/>
      </c>
      <c r="IH172" s="110" t="str">
        <f t="shared" si="420"/>
        <v/>
      </c>
      <c r="II172" s="51"/>
      <c r="IJ172" s="108" t="str">
        <f t="shared" si="396"/>
        <v/>
      </c>
      <c r="IK172" s="109" t="str">
        <f t="shared" si="397"/>
        <v/>
      </c>
      <c r="IL172" s="109" t="str">
        <f t="shared" si="322"/>
        <v/>
      </c>
      <c r="IM172" s="110" t="str">
        <f t="shared" si="398"/>
        <v/>
      </c>
      <c r="IN172" s="51"/>
      <c r="IO172" s="108" t="str">
        <f t="shared" si="323"/>
        <v/>
      </c>
      <c r="IP172" s="109" t="str">
        <f t="shared" si="399"/>
        <v/>
      </c>
      <c r="IQ172" s="109" t="str">
        <f t="shared" si="324"/>
        <v/>
      </c>
      <c r="IR172" s="110" t="str">
        <f t="shared" si="421"/>
        <v/>
      </c>
      <c r="IS172" s="51"/>
      <c r="IT172" s="108" t="str">
        <f t="shared" si="400"/>
        <v/>
      </c>
      <c r="IU172" s="109" t="str">
        <f t="shared" si="401"/>
        <v/>
      </c>
      <c r="IV172" s="109" t="str">
        <f t="shared" si="325"/>
        <v/>
      </c>
      <c r="IW172" s="110" t="str">
        <f t="shared" si="402"/>
        <v/>
      </c>
      <c r="IX172" s="51"/>
      <c r="IY172" s="108" t="str">
        <f t="shared" si="326"/>
        <v/>
      </c>
      <c r="IZ172" s="109" t="str">
        <f t="shared" si="403"/>
        <v/>
      </c>
      <c r="JA172" s="109" t="str">
        <f t="shared" si="327"/>
        <v/>
      </c>
      <c r="JB172" s="110" t="str">
        <f t="shared" si="422"/>
        <v/>
      </c>
      <c r="JC172" s="51"/>
      <c r="JD172" s="108" t="str">
        <f t="shared" si="404"/>
        <v/>
      </c>
      <c r="JE172" s="109" t="str">
        <f t="shared" si="405"/>
        <v/>
      </c>
      <c r="JF172" s="109" t="str">
        <f t="shared" si="328"/>
        <v/>
      </c>
      <c r="JG172" s="110" t="str">
        <f t="shared" si="406"/>
        <v/>
      </c>
      <c r="JH172" s="51"/>
      <c r="JI172" s="108" t="str">
        <f t="shared" si="329"/>
        <v/>
      </c>
      <c r="JJ172" s="109" t="str">
        <f t="shared" si="407"/>
        <v/>
      </c>
      <c r="JK172" s="109" t="str">
        <f t="shared" si="330"/>
        <v/>
      </c>
      <c r="JL172" s="110" t="str">
        <f t="shared" si="423"/>
        <v/>
      </c>
      <c r="JM172" s="51"/>
      <c r="JN172" s="108" t="str">
        <f t="shared" si="408"/>
        <v/>
      </c>
      <c r="JO172" s="109" t="str">
        <f t="shared" si="409"/>
        <v/>
      </c>
      <c r="JP172" s="109" t="str">
        <f t="shared" si="331"/>
        <v/>
      </c>
      <c r="JQ172" s="110" t="str">
        <f t="shared" si="410"/>
        <v/>
      </c>
      <c r="JR172" s="51"/>
      <c r="JS172" s="108" t="str">
        <f t="shared" si="332"/>
        <v/>
      </c>
      <c r="JT172" s="109" t="str">
        <f t="shared" si="411"/>
        <v/>
      </c>
      <c r="JU172" s="109" t="str">
        <f t="shared" si="333"/>
        <v/>
      </c>
      <c r="JV172" s="110" t="str">
        <f t="shared" si="424"/>
        <v/>
      </c>
      <c r="JW172" s="51"/>
      <c r="JX172" s="108" t="str">
        <f t="shared" si="412"/>
        <v/>
      </c>
      <c r="JY172" s="109" t="str">
        <f t="shared" si="413"/>
        <v/>
      </c>
      <c r="JZ172" s="109" t="str">
        <f t="shared" si="334"/>
        <v/>
      </c>
      <c r="KA172" s="110" t="str">
        <f t="shared" si="335"/>
        <v/>
      </c>
    </row>
    <row r="173" spans="1:287" ht="12" customHeight="1">
      <c r="A173" s="105">
        <f t="array" ref="A173">MAX(IF($J$80:J172&gt;0,$C$80:C172,0))</f>
        <v>43536</v>
      </c>
      <c r="B173" s="81" t="str">
        <f t="shared" si="248"/>
        <v/>
      </c>
      <c r="C173" s="82">
        <f t="shared" si="414"/>
        <v>0</v>
      </c>
      <c r="D173" s="83" t="str">
        <f t="shared" si="249"/>
        <v/>
      </c>
      <c r="E173" s="83" t="str">
        <f t="shared" si="336"/>
        <v/>
      </c>
      <c r="F173" s="83" t="str">
        <f t="shared" si="250"/>
        <v/>
      </c>
      <c r="G173" s="83" t="str">
        <f t="shared" si="251"/>
        <v/>
      </c>
      <c r="H173" s="83" t="str">
        <f t="shared" si="252"/>
        <v/>
      </c>
      <c r="I173" s="105">
        <f t="array" ref="I173">MAX(IF($R$80:R172&gt;0,$L$80:L172,0))</f>
        <v>0</v>
      </c>
      <c r="J173" s="106"/>
      <c r="K173" s="2" t="str">
        <f t="shared" si="253"/>
        <v/>
      </c>
      <c r="L173" s="82">
        <f t="shared" si="415"/>
        <v>0</v>
      </c>
      <c r="M173" s="83" t="str">
        <f t="shared" si="337"/>
        <v/>
      </c>
      <c r="N173" s="83" t="str">
        <f t="shared" si="254"/>
        <v/>
      </c>
      <c r="O173" s="83" t="str">
        <f t="shared" si="255"/>
        <v/>
      </c>
      <c r="P173" s="83" t="str">
        <f t="shared" si="256"/>
        <v/>
      </c>
      <c r="Q173" s="83" t="str">
        <f t="shared" si="257"/>
        <v/>
      </c>
      <c r="R173" s="106"/>
      <c r="S173" s="1"/>
      <c r="U173" s="85" t="e">
        <f t="shared" si="244"/>
        <v>#NUM!</v>
      </c>
      <c r="V173" s="86" t="e">
        <f t="shared" si="338"/>
        <v>#NUM!</v>
      </c>
      <c r="W173" s="87" t="e">
        <f t="shared" si="258"/>
        <v>#NUM!</v>
      </c>
      <c r="X173" s="87" t="e">
        <f t="shared" si="259"/>
        <v>#NUM!</v>
      </c>
      <c r="Y173" s="87" t="e">
        <f t="shared" si="260"/>
        <v>#NUM!</v>
      </c>
      <c r="Z173" s="88" t="e">
        <f t="shared" si="245"/>
        <v>#NUM!</v>
      </c>
      <c r="AA173" t="s">
        <v>282</v>
      </c>
      <c r="AB173" s="89">
        <f t="shared" si="339"/>
        <v>0</v>
      </c>
      <c r="AC173" s="87">
        <f t="shared" si="340"/>
        <v>0</v>
      </c>
      <c r="AD173" s="87" t="str">
        <f t="shared" si="261"/>
        <v/>
      </c>
      <c r="AE173" s="87" t="str">
        <f t="shared" si="262"/>
        <v/>
      </c>
      <c r="AF173" s="86">
        <f t="shared" si="341"/>
        <v>0</v>
      </c>
      <c r="AG173" s="87">
        <f t="shared" si="246"/>
        <v>0</v>
      </c>
      <c r="AH173" s="87">
        <f t="shared" si="342"/>
        <v>0</v>
      </c>
      <c r="AI173" s="90"/>
      <c r="AJ173" s="87" t="e">
        <f t="shared" si="263"/>
        <v>#NUM!</v>
      </c>
      <c r="AK173" s="87" t="e">
        <f t="shared" si="343"/>
        <v>#NUM!</v>
      </c>
      <c r="AL173" s="87" t="e">
        <f t="shared" si="344"/>
        <v>#NUM!</v>
      </c>
      <c r="AM173" s="87" t="e">
        <f t="shared" si="345"/>
        <v>#NUM!</v>
      </c>
      <c r="AN173" s="86">
        <f t="shared" si="264"/>
        <v>0</v>
      </c>
      <c r="AO173" s="87">
        <f t="shared" si="265"/>
        <v>0</v>
      </c>
      <c r="AP173" s="88">
        <f t="shared" si="266"/>
        <v>0</v>
      </c>
      <c r="AR173" s="89">
        <f t="shared" si="267"/>
        <v>0</v>
      </c>
      <c r="AS173" s="87">
        <f t="shared" si="268"/>
        <v>0</v>
      </c>
      <c r="AT173" s="87" t="str">
        <f t="shared" si="269"/>
        <v/>
      </c>
      <c r="AU173" s="87" t="str">
        <f t="shared" si="270"/>
        <v/>
      </c>
      <c r="AV173" s="86">
        <f t="shared" si="346"/>
        <v>0</v>
      </c>
      <c r="AW173" s="87">
        <f t="shared" si="347"/>
        <v>0</v>
      </c>
      <c r="AX173" s="87">
        <f t="shared" si="348"/>
        <v>0</v>
      </c>
      <c r="AY173" s="93"/>
      <c r="AZ173" s="87">
        <f t="shared" si="425"/>
        <v>0</v>
      </c>
      <c r="BA173" s="87">
        <f t="shared" si="349"/>
        <v>0</v>
      </c>
      <c r="BB173" s="87">
        <f t="shared" si="350"/>
        <v>0</v>
      </c>
      <c r="BC173" s="87">
        <f t="shared" si="416"/>
        <v>0</v>
      </c>
      <c r="BD173" s="86" t="e">
        <f t="shared" si="271"/>
        <v>#NUM!</v>
      </c>
      <c r="BE173" s="87" t="e">
        <f t="shared" si="247"/>
        <v>#NUM!</v>
      </c>
      <c r="BF173" s="88">
        <f t="shared" si="351"/>
        <v>0</v>
      </c>
      <c r="BH173" s="87" t="e">
        <f t="shared" si="272"/>
        <v>#NUM!</v>
      </c>
      <c r="BK173" s="95">
        <v>41701</v>
      </c>
      <c r="BL173" s="96">
        <v>94</v>
      </c>
      <c r="CS173" s="108" t="str">
        <f t="shared" si="273"/>
        <v/>
      </c>
      <c r="CT173" s="109" t="str">
        <f t="shared" si="274"/>
        <v/>
      </c>
      <c r="CU173" s="109" t="str">
        <f t="shared" si="275"/>
        <v/>
      </c>
      <c r="CV173" s="110" t="str">
        <f t="shared" si="225"/>
        <v/>
      </c>
      <c r="CX173" s="108" t="str">
        <f t="shared" si="276"/>
        <v/>
      </c>
      <c r="CY173" s="109" t="str">
        <f t="shared" si="352"/>
        <v/>
      </c>
      <c r="CZ173" s="109" t="str">
        <f t="shared" si="277"/>
        <v/>
      </c>
      <c r="DA173" s="110" t="str">
        <f t="shared" si="226"/>
        <v/>
      </c>
      <c r="DC173" s="108" t="str">
        <f t="shared" si="353"/>
        <v/>
      </c>
      <c r="DD173" s="109" t="str">
        <f t="shared" si="354"/>
        <v/>
      </c>
      <c r="DE173" s="109" t="str">
        <f t="shared" si="278"/>
        <v/>
      </c>
      <c r="DF173" s="110" t="str">
        <f t="shared" si="227"/>
        <v/>
      </c>
      <c r="DH173" s="108" t="str">
        <f t="shared" si="279"/>
        <v/>
      </c>
      <c r="DI173" s="109" t="str">
        <f t="shared" si="280"/>
        <v/>
      </c>
      <c r="DJ173" s="109" t="str">
        <f t="shared" si="281"/>
        <v/>
      </c>
      <c r="DK173" s="110" t="str">
        <f t="shared" si="228"/>
        <v/>
      </c>
      <c r="DM173" s="108" t="str">
        <f t="shared" si="355"/>
        <v/>
      </c>
      <c r="DN173" s="109" t="str">
        <f t="shared" si="356"/>
        <v/>
      </c>
      <c r="DO173" s="109" t="str">
        <f t="shared" si="282"/>
        <v/>
      </c>
      <c r="DP173" s="110" t="str">
        <f t="shared" si="229"/>
        <v/>
      </c>
      <c r="DR173" s="108" t="str">
        <f t="shared" si="283"/>
        <v/>
      </c>
      <c r="DS173" s="109" t="str">
        <f t="shared" si="357"/>
        <v/>
      </c>
      <c r="DT173" s="109" t="str">
        <f t="shared" si="284"/>
        <v/>
      </c>
      <c r="DU173" s="110" t="str">
        <f t="shared" si="230"/>
        <v/>
      </c>
      <c r="DW173" s="108" t="str">
        <f t="shared" si="358"/>
        <v/>
      </c>
      <c r="DX173" s="109" t="str">
        <f t="shared" si="359"/>
        <v/>
      </c>
      <c r="DY173" s="109" t="str">
        <f t="shared" si="285"/>
        <v/>
      </c>
      <c r="DZ173" s="110" t="str">
        <f t="shared" si="231"/>
        <v/>
      </c>
      <c r="EB173" s="108" t="str">
        <f t="shared" si="286"/>
        <v/>
      </c>
      <c r="EC173" s="109" t="str">
        <f t="shared" si="360"/>
        <v/>
      </c>
      <c r="ED173" s="109" t="str">
        <f t="shared" si="287"/>
        <v/>
      </c>
      <c r="EE173" s="110" t="str">
        <f t="shared" si="232"/>
        <v/>
      </c>
      <c r="EG173" s="108" t="str">
        <f t="shared" si="361"/>
        <v/>
      </c>
      <c r="EH173" s="109" t="str">
        <f t="shared" si="362"/>
        <v/>
      </c>
      <c r="EI173" s="109" t="str">
        <f t="shared" si="288"/>
        <v/>
      </c>
      <c r="EJ173" s="110" t="str">
        <f t="shared" si="233"/>
        <v/>
      </c>
      <c r="EL173" s="108" t="str">
        <f t="shared" si="289"/>
        <v/>
      </c>
      <c r="EM173" s="109" t="str">
        <f t="shared" si="363"/>
        <v/>
      </c>
      <c r="EN173" s="109" t="str">
        <f t="shared" si="290"/>
        <v/>
      </c>
      <c r="EO173" s="110" t="str">
        <f t="shared" si="234"/>
        <v/>
      </c>
      <c r="EQ173" s="108" t="str">
        <f t="shared" si="364"/>
        <v/>
      </c>
      <c r="ER173" s="109" t="str">
        <f t="shared" si="365"/>
        <v/>
      </c>
      <c r="ES173" s="109" t="str">
        <f t="shared" si="291"/>
        <v/>
      </c>
      <c r="ET173" s="110" t="str">
        <f t="shared" si="235"/>
        <v/>
      </c>
      <c r="EV173" s="108" t="str">
        <f t="shared" si="292"/>
        <v/>
      </c>
      <c r="EW173" s="109" t="str">
        <f t="shared" si="366"/>
        <v/>
      </c>
      <c r="EX173" s="109" t="str">
        <f t="shared" si="293"/>
        <v/>
      </c>
      <c r="EY173" s="110" t="str">
        <f t="shared" si="236"/>
        <v/>
      </c>
      <c r="FA173" s="108" t="str">
        <f t="shared" si="367"/>
        <v/>
      </c>
      <c r="FB173" s="109" t="str">
        <f t="shared" si="368"/>
        <v/>
      </c>
      <c r="FC173" s="109" t="str">
        <f t="shared" si="294"/>
        <v/>
      </c>
      <c r="FD173" s="110" t="str">
        <f t="shared" si="237"/>
        <v/>
      </c>
      <c r="FF173" s="108" t="str">
        <f t="shared" si="295"/>
        <v/>
      </c>
      <c r="FG173" s="109" t="str">
        <f t="shared" si="369"/>
        <v/>
      </c>
      <c r="FH173" s="109" t="str">
        <f t="shared" si="296"/>
        <v/>
      </c>
      <c r="FI173" s="110" t="str">
        <f t="shared" si="238"/>
        <v/>
      </c>
      <c r="FK173" s="108" t="str">
        <f t="shared" si="370"/>
        <v/>
      </c>
      <c r="FL173" s="109" t="str">
        <f t="shared" si="371"/>
        <v/>
      </c>
      <c r="FM173" s="109" t="str">
        <f t="shared" si="297"/>
        <v/>
      </c>
      <c r="FN173" s="110" t="str">
        <f t="shared" si="239"/>
        <v/>
      </c>
      <c r="FP173" s="108" t="str">
        <f t="shared" si="298"/>
        <v/>
      </c>
      <c r="FQ173" s="109" t="str">
        <f t="shared" si="372"/>
        <v/>
      </c>
      <c r="FR173" s="109" t="str">
        <f t="shared" si="299"/>
        <v/>
      </c>
      <c r="FS173" s="110" t="str">
        <f t="shared" si="240"/>
        <v/>
      </c>
      <c r="FU173" s="108" t="str">
        <f t="shared" si="373"/>
        <v/>
      </c>
      <c r="FV173" s="109" t="str">
        <f t="shared" si="374"/>
        <v/>
      </c>
      <c r="FW173" s="109" t="str">
        <f t="shared" si="300"/>
        <v/>
      </c>
      <c r="FX173" s="110" t="str">
        <f t="shared" si="241"/>
        <v/>
      </c>
      <c r="FZ173" s="108" t="str">
        <f t="shared" si="301"/>
        <v/>
      </c>
      <c r="GA173" s="109" t="str">
        <f t="shared" si="375"/>
        <v/>
      </c>
      <c r="GB173" s="109" t="str">
        <f t="shared" si="302"/>
        <v/>
      </c>
      <c r="GC173" s="110" t="str">
        <f t="shared" si="242"/>
        <v/>
      </c>
      <c r="GE173" s="108" t="str">
        <f t="shared" si="376"/>
        <v/>
      </c>
      <c r="GF173" s="109" t="str">
        <f t="shared" si="377"/>
        <v/>
      </c>
      <c r="GG173" s="109" t="str">
        <f t="shared" si="378"/>
        <v/>
      </c>
      <c r="GH173" s="110" t="str">
        <f t="shared" si="243"/>
        <v/>
      </c>
      <c r="GL173" s="108" t="str">
        <f t="shared" si="303"/>
        <v/>
      </c>
      <c r="GM173" s="109" t="str">
        <f t="shared" si="304"/>
        <v/>
      </c>
      <c r="GN173" s="109" t="str">
        <f t="shared" si="305"/>
        <v/>
      </c>
      <c r="GO173" s="110" t="str">
        <f t="shared" si="306"/>
        <v/>
      </c>
      <c r="GP173" s="51"/>
      <c r="GQ173" s="108" t="str">
        <f t="shared" si="307"/>
        <v/>
      </c>
      <c r="GR173" s="109" t="str">
        <f t="shared" si="379"/>
        <v/>
      </c>
      <c r="GS173" s="109" t="str">
        <f t="shared" si="308"/>
        <v/>
      </c>
      <c r="GT173" s="110" t="str">
        <f t="shared" si="309"/>
        <v/>
      </c>
      <c r="GU173" s="51"/>
      <c r="GV173" s="108" t="str">
        <f t="shared" si="380"/>
        <v/>
      </c>
      <c r="GW173" s="109" t="str">
        <f t="shared" si="381"/>
        <v/>
      </c>
      <c r="GX173" s="109" t="str">
        <f t="shared" si="310"/>
        <v/>
      </c>
      <c r="GY173" s="110" t="str">
        <f t="shared" si="382"/>
        <v/>
      </c>
      <c r="GZ173" s="51"/>
      <c r="HA173" s="108" t="str">
        <f t="shared" si="311"/>
        <v/>
      </c>
      <c r="HB173" s="109" t="str">
        <f t="shared" si="383"/>
        <v/>
      </c>
      <c r="HC173" s="109" t="str">
        <f t="shared" si="312"/>
        <v/>
      </c>
      <c r="HD173" s="110" t="str">
        <f t="shared" si="417"/>
        <v/>
      </c>
      <c r="HE173" s="51"/>
      <c r="HF173" s="108" t="str">
        <f t="shared" si="384"/>
        <v/>
      </c>
      <c r="HG173" s="109" t="str">
        <f t="shared" si="385"/>
        <v/>
      </c>
      <c r="HH173" s="109" t="str">
        <f t="shared" si="313"/>
        <v/>
      </c>
      <c r="HI173" s="110" t="str">
        <f t="shared" si="386"/>
        <v/>
      </c>
      <c r="HJ173" s="51"/>
      <c r="HK173" s="108" t="str">
        <f t="shared" si="314"/>
        <v/>
      </c>
      <c r="HL173" s="109" t="str">
        <f t="shared" si="387"/>
        <v/>
      </c>
      <c r="HM173" s="109" t="str">
        <f t="shared" si="315"/>
        <v/>
      </c>
      <c r="HN173" s="110" t="str">
        <f t="shared" si="418"/>
        <v/>
      </c>
      <c r="HO173" s="51"/>
      <c r="HP173" s="108" t="str">
        <f t="shared" si="388"/>
        <v/>
      </c>
      <c r="HQ173" s="109" t="str">
        <f t="shared" si="389"/>
        <v/>
      </c>
      <c r="HR173" s="109" t="str">
        <f t="shared" si="316"/>
        <v/>
      </c>
      <c r="HS173" s="110" t="str">
        <f t="shared" si="390"/>
        <v/>
      </c>
      <c r="HT173" s="51"/>
      <c r="HU173" s="108" t="str">
        <f t="shared" si="317"/>
        <v/>
      </c>
      <c r="HV173" s="109" t="str">
        <f t="shared" si="391"/>
        <v/>
      </c>
      <c r="HW173" s="109" t="str">
        <f t="shared" si="318"/>
        <v/>
      </c>
      <c r="HX173" s="110" t="str">
        <f t="shared" si="419"/>
        <v/>
      </c>
      <c r="HY173" s="51"/>
      <c r="HZ173" s="108" t="str">
        <f t="shared" si="392"/>
        <v/>
      </c>
      <c r="IA173" s="109" t="str">
        <f t="shared" si="393"/>
        <v/>
      </c>
      <c r="IB173" s="109" t="str">
        <f t="shared" si="319"/>
        <v/>
      </c>
      <c r="IC173" s="110" t="str">
        <f t="shared" si="394"/>
        <v/>
      </c>
      <c r="ID173" s="51"/>
      <c r="IE173" s="108" t="str">
        <f t="shared" si="320"/>
        <v/>
      </c>
      <c r="IF173" s="109" t="str">
        <f t="shared" si="395"/>
        <v/>
      </c>
      <c r="IG173" s="109" t="str">
        <f t="shared" si="321"/>
        <v/>
      </c>
      <c r="IH173" s="110" t="str">
        <f t="shared" si="420"/>
        <v/>
      </c>
      <c r="II173" s="51"/>
      <c r="IJ173" s="108" t="str">
        <f t="shared" si="396"/>
        <v/>
      </c>
      <c r="IK173" s="109" t="str">
        <f t="shared" si="397"/>
        <v/>
      </c>
      <c r="IL173" s="109" t="str">
        <f t="shared" si="322"/>
        <v/>
      </c>
      <c r="IM173" s="110" t="str">
        <f t="shared" si="398"/>
        <v/>
      </c>
      <c r="IN173" s="51"/>
      <c r="IO173" s="108" t="str">
        <f t="shared" si="323"/>
        <v/>
      </c>
      <c r="IP173" s="109" t="str">
        <f t="shared" si="399"/>
        <v/>
      </c>
      <c r="IQ173" s="109" t="str">
        <f t="shared" si="324"/>
        <v/>
      </c>
      <c r="IR173" s="110" t="str">
        <f t="shared" si="421"/>
        <v/>
      </c>
      <c r="IS173" s="51"/>
      <c r="IT173" s="108" t="str">
        <f t="shared" si="400"/>
        <v/>
      </c>
      <c r="IU173" s="109" t="str">
        <f t="shared" si="401"/>
        <v/>
      </c>
      <c r="IV173" s="109" t="str">
        <f t="shared" si="325"/>
        <v/>
      </c>
      <c r="IW173" s="110" t="str">
        <f t="shared" si="402"/>
        <v/>
      </c>
      <c r="IX173" s="51"/>
      <c r="IY173" s="108" t="str">
        <f t="shared" si="326"/>
        <v/>
      </c>
      <c r="IZ173" s="109" t="str">
        <f t="shared" si="403"/>
        <v/>
      </c>
      <c r="JA173" s="109" t="str">
        <f t="shared" si="327"/>
        <v/>
      </c>
      <c r="JB173" s="110" t="str">
        <f t="shared" si="422"/>
        <v/>
      </c>
      <c r="JC173" s="51"/>
      <c r="JD173" s="108" t="str">
        <f t="shared" si="404"/>
        <v/>
      </c>
      <c r="JE173" s="109" t="str">
        <f t="shared" si="405"/>
        <v/>
      </c>
      <c r="JF173" s="109" t="str">
        <f t="shared" si="328"/>
        <v/>
      </c>
      <c r="JG173" s="110" t="str">
        <f t="shared" si="406"/>
        <v/>
      </c>
      <c r="JH173" s="51"/>
      <c r="JI173" s="108" t="str">
        <f t="shared" si="329"/>
        <v/>
      </c>
      <c r="JJ173" s="109" t="str">
        <f t="shared" si="407"/>
        <v/>
      </c>
      <c r="JK173" s="109" t="str">
        <f t="shared" si="330"/>
        <v/>
      </c>
      <c r="JL173" s="110" t="str">
        <f t="shared" si="423"/>
        <v/>
      </c>
      <c r="JM173" s="51"/>
      <c r="JN173" s="108" t="str">
        <f t="shared" si="408"/>
        <v/>
      </c>
      <c r="JO173" s="109" t="str">
        <f t="shared" si="409"/>
        <v/>
      </c>
      <c r="JP173" s="109" t="str">
        <f t="shared" si="331"/>
        <v/>
      </c>
      <c r="JQ173" s="110" t="str">
        <f t="shared" si="410"/>
        <v/>
      </c>
      <c r="JR173" s="51"/>
      <c r="JS173" s="108" t="str">
        <f t="shared" si="332"/>
        <v/>
      </c>
      <c r="JT173" s="109" t="str">
        <f t="shared" si="411"/>
        <v/>
      </c>
      <c r="JU173" s="109" t="str">
        <f t="shared" si="333"/>
        <v/>
      </c>
      <c r="JV173" s="110" t="str">
        <f t="shared" si="424"/>
        <v/>
      </c>
      <c r="JW173" s="51"/>
      <c r="JX173" s="108" t="str">
        <f t="shared" si="412"/>
        <v/>
      </c>
      <c r="JY173" s="109" t="str">
        <f t="shared" si="413"/>
        <v/>
      </c>
      <c r="JZ173" s="109" t="str">
        <f t="shared" si="334"/>
        <v/>
      </c>
      <c r="KA173" s="110" t="str">
        <f t="shared" si="335"/>
        <v/>
      </c>
    </row>
    <row r="174" spans="1:287" ht="12" customHeight="1">
      <c r="A174" s="105">
        <f t="array" ref="A174">MAX(IF($J$80:J173&gt;0,$C$80:C173,0))</f>
        <v>43536</v>
      </c>
      <c r="B174" s="81" t="str">
        <f t="shared" si="248"/>
        <v/>
      </c>
      <c r="C174" s="82">
        <f t="shared" si="414"/>
        <v>0</v>
      </c>
      <c r="D174" s="83" t="str">
        <f t="shared" si="249"/>
        <v/>
      </c>
      <c r="E174" s="83" t="str">
        <f t="shared" si="336"/>
        <v/>
      </c>
      <c r="F174" s="83" t="str">
        <f t="shared" si="250"/>
        <v/>
      </c>
      <c r="G174" s="83" t="str">
        <f t="shared" si="251"/>
        <v/>
      </c>
      <c r="H174" s="83" t="str">
        <f t="shared" si="252"/>
        <v/>
      </c>
      <c r="I174" s="105">
        <f t="array" ref="I174">MAX(IF($R$80:R173&gt;0,$L$80:L173,0))</f>
        <v>0</v>
      </c>
      <c r="J174" s="106"/>
      <c r="K174" s="2" t="str">
        <f t="shared" si="253"/>
        <v/>
      </c>
      <c r="L174" s="82">
        <f t="shared" si="415"/>
        <v>0</v>
      </c>
      <c r="M174" s="83" t="str">
        <f t="shared" si="337"/>
        <v/>
      </c>
      <c r="N174" s="83" t="str">
        <f t="shared" si="254"/>
        <v/>
      </c>
      <c r="O174" s="83" t="str">
        <f t="shared" si="255"/>
        <v/>
      </c>
      <c r="P174" s="83" t="str">
        <f t="shared" si="256"/>
        <v/>
      </c>
      <c r="Q174" s="83" t="str">
        <f t="shared" si="257"/>
        <v/>
      </c>
      <c r="R174" s="106"/>
      <c r="S174" s="1"/>
      <c r="U174" s="85" t="e">
        <f t="shared" si="244"/>
        <v>#NUM!</v>
      </c>
      <c r="V174" s="86" t="e">
        <f t="shared" si="338"/>
        <v>#NUM!</v>
      </c>
      <c r="W174" s="87" t="e">
        <f t="shared" si="258"/>
        <v>#NUM!</v>
      </c>
      <c r="X174" s="87" t="e">
        <f t="shared" si="259"/>
        <v>#NUM!</v>
      </c>
      <c r="Y174" s="87" t="e">
        <f t="shared" si="260"/>
        <v>#NUM!</v>
      </c>
      <c r="Z174" s="88" t="e">
        <f t="shared" si="245"/>
        <v>#NUM!</v>
      </c>
      <c r="AA174" t="s">
        <v>282</v>
      </c>
      <c r="AB174" s="89">
        <f t="shared" si="339"/>
        <v>0</v>
      </c>
      <c r="AC174" s="87">
        <f t="shared" si="340"/>
        <v>0</v>
      </c>
      <c r="AD174" s="87" t="str">
        <f t="shared" si="261"/>
        <v/>
      </c>
      <c r="AE174" s="87" t="str">
        <f t="shared" si="262"/>
        <v/>
      </c>
      <c r="AF174" s="86">
        <f t="shared" si="341"/>
        <v>0</v>
      </c>
      <c r="AG174" s="87">
        <f t="shared" si="246"/>
        <v>0</v>
      </c>
      <c r="AH174" s="87">
        <f t="shared" si="342"/>
        <v>0</v>
      </c>
      <c r="AI174" s="90"/>
      <c r="AJ174" s="87" t="e">
        <f t="shared" si="263"/>
        <v>#NUM!</v>
      </c>
      <c r="AK174" s="87" t="e">
        <f t="shared" si="343"/>
        <v>#NUM!</v>
      </c>
      <c r="AL174" s="87" t="e">
        <f t="shared" si="344"/>
        <v>#NUM!</v>
      </c>
      <c r="AM174" s="87" t="e">
        <f t="shared" si="345"/>
        <v>#NUM!</v>
      </c>
      <c r="AN174" s="86">
        <f t="shared" si="264"/>
        <v>0</v>
      </c>
      <c r="AO174" s="87">
        <f t="shared" si="265"/>
        <v>0</v>
      </c>
      <c r="AP174" s="88">
        <f t="shared" si="266"/>
        <v>0</v>
      </c>
      <c r="AR174" s="89">
        <f t="shared" si="267"/>
        <v>0</v>
      </c>
      <c r="AS174" s="87">
        <f t="shared" si="268"/>
        <v>0</v>
      </c>
      <c r="AT174" s="87" t="str">
        <f t="shared" si="269"/>
        <v/>
      </c>
      <c r="AU174" s="87" t="str">
        <f t="shared" si="270"/>
        <v/>
      </c>
      <c r="AV174" s="86">
        <f t="shared" si="346"/>
        <v>0</v>
      </c>
      <c r="AW174" s="87">
        <f t="shared" si="347"/>
        <v>0</v>
      </c>
      <c r="AX174" s="87">
        <f t="shared" si="348"/>
        <v>0</v>
      </c>
      <c r="AY174" s="93"/>
      <c r="AZ174" s="87">
        <f t="shared" si="425"/>
        <v>0</v>
      </c>
      <c r="BA174" s="87">
        <f t="shared" si="349"/>
        <v>0</v>
      </c>
      <c r="BB174" s="87">
        <f t="shared" si="350"/>
        <v>0</v>
      </c>
      <c r="BC174" s="87">
        <f t="shared" si="416"/>
        <v>0</v>
      </c>
      <c r="BD174" s="86" t="e">
        <f t="shared" si="271"/>
        <v>#NUM!</v>
      </c>
      <c r="BE174" s="87" t="e">
        <f t="shared" si="247"/>
        <v>#NUM!</v>
      </c>
      <c r="BF174" s="88">
        <f t="shared" si="351"/>
        <v>0</v>
      </c>
      <c r="BH174" s="87" t="e">
        <f t="shared" si="272"/>
        <v>#NUM!</v>
      </c>
      <c r="BK174" s="95">
        <v>41706</v>
      </c>
      <c r="BL174" s="96">
        <v>95</v>
      </c>
      <c r="CS174" s="108" t="str">
        <f t="shared" si="273"/>
        <v/>
      </c>
      <c r="CT174" s="109" t="str">
        <f t="shared" si="274"/>
        <v/>
      </c>
      <c r="CU174" s="109" t="str">
        <f t="shared" si="275"/>
        <v/>
      </c>
      <c r="CV174" s="110" t="str">
        <f t="shared" si="225"/>
        <v/>
      </c>
      <c r="CX174" s="108" t="str">
        <f t="shared" si="276"/>
        <v/>
      </c>
      <c r="CY174" s="109" t="str">
        <f t="shared" si="352"/>
        <v/>
      </c>
      <c r="CZ174" s="109" t="str">
        <f t="shared" si="277"/>
        <v/>
      </c>
      <c r="DA174" s="110" t="str">
        <f t="shared" si="226"/>
        <v/>
      </c>
      <c r="DC174" s="108" t="str">
        <f t="shared" si="353"/>
        <v/>
      </c>
      <c r="DD174" s="109" t="str">
        <f t="shared" si="354"/>
        <v/>
      </c>
      <c r="DE174" s="109" t="str">
        <f t="shared" si="278"/>
        <v/>
      </c>
      <c r="DF174" s="110" t="str">
        <f t="shared" si="227"/>
        <v/>
      </c>
      <c r="DH174" s="108" t="str">
        <f t="shared" si="279"/>
        <v/>
      </c>
      <c r="DI174" s="109" t="str">
        <f t="shared" si="280"/>
        <v/>
      </c>
      <c r="DJ174" s="109" t="str">
        <f t="shared" si="281"/>
        <v/>
      </c>
      <c r="DK174" s="110" t="str">
        <f t="shared" si="228"/>
        <v/>
      </c>
      <c r="DM174" s="108" t="str">
        <f t="shared" si="355"/>
        <v/>
      </c>
      <c r="DN174" s="109" t="str">
        <f t="shared" si="356"/>
        <v/>
      </c>
      <c r="DO174" s="109" t="str">
        <f t="shared" si="282"/>
        <v/>
      </c>
      <c r="DP174" s="110" t="str">
        <f t="shared" si="229"/>
        <v/>
      </c>
      <c r="DR174" s="108" t="str">
        <f t="shared" si="283"/>
        <v/>
      </c>
      <c r="DS174" s="109" t="str">
        <f t="shared" si="357"/>
        <v/>
      </c>
      <c r="DT174" s="109" t="str">
        <f t="shared" si="284"/>
        <v/>
      </c>
      <c r="DU174" s="110" t="str">
        <f t="shared" si="230"/>
        <v/>
      </c>
      <c r="DW174" s="108" t="str">
        <f t="shared" si="358"/>
        <v/>
      </c>
      <c r="DX174" s="109" t="str">
        <f t="shared" si="359"/>
        <v/>
      </c>
      <c r="DY174" s="109" t="str">
        <f t="shared" si="285"/>
        <v/>
      </c>
      <c r="DZ174" s="110" t="str">
        <f t="shared" si="231"/>
        <v/>
      </c>
      <c r="EB174" s="108" t="str">
        <f t="shared" si="286"/>
        <v/>
      </c>
      <c r="EC174" s="109" t="str">
        <f t="shared" si="360"/>
        <v/>
      </c>
      <c r="ED174" s="109" t="str">
        <f t="shared" si="287"/>
        <v/>
      </c>
      <c r="EE174" s="110" t="str">
        <f t="shared" si="232"/>
        <v/>
      </c>
      <c r="EG174" s="108" t="str">
        <f t="shared" si="361"/>
        <v/>
      </c>
      <c r="EH174" s="109" t="str">
        <f t="shared" si="362"/>
        <v/>
      </c>
      <c r="EI174" s="109" t="str">
        <f t="shared" si="288"/>
        <v/>
      </c>
      <c r="EJ174" s="110" t="str">
        <f t="shared" si="233"/>
        <v/>
      </c>
      <c r="EL174" s="108" t="str">
        <f t="shared" si="289"/>
        <v/>
      </c>
      <c r="EM174" s="109" t="str">
        <f t="shared" si="363"/>
        <v/>
      </c>
      <c r="EN174" s="109" t="str">
        <f t="shared" si="290"/>
        <v/>
      </c>
      <c r="EO174" s="110" t="str">
        <f t="shared" si="234"/>
        <v/>
      </c>
      <c r="EQ174" s="108" t="str">
        <f t="shared" si="364"/>
        <v/>
      </c>
      <c r="ER174" s="109" t="str">
        <f t="shared" si="365"/>
        <v/>
      </c>
      <c r="ES174" s="109" t="str">
        <f t="shared" si="291"/>
        <v/>
      </c>
      <c r="ET174" s="110" t="str">
        <f t="shared" si="235"/>
        <v/>
      </c>
      <c r="EV174" s="108" t="str">
        <f t="shared" si="292"/>
        <v/>
      </c>
      <c r="EW174" s="109" t="str">
        <f t="shared" si="366"/>
        <v/>
      </c>
      <c r="EX174" s="109" t="str">
        <f t="shared" si="293"/>
        <v/>
      </c>
      <c r="EY174" s="110" t="str">
        <f t="shared" si="236"/>
        <v/>
      </c>
      <c r="FA174" s="108" t="str">
        <f t="shared" si="367"/>
        <v/>
      </c>
      <c r="FB174" s="109" t="str">
        <f t="shared" si="368"/>
        <v/>
      </c>
      <c r="FC174" s="109" t="str">
        <f t="shared" si="294"/>
        <v/>
      </c>
      <c r="FD174" s="110" t="str">
        <f t="shared" si="237"/>
        <v/>
      </c>
      <c r="FF174" s="108" t="str">
        <f t="shared" si="295"/>
        <v/>
      </c>
      <c r="FG174" s="109" t="str">
        <f t="shared" si="369"/>
        <v/>
      </c>
      <c r="FH174" s="109" t="str">
        <f t="shared" si="296"/>
        <v/>
      </c>
      <c r="FI174" s="110" t="str">
        <f t="shared" si="238"/>
        <v/>
      </c>
      <c r="FK174" s="108" t="str">
        <f t="shared" si="370"/>
        <v/>
      </c>
      <c r="FL174" s="109" t="str">
        <f t="shared" si="371"/>
        <v/>
      </c>
      <c r="FM174" s="109" t="str">
        <f t="shared" si="297"/>
        <v/>
      </c>
      <c r="FN174" s="110" t="str">
        <f t="shared" si="239"/>
        <v/>
      </c>
      <c r="FP174" s="108" t="str">
        <f t="shared" si="298"/>
        <v/>
      </c>
      <c r="FQ174" s="109" t="str">
        <f t="shared" si="372"/>
        <v/>
      </c>
      <c r="FR174" s="109" t="str">
        <f t="shared" si="299"/>
        <v/>
      </c>
      <c r="FS174" s="110" t="str">
        <f t="shared" si="240"/>
        <v/>
      </c>
      <c r="FU174" s="108" t="str">
        <f t="shared" si="373"/>
        <v/>
      </c>
      <c r="FV174" s="109" t="str">
        <f t="shared" si="374"/>
        <v/>
      </c>
      <c r="FW174" s="109" t="str">
        <f t="shared" si="300"/>
        <v/>
      </c>
      <c r="FX174" s="110" t="str">
        <f t="shared" si="241"/>
        <v/>
      </c>
      <c r="FZ174" s="108" t="str">
        <f t="shared" si="301"/>
        <v/>
      </c>
      <c r="GA174" s="109" t="str">
        <f t="shared" si="375"/>
        <v/>
      </c>
      <c r="GB174" s="109" t="str">
        <f t="shared" si="302"/>
        <v/>
      </c>
      <c r="GC174" s="110" t="str">
        <f t="shared" si="242"/>
        <v/>
      </c>
      <c r="GE174" s="108" t="str">
        <f t="shared" si="376"/>
        <v/>
      </c>
      <c r="GF174" s="109" t="str">
        <f t="shared" si="377"/>
        <v/>
      </c>
      <c r="GG174" s="109" t="str">
        <f t="shared" si="378"/>
        <v/>
      </c>
      <c r="GH174" s="110" t="str">
        <f t="shared" si="243"/>
        <v/>
      </c>
      <c r="GL174" s="108" t="str">
        <f t="shared" si="303"/>
        <v/>
      </c>
      <c r="GM174" s="109" t="str">
        <f t="shared" si="304"/>
        <v/>
      </c>
      <c r="GN174" s="109" t="str">
        <f t="shared" si="305"/>
        <v/>
      </c>
      <c r="GO174" s="110" t="str">
        <f t="shared" si="306"/>
        <v/>
      </c>
      <c r="GP174" s="51"/>
      <c r="GQ174" s="108" t="str">
        <f t="shared" si="307"/>
        <v/>
      </c>
      <c r="GR174" s="109" t="str">
        <f t="shared" si="379"/>
        <v/>
      </c>
      <c r="GS174" s="109" t="str">
        <f t="shared" si="308"/>
        <v/>
      </c>
      <c r="GT174" s="110" t="str">
        <f t="shared" si="309"/>
        <v/>
      </c>
      <c r="GU174" s="51"/>
      <c r="GV174" s="108" t="str">
        <f t="shared" si="380"/>
        <v/>
      </c>
      <c r="GW174" s="109" t="str">
        <f t="shared" si="381"/>
        <v/>
      </c>
      <c r="GX174" s="109" t="str">
        <f t="shared" si="310"/>
        <v/>
      </c>
      <c r="GY174" s="110" t="str">
        <f t="shared" si="382"/>
        <v/>
      </c>
      <c r="GZ174" s="51"/>
      <c r="HA174" s="108" t="str">
        <f t="shared" si="311"/>
        <v/>
      </c>
      <c r="HB174" s="109" t="str">
        <f t="shared" si="383"/>
        <v/>
      </c>
      <c r="HC174" s="109" t="str">
        <f t="shared" si="312"/>
        <v/>
      </c>
      <c r="HD174" s="110" t="str">
        <f t="shared" si="417"/>
        <v/>
      </c>
      <c r="HE174" s="51"/>
      <c r="HF174" s="108" t="str">
        <f t="shared" si="384"/>
        <v/>
      </c>
      <c r="HG174" s="109" t="str">
        <f t="shared" si="385"/>
        <v/>
      </c>
      <c r="HH174" s="109" t="str">
        <f t="shared" si="313"/>
        <v/>
      </c>
      <c r="HI174" s="110" t="str">
        <f t="shared" si="386"/>
        <v/>
      </c>
      <c r="HJ174" s="51"/>
      <c r="HK174" s="108" t="str">
        <f t="shared" si="314"/>
        <v/>
      </c>
      <c r="HL174" s="109" t="str">
        <f t="shared" si="387"/>
        <v/>
      </c>
      <c r="HM174" s="109" t="str">
        <f t="shared" si="315"/>
        <v/>
      </c>
      <c r="HN174" s="110" t="str">
        <f t="shared" si="418"/>
        <v/>
      </c>
      <c r="HO174" s="51"/>
      <c r="HP174" s="108" t="str">
        <f t="shared" si="388"/>
        <v/>
      </c>
      <c r="HQ174" s="109" t="str">
        <f t="shared" si="389"/>
        <v/>
      </c>
      <c r="HR174" s="109" t="str">
        <f t="shared" si="316"/>
        <v/>
      </c>
      <c r="HS174" s="110" t="str">
        <f t="shared" si="390"/>
        <v/>
      </c>
      <c r="HT174" s="51"/>
      <c r="HU174" s="108" t="str">
        <f t="shared" si="317"/>
        <v/>
      </c>
      <c r="HV174" s="109" t="str">
        <f t="shared" si="391"/>
        <v/>
      </c>
      <c r="HW174" s="109" t="str">
        <f t="shared" si="318"/>
        <v/>
      </c>
      <c r="HX174" s="110" t="str">
        <f t="shared" si="419"/>
        <v/>
      </c>
      <c r="HY174" s="51"/>
      <c r="HZ174" s="108" t="str">
        <f t="shared" si="392"/>
        <v/>
      </c>
      <c r="IA174" s="109" t="str">
        <f t="shared" si="393"/>
        <v/>
      </c>
      <c r="IB174" s="109" t="str">
        <f t="shared" si="319"/>
        <v/>
      </c>
      <c r="IC174" s="110" t="str">
        <f t="shared" si="394"/>
        <v/>
      </c>
      <c r="ID174" s="51"/>
      <c r="IE174" s="108" t="str">
        <f t="shared" si="320"/>
        <v/>
      </c>
      <c r="IF174" s="109" t="str">
        <f t="shared" si="395"/>
        <v/>
      </c>
      <c r="IG174" s="109" t="str">
        <f t="shared" si="321"/>
        <v/>
      </c>
      <c r="IH174" s="110" t="str">
        <f t="shared" si="420"/>
        <v/>
      </c>
      <c r="II174" s="51"/>
      <c r="IJ174" s="108" t="str">
        <f t="shared" si="396"/>
        <v/>
      </c>
      <c r="IK174" s="109" t="str">
        <f t="shared" si="397"/>
        <v/>
      </c>
      <c r="IL174" s="109" t="str">
        <f t="shared" si="322"/>
        <v/>
      </c>
      <c r="IM174" s="110" t="str">
        <f t="shared" si="398"/>
        <v/>
      </c>
      <c r="IN174" s="51"/>
      <c r="IO174" s="108" t="str">
        <f t="shared" si="323"/>
        <v/>
      </c>
      <c r="IP174" s="109" t="str">
        <f t="shared" si="399"/>
        <v/>
      </c>
      <c r="IQ174" s="109" t="str">
        <f t="shared" si="324"/>
        <v/>
      </c>
      <c r="IR174" s="110" t="str">
        <f t="shared" si="421"/>
        <v/>
      </c>
      <c r="IS174" s="51"/>
      <c r="IT174" s="108" t="str">
        <f t="shared" si="400"/>
        <v/>
      </c>
      <c r="IU174" s="109" t="str">
        <f t="shared" si="401"/>
        <v/>
      </c>
      <c r="IV174" s="109" t="str">
        <f t="shared" si="325"/>
        <v/>
      </c>
      <c r="IW174" s="110" t="str">
        <f t="shared" si="402"/>
        <v/>
      </c>
      <c r="IX174" s="51"/>
      <c r="IY174" s="108" t="str">
        <f t="shared" si="326"/>
        <v/>
      </c>
      <c r="IZ174" s="109" t="str">
        <f t="shared" si="403"/>
        <v/>
      </c>
      <c r="JA174" s="109" t="str">
        <f t="shared" si="327"/>
        <v/>
      </c>
      <c r="JB174" s="110" t="str">
        <f t="shared" si="422"/>
        <v/>
      </c>
      <c r="JC174" s="51"/>
      <c r="JD174" s="108" t="str">
        <f t="shared" si="404"/>
        <v/>
      </c>
      <c r="JE174" s="109" t="str">
        <f t="shared" si="405"/>
        <v/>
      </c>
      <c r="JF174" s="109" t="str">
        <f t="shared" si="328"/>
        <v/>
      </c>
      <c r="JG174" s="110" t="str">
        <f t="shared" si="406"/>
        <v/>
      </c>
      <c r="JH174" s="51"/>
      <c r="JI174" s="108" t="str">
        <f t="shared" si="329"/>
        <v/>
      </c>
      <c r="JJ174" s="109" t="str">
        <f t="shared" si="407"/>
        <v/>
      </c>
      <c r="JK174" s="109" t="str">
        <f t="shared" si="330"/>
        <v/>
      </c>
      <c r="JL174" s="110" t="str">
        <f t="shared" si="423"/>
        <v/>
      </c>
      <c r="JM174" s="51"/>
      <c r="JN174" s="108" t="str">
        <f t="shared" si="408"/>
        <v/>
      </c>
      <c r="JO174" s="109" t="str">
        <f t="shared" si="409"/>
        <v/>
      </c>
      <c r="JP174" s="109" t="str">
        <f t="shared" si="331"/>
        <v/>
      </c>
      <c r="JQ174" s="110" t="str">
        <f t="shared" si="410"/>
        <v/>
      </c>
      <c r="JR174" s="51"/>
      <c r="JS174" s="108" t="str">
        <f t="shared" si="332"/>
        <v/>
      </c>
      <c r="JT174" s="109" t="str">
        <f t="shared" si="411"/>
        <v/>
      </c>
      <c r="JU174" s="109" t="str">
        <f t="shared" si="333"/>
        <v/>
      </c>
      <c r="JV174" s="110" t="str">
        <f t="shared" si="424"/>
        <v/>
      </c>
      <c r="JW174" s="51"/>
      <c r="JX174" s="108" t="str">
        <f t="shared" si="412"/>
        <v/>
      </c>
      <c r="JY174" s="109" t="str">
        <f t="shared" si="413"/>
        <v/>
      </c>
      <c r="JZ174" s="109" t="str">
        <f t="shared" si="334"/>
        <v/>
      </c>
      <c r="KA174" s="110" t="str">
        <f t="shared" si="335"/>
        <v/>
      </c>
    </row>
    <row r="175" spans="1:287" ht="12" customHeight="1">
      <c r="A175" s="105">
        <f t="array" ref="A175">MAX(IF($J$80:J174&gt;0,$C$80:C174,0))</f>
        <v>43536</v>
      </c>
      <c r="B175" s="81" t="str">
        <f t="shared" si="248"/>
        <v/>
      </c>
      <c r="C175" s="82">
        <f t="shared" si="414"/>
        <v>0</v>
      </c>
      <c r="D175" s="83" t="str">
        <f t="shared" si="249"/>
        <v/>
      </c>
      <c r="E175" s="83" t="str">
        <f t="shared" si="336"/>
        <v/>
      </c>
      <c r="F175" s="83" t="str">
        <f t="shared" si="250"/>
        <v/>
      </c>
      <c r="G175" s="83" t="str">
        <f t="shared" si="251"/>
        <v/>
      </c>
      <c r="H175" s="83" t="str">
        <f t="shared" si="252"/>
        <v/>
      </c>
      <c r="I175" s="105">
        <f t="array" ref="I175">MAX(IF($R$80:R174&gt;0,$L$80:L174,0))</f>
        <v>0</v>
      </c>
      <c r="J175" s="106"/>
      <c r="K175" s="2" t="str">
        <f t="shared" si="253"/>
        <v/>
      </c>
      <c r="L175" s="82">
        <f t="shared" si="415"/>
        <v>0</v>
      </c>
      <c r="M175" s="83" t="str">
        <f t="shared" si="337"/>
        <v/>
      </c>
      <c r="N175" s="83" t="str">
        <f t="shared" si="254"/>
        <v/>
      </c>
      <c r="O175" s="83" t="str">
        <f t="shared" si="255"/>
        <v/>
      </c>
      <c r="P175" s="83" t="str">
        <f t="shared" si="256"/>
        <v/>
      </c>
      <c r="Q175" s="83" t="str">
        <f t="shared" si="257"/>
        <v/>
      </c>
      <c r="R175" s="106"/>
      <c r="S175" s="1"/>
      <c r="U175" s="85" t="e">
        <f t="shared" si="244"/>
        <v>#NUM!</v>
      </c>
      <c r="V175" s="86" t="e">
        <f t="shared" si="338"/>
        <v>#NUM!</v>
      </c>
      <c r="W175" s="87" t="e">
        <f t="shared" si="258"/>
        <v>#NUM!</v>
      </c>
      <c r="X175" s="87" t="e">
        <f t="shared" si="259"/>
        <v>#NUM!</v>
      </c>
      <c r="Y175" s="87" t="e">
        <f t="shared" si="260"/>
        <v>#NUM!</v>
      </c>
      <c r="Z175" s="88" t="e">
        <f t="shared" si="245"/>
        <v>#NUM!</v>
      </c>
      <c r="AA175" t="s">
        <v>282</v>
      </c>
      <c r="AB175" s="89">
        <f t="shared" si="339"/>
        <v>0</v>
      </c>
      <c r="AC175" s="87">
        <f t="shared" si="340"/>
        <v>0</v>
      </c>
      <c r="AD175" s="87" t="str">
        <f t="shared" si="261"/>
        <v/>
      </c>
      <c r="AE175" s="87" t="str">
        <f t="shared" si="262"/>
        <v/>
      </c>
      <c r="AF175" s="86">
        <f t="shared" si="341"/>
        <v>0</v>
      </c>
      <c r="AG175" s="87">
        <f t="shared" si="246"/>
        <v>0</v>
      </c>
      <c r="AH175" s="87">
        <f t="shared" si="342"/>
        <v>0</v>
      </c>
      <c r="AI175" s="90"/>
      <c r="AJ175" s="87" t="e">
        <f t="shared" si="263"/>
        <v>#NUM!</v>
      </c>
      <c r="AK175" s="87" t="e">
        <f t="shared" si="343"/>
        <v>#NUM!</v>
      </c>
      <c r="AL175" s="87" t="e">
        <f t="shared" si="344"/>
        <v>#NUM!</v>
      </c>
      <c r="AM175" s="87" t="e">
        <f t="shared" si="345"/>
        <v>#NUM!</v>
      </c>
      <c r="AN175" s="86">
        <f t="shared" si="264"/>
        <v>0</v>
      </c>
      <c r="AO175" s="87">
        <f t="shared" si="265"/>
        <v>0</v>
      </c>
      <c r="AP175" s="88">
        <f t="shared" si="266"/>
        <v>0</v>
      </c>
      <c r="AR175" s="89">
        <f t="shared" si="267"/>
        <v>0</v>
      </c>
      <c r="AS175" s="87">
        <f t="shared" si="268"/>
        <v>0</v>
      </c>
      <c r="AT175" s="87" t="str">
        <f t="shared" si="269"/>
        <v/>
      </c>
      <c r="AU175" s="87" t="str">
        <f t="shared" si="270"/>
        <v/>
      </c>
      <c r="AV175" s="86">
        <f t="shared" si="346"/>
        <v>0</v>
      </c>
      <c r="AW175" s="87">
        <f t="shared" si="347"/>
        <v>0</v>
      </c>
      <c r="AX175" s="87">
        <f t="shared" si="348"/>
        <v>0</v>
      </c>
      <c r="AY175" s="93"/>
      <c r="AZ175" s="87">
        <f t="shared" si="425"/>
        <v>0</v>
      </c>
      <c r="BA175" s="87">
        <f t="shared" si="349"/>
        <v>0</v>
      </c>
      <c r="BB175" s="87">
        <f t="shared" si="350"/>
        <v>0</v>
      </c>
      <c r="BC175" s="87">
        <f t="shared" si="416"/>
        <v>0</v>
      </c>
      <c r="BD175" s="86" t="e">
        <f t="shared" si="271"/>
        <v>#NUM!</v>
      </c>
      <c r="BE175" s="87" t="e">
        <f t="shared" si="247"/>
        <v>#NUM!</v>
      </c>
      <c r="BF175" s="88">
        <f t="shared" si="351"/>
        <v>0</v>
      </c>
      <c r="BH175" s="87" t="e">
        <f t="shared" si="272"/>
        <v>#NUM!</v>
      </c>
      <c r="BK175" s="95">
        <v>41738</v>
      </c>
      <c r="BL175" s="96">
        <v>96</v>
      </c>
      <c r="CS175" s="108" t="str">
        <f t="shared" si="273"/>
        <v/>
      </c>
      <c r="CT175" s="109" t="str">
        <f t="shared" si="274"/>
        <v/>
      </c>
      <c r="CU175" s="109" t="str">
        <f t="shared" si="275"/>
        <v/>
      </c>
      <c r="CV175" s="110" t="str">
        <f t="shared" si="225"/>
        <v/>
      </c>
      <c r="CX175" s="108" t="str">
        <f t="shared" si="276"/>
        <v/>
      </c>
      <c r="CY175" s="109" t="str">
        <f t="shared" si="352"/>
        <v/>
      </c>
      <c r="CZ175" s="109" t="str">
        <f t="shared" si="277"/>
        <v/>
      </c>
      <c r="DA175" s="110" t="str">
        <f t="shared" si="226"/>
        <v/>
      </c>
      <c r="DC175" s="108" t="str">
        <f t="shared" si="353"/>
        <v/>
      </c>
      <c r="DD175" s="109" t="str">
        <f t="shared" si="354"/>
        <v/>
      </c>
      <c r="DE175" s="109" t="str">
        <f t="shared" si="278"/>
        <v/>
      </c>
      <c r="DF175" s="110" t="str">
        <f t="shared" si="227"/>
        <v/>
      </c>
      <c r="DH175" s="108" t="str">
        <f t="shared" si="279"/>
        <v/>
      </c>
      <c r="DI175" s="109" t="str">
        <f t="shared" si="280"/>
        <v/>
      </c>
      <c r="DJ175" s="109" t="str">
        <f t="shared" si="281"/>
        <v/>
      </c>
      <c r="DK175" s="110" t="str">
        <f t="shared" si="228"/>
        <v/>
      </c>
      <c r="DM175" s="108" t="str">
        <f t="shared" si="355"/>
        <v/>
      </c>
      <c r="DN175" s="109" t="str">
        <f t="shared" si="356"/>
        <v/>
      </c>
      <c r="DO175" s="109" t="str">
        <f t="shared" si="282"/>
        <v/>
      </c>
      <c r="DP175" s="110" t="str">
        <f t="shared" si="229"/>
        <v/>
      </c>
      <c r="DR175" s="108" t="str">
        <f t="shared" si="283"/>
        <v/>
      </c>
      <c r="DS175" s="109" t="str">
        <f t="shared" si="357"/>
        <v/>
      </c>
      <c r="DT175" s="109" t="str">
        <f t="shared" si="284"/>
        <v/>
      </c>
      <c r="DU175" s="110" t="str">
        <f t="shared" si="230"/>
        <v/>
      </c>
      <c r="DW175" s="108" t="str">
        <f t="shared" si="358"/>
        <v/>
      </c>
      <c r="DX175" s="109" t="str">
        <f t="shared" si="359"/>
        <v/>
      </c>
      <c r="DY175" s="109" t="str">
        <f t="shared" si="285"/>
        <v/>
      </c>
      <c r="DZ175" s="110" t="str">
        <f t="shared" si="231"/>
        <v/>
      </c>
      <c r="EB175" s="108" t="str">
        <f t="shared" si="286"/>
        <v/>
      </c>
      <c r="EC175" s="109" t="str">
        <f t="shared" si="360"/>
        <v/>
      </c>
      <c r="ED175" s="109" t="str">
        <f t="shared" si="287"/>
        <v/>
      </c>
      <c r="EE175" s="110" t="str">
        <f t="shared" si="232"/>
        <v/>
      </c>
      <c r="EG175" s="108" t="str">
        <f t="shared" si="361"/>
        <v/>
      </c>
      <c r="EH175" s="109" t="str">
        <f t="shared" si="362"/>
        <v/>
      </c>
      <c r="EI175" s="109" t="str">
        <f t="shared" si="288"/>
        <v/>
      </c>
      <c r="EJ175" s="110" t="str">
        <f t="shared" si="233"/>
        <v/>
      </c>
      <c r="EL175" s="108" t="str">
        <f t="shared" si="289"/>
        <v/>
      </c>
      <c r="EM175" s="109" t="str">
        <f t="shared" si="363"/>
        <v/>
      </c>
      <c r="EN175" s="109" t="str">
        <f t="shared" si="290"/>
        <v/>
      </c>
      <c r="EO175" s="110" t="str">
        <f t="shared" si="234"/>
        <v/>
      </c>
      <c r="EQ175" s="108" t="str">
        <f t="shared" si="364"/>
        <v/>
      </c>
      <c r="ER175" s="109" t="str">
        <f t="shared" si="365"/>
        <v/>
      </c>
      <c r="ES175" s="109" t="str">
        <f t="shared" si="291"/>
        <v/>
      </c>
      <c r="ET175" s="110" t="str">
        <f t="shared" si="235"/>
        <v/>
      </c>
      <c r="EV175" s="108" t="str">
        <f t="shared" si="292"/>
        <v/>
      </c>
      <c r="EW175" s="109" t="str">
        <f t="shared" si="366"/>
        <v/>
      </c>
      <c r="EX175" s="109" t="str">
        <f t="shared" si="293"/>
        <v/>
      </c>
      <c r="EY175" s="110" t="str">
        <f t="shared" si="236"/>
        <v/>
      </c>
      <c r="FA175" s="108" t="str">
        <f t="shared" si="367"/>
        <v/>
      </c>
      <c r="FB175" s="109" t="str">
        <f t="shared" si="368"/>
        <v/>
      </c>
      <c r="FC175" s="109" t="str">
        <f t="shared" si="294"/>
        <v/>
      </c>
      <c r="FD175" s="110" t="str">
        <f t="shared" si="237"/>
        <v/>
      </c>
      <c r="FF175" s="108" t="str">
        <f t="shared" si="295"/>
        <v/>
      </c>
      <c r="FG175" s="109" t="str">
        <f t="shared" si="369"/>
        <v/>
      </c>
      <c r="FH175" s="109" t="str">
        <f t="shared" si="296"/>
        <v/>
      </c>
      <c r="FI175" s="110" t="str">
        <f t="shared" si="238"/>
        <v/>
      </c>
      <c r="FK175" s="108" t="str">
        <f t="shared" si="370"/>
        <v/>
      </c>
      <c r="FL175" s="109" t="str">
        <f t="shared" si="371"/>
        <v/>
      </c>
      <c r="FM175" s="109" t="str">
        <f t="shared" si="297"/>
        <v/>
      </c>
      <c r="FN175" s="110" t="str">
        <f t="shared" si="239"/>
        <v/>
      </c>
      <c r="FP175" s="108" t="str">
        <f t="shared" si="298"/>
        <v/>
      </c>
      <c r="FQ175" s="109" t="str">
        <f t="shared" si="372"/>
        <v/>
      </c>
      <c r="FR175" s="109" t="str">
        <f t="shared" si="299"/>
        <v/>
      </c>
      <c r="FS175" s="110" t="str">
        <f t="shared" si="240"/>
        <v/>
      </c>
      <c r="FU175" s="108" t="str">
        <f t="shared" si="373"/>
        <v/>
      </c>
      <c r="FV175" s="109" t="str">
        <f t="shared" si="374"/>
        <v/>
      </c>
      <c r="FW175" s="109" t="str">
        <f t="shared" si="300"/>
        <v/>
      </c>
      <c r="FX175" s="110" t="str">
        <f t="shared" si="241"/>
        <v/>
      </c>
      <c r="FZ175" s="108" t="str">
        <f t="shared" si="301"/>
        <v/>
      </c>
      <c r="GA175" s="109" t="str">
        <f t="shared" si="375"/>
        <v/>
      </c>
      <c r="GB175" s="109" t="str">
        <f t="shared" si="302"/>
        <v/>
      </c>
      <c r="GC175" s="110" t="str">
        <f t="shared" si="242"/>
        <v/>
      </c>
      <c r="GE175" s="108" t="str">
        <f t="shared" si="376"/>
        <v/>
      </c>
      <c r="GF175" s="109" t="str">
        <f t="shared" si="377"/>
        <v/>
      </c>
      <c r="GG175" s="109" t="str">
        <f t="shared" si="378"/>
        <v/>
      </c>
      <c r="GH175" s="110" t="str">
        <f t="shared" si="243"/>
        <v/>
      </c>
      <c r="GL175" s="108" t="str">
        <f t="shared" si="303"/>
        <v/>
      </c>
      <c r="GM175" s="109" t="str">
        <f t="shared" si="304"/>
        <v/>
      </c>
      <c r="GN175" s="109" t="str">
        <f t="shared" si="305"/>
        <v/>
      </c>
      <c r="GO175" s="110" t="str">
        <f t="shared" si="306"/>
        <v/>
      </c>
      <c r="GP175" s="51"/>
      <c r="GQ175" s="108" t="str">
        <f t="shared" si="307"/>
        <v/>
      </c>
      <c r="GR175" s="109" t="str">
        <f t="shared" si="379"/>
        <v/>
      </c>
      <c r="GS175" s="109" t="str">
        <f t="shared" si="308"/>
        <v/>
      </c>
      <c r="GT175" s="110" t="str">
        <f t="shared" si="309"/>
        <v/>
      </c>
      <c r="GU175" s="51"/>
      <c r="GV175" s="108" t="str">
        <f t="shared" si="380"/>
        <v/>
      </c>
      <c r="GW175" s="109" t="str">
        <f t="shared" si="381"/>
        <v/>
      </c>
      <c r="GX175" s="109" t="str">
        <f t="shared" si="310"/>
        <v/>
      </c>
      <c r="GY175" s="110" t="str">
        <f t="shared" si="382"/>
        <v/>
      </c>
      <c r="GZ175" s="51"/>
      <c r="HA175" s="108" t="str">
        <f t="shared" si="311"/>
        <v/>
      </c>
      <c r="HB175" s="109" t="str">
        <f t="shared" si="383"/>
        <v/>
      </c>
      <c r="HC175" s="109" t="str">
        <f t="shared" si="312"/>
        <v/>
      </c>
      <c r="HD175" s="110" t="str">
        <f t="shared" si="417"/>
        <v/>
      </c>
      <c r="HE175" s="51"/>
      <c r="HF175" s="108" t="str">
        <f t="shared" si="384"/>
        <v/>
      </c>
      <c r="HG175" s="109" t="str">
        <f t="shared" si="385"/>
        <v/>
      </c>
      <c r="HH175" s="109" t="str">
        <f t="shared" si="313"/>
        <v/>
      </c>
      <c r="HI175" s="110" t="str">
        <f t="shared" si="386"/>
        <v/>
      </c>
      <c r="HJ175" s="51"/>
      <c r="HK175" s="108" t="str">
        <f t="shared" si="314"/>
        <v/>
      </c>
      <c r="HL175" s="109" t="str">
        <f t="shared" si="387"/>
        <v/>
      </c>
      <c r="HM175" s="109" t="str">
        <f t="shared" si="315"/>
        <v/>
      </c>
      <c r="HN175" s="110" t="str">
        <f t="shared" si="418"/>
        <v/>
      </c>
      <c r="HO175" s="51"/>
      <c r="HP175" s="108" t="str">
        <f t="shared" si="388"/>
        <v/>
      </c>
      <c r="HQ175" s="109" t="str">
        <f t="shared" si="389"/>
        <v/>
      </c>
      <c r="HR175" s="109" t="str">
        <f t="shared" si="316"/>
        <v/>
      </c>
      <c r="HS175" s="110" t="str">
        <f t="shared" si="390"/>
        <v/>
      </c>
      <c r="HT175" s="51"/>
      <c r="HU175" s="108" t="str">
        <f t="shared" si="317"/>
        <v/>
      </c>
      <c r="HV175" s="109" t="str">
        <f t="shared" si="391"/>
        <v/>
      </c>
      <c r="HW175" s="109" t="str">
        <f t="shared" si="318"/>
        <v/>
      </c>
      <c r="HX175" s="110" t="str">
        <f t="shared" si="419"/>
        <v/>
      </c>
      <c r="HY175" s="51"/>
      <c r="HZ175" s="108" t="str">
        <f t="shared" si="392"/>
        <v/>
      </c>
      <c r="IA175" s="109" t="str">
        <f t="shared" si="393"/>
        <v/>
      </c>
      <c r="IB175" s="109" t="str">
        <f t="shared" si="319"/>
        <v/>
      </c>
      <c r="IC175" s="110" t="str">
        <f t="shared" si="394"/>
        <v/>
      </c>
      <c r="ID175" s="51"/>
      <c r="IE175" s="108" t="str">
        <f t="shared" si="320"/>
        <v/>
      </c>
      <c r="IF175" s="109" t="str">
        <f t="shared" si="395"/>
        <v/>
      </c>
      <c r="IG175" s="109" t="str">
        <f t="shared" si="321"/>
        <v/>
      </c>
      <c r="IH175" s="110" t="str">
        <f t="shared" si="420"/>
        <v/>
      </c>
      <c r="II175" s="51"/>
      <c r="IJ175" s="108" t="str">
        <f t="shared" si="396"/>
        <v/>
      </c>
      <c r="IK175" s="109" t="str">
        <f t="shared" si="397"/>
        <v/>
      </c>
      <c r="IL175" s="109" t="str">
        <f t="shared" si="322"/>
        <v/>
      </c>
      <c r="IM175" s="110" t="str">
        <f t="shared" si="398"/>
        <v/>
      </c>
      <c r="IN175" s="51"/>
      <c r="IO175" s="108" t="str">
        <f t="shared" si="323"/>
        <v/>
      </c>
      <c r="IP175" s="109" t="str">
        <f t="shared" si="399"/>
        <v/>
      </c>
      <c r="IQ175" s="109" t="str">
        <f t="shared" si="324"/>
        <v/>
      </c>
      <c r="IR175" s="110" t="str">
        <f t="shared" si="421"/>
        <v/>
      </c>
      <c r="IS175" s="51"/>
      <c r="IT175" s="108" t="str">
        <f t="shared" si="400"/>
        <v/>
      </c>
      <c r="IU175" s="109" t="str">
        <f t="shared" si="401"/>
        <v/>
      </c>
      <c r="IV175" s="109" t="str">
        <f t="shared" si="325"/>
        <v/>
      </c>
      <c r="IW175" s="110" t="str">
        <f t="shared" si="402"/>
        <v/>
      </c>
      <c r="IX175" s="51"/>
      <c r="IY175" s="108" t="str">
        <f t="shared" si="326"/>
        <v/>
      </c>
      <c r="IZ175" s="109" t="str">
        <f t="shared" si="403"/>
        <v/>
      </c>
      <c r="JA175" s="109" t="str">
        <f t="shared" si="327"/>
        <v/>
      </c>
      <c r="JB175" s="110" t="str">
        <f t="shared" si="422"/>
        <v/>
      </c>
      <c r="JC175" s="51"/>
      <c r="JD175" s="108" t="str">
        <f t="shared" si="404"/>
        <v/>
      </c>
      <c r="JE175" s="109" t="str">
        <f t="shared" si="405"/>
        <v/>
      </c>
      <c r="JF175" s="109" t="str">
        <f t="shared" si="328"/>
        <v/>
      </c>
      <c r="JG175" s="110" t="str">
        <f t="shared" si="406"/>
        <v/>
      </c>
      <c r="JH175" s="51"/>
      <c r="JI175" s="108" t="str">
        <f t="shared" si="329"/>
        <v/>
      </c>
      <c r="JJ175" s="109" t="str">
        <f t="shared" si="407"/>
        <v/>
      </c>
      <c r="JK175" s="109" t="str">
        <f t="shared" si="330"/>
        <v/>
      </c>
      <c r="JL175" s="110" t="str">
        <f t="shared" si="423"/>
        <v/>
      </c>
      <c r="JM175" s="51"/>
      <c r="JN175" s="108" t="str">
        <f t="shared" si="408"/>
        <v/>
      </c>
      <c r="JO175" s="109" t="str">
        <f t="shared" si="409"/>
        <v/>
      </c>
      <c r="JP175" s="109" t="str">
        <f t="shared" si="331"/>
        <v/>
      </c>
      <c r="JQ175" s="110" t="str">
        <f t="shared" si="410"/>
        <v/>
      </c>
      <c r="JR175" s="51"/>
      <c r="JS175" s="108" t="str">
        <f t="shared" si="332"/>
        <v/>
      </c>
      <c r="JT175" s="109" t="str">
        <f t="shared" si="411"/>
        <v/>
      </c>
      <c r="JU175" s="109" t="str">
        <f t="shared" si="333"/>
        <v/>
      </c>
      <c r="JV175" s="110" t="str">
        <f t="shared" si="424"/>
        <v/>
      </c>
      <c r="JW175" s="51"/>
      <c r="JX175" s="108" t="str">
        <f t="shared" si="412"/>
        <v/>
      </c>
      <c r="JY175" s="109" t="str">
        <f t="shared" si="413"/>
        <v/>
      </c>
      <c r="JZ175" s="109" t="str">
        <f t="shared" si="334"/>
        <v/>
      </c>
      <c r="KA175" s="110" t="str">
        <f t="shared" si="335"/>
        <v/>
      </c>
    </row>
    <row r="176" spans="1:287" ht="12" customHeight="1">
      <c r="A176" s="105">
        <f t="array" ref="A176">MAX(IF($J$80:J175&gt;0,$C$80:C175,0))</f>
        <v>43536</v>
      </c>
      <c r="B176" s="81" t="str">
        <f t="shared" si="248"/>
        <v/>
      </c>
      <c r="C176" s="82">
        <f t="shared" si="414"/>
        <v>0</v>
      </c>
      <c r="D176" s="83" t="str">
        <f t="shared" si="249"/>
        <v/>
      </c>
      <c r="E176" s="83" t="str">
        <f t="shared" si="336"/>
        <v/>
      </c>
      <c r="F176" s="83" t="str">
        <f t="shared" si="250"/>
        <v/>
      </c>
      <c r="G176" s="83" t="str">
        <f t="shared" si="251"/>
        <v/>
      </c>
      <c r="H176" s="83" t="str">
        <f t="shared" si="252"/>
        <v/>
      </c>
      <c r="I176" s="105">
        <f t="array" ref="I176">MAX(IF($R$80:R175&gt;0,$L$80:L175,0))</f>
        <v>0</v>
      </c>
      <c r="J176" s="106"/>
      <c r="K176" s="2" t="str">
        <f t="shared" si="253"/>
        <v/>
      </c>
      <c r="L176" s="82">
        <f t="shared" si="415"/>
        <v>0</v>
      </c>
      <c r="M176" s="83" t="str">
        <f t="shared" si="337"/>
        <v/>
      </c>
      <c r="N176" s="83" t="str">
        <f t="shared" si="254"/>
        <v/>
      </c>
      <c r="O176" s="83" t="str">
        <f t="shared" si="255"/>
        <v/>
      </c>
      <c r="P176" s="83" t="str">
        <f t="shared" si="256"/>
        <v/>
      </c>
      <c r="Q176" s="83" t="str">
        <f t="shared" si="257"/>
        <v/>
      </c>
      <c r="R176" s="106"/>
      <c r="S176" s="1"/>
      <c r="U176" s="85" t="e">
        <f t="shared" si="244"/>
        <v>#NUM!</v>
      </c>
      <c r="V176" s="86" t="e">
        <f t="shared" si="338"/>
        <v>#NUM!</v>
      </c>
      <c r="W176" s="87" t="e">
        <f t="shared" si="258"/>
        <v>#NUM!</v>
      </c>
      <c r="X176" s="87" t="e">
        <f t="shared" si="259"/>
        <v>#NUM!</v>
      </c>
      <c r="Y176" s="87" t="e">
        <f t="shared" si="260"/>
        <v>#NUM!</v>
      </c>
      <c r="Z176" s="88" t="e">
        <f t="shared" si="245"/>
        <v>#NUM!</v>
      </c>
      <c r="AA176" t="s">
        <v>282</v>
      </c>
      <c r="AB176" s="89">
        <f t="shared" si="339"/>
        <v>0</v>
      </c>
      <c r="AC176" s="87">
        <f t="shared" si="340"/>
        <v>0</v>
      </c>
      <c r="AD176" s="87" t="str">
        <f t="shared" si="261"/>
        <v/>
      </c>
      <c r="AE176" s="87" t="str">
        <f t="shared" si="262"/>
        <v/>
      </c>
      <c r="AF176" s="86">
        <f t="shared" si="341"/>
        <v>0</v>
      </c>
      <c r="AG176" s="87">
        <f t="shared" si="246"/>
        <v>0</v>
      </c>
      <c r="AH176" s="87">
        <f t="shared" si="342"/>
        <v>0</v>
      </c>
      <c r="AI176" s="90"/>
      <c r="AJ176" s="87" t="e">
        <f t="shared" si="263"/>
        <v>#NUM!</v>
      </c>
      <c r="AK176" s="87" t="e">
        <f t="shared" si="343"/>
        <v>#NUM!</v>
      </c>
      <c r="AL176" s="87" t="e">
        <f t="shared" si="344"/>
        <v>#NUM!</v>
      </c>
      <c r="AM176" s="87" t="e">
        <f t="shared" si="345"/>
        <v>#NUM!</v>
      </c>
      <c r="AN176" s="86">
        <f t="shared" si="264"/>
        <v>0</v>
      </c>
      <c r="AO176" s="87">
        <f t="shared" si="265"/>
        <v>0</v>
      </c>
      <c r="AP176" s="88">
        <f t="shared" si="266"/>
        <v>0</v>
      </c>
      <c r="AR176" s="89">
        <f t="shared" si="267"/>
        <v>0</v>
      </c>
      <c r="AS176" s="87">
        <f t="shared" si="268"/>
        <v>0</v>
      </c>
      <c r="AT176" s="87" t="str">
        <f t="shared" si="269"/>
        <v/>
      </c>
      <c r="AU176" s="87" t="str">
        <f t="shared" si="270"/>
        <v/>
      </c>
      <c r="AV176" s="86">
        <f t="shared" si="346"/>
        <v>0</v>
      </c>
      <c r="AW176" s="87">
        <f t="shared" si="347"/>
        <v>0</v>
      </c>
      <c r="AX176" s="87">
        <f t="shared" si="348"/>
        <v>0</v>
      </c>
      <c r="AY176" s="93"/>
      <c r="AZ176" s="87">
        <f t="shared" si="425"/>
        <v>0</v>
      </c>
      <c r="BA176" s="87">
        <f t="shared" si="349"/>
        <v>0</v>
      </c>
      <c r="BB176" s="87">
        <f t="shared" si="350"/>
        <v>0</v>
      </c>
      <c r="BC176" s="87">
        <f t="shared" si="416"/>
        <v>0</v>
      </c>
      <c r="BD176" s="86" t="e">
        <f t="shared" si="271"/>
        <v>#NUM!</v>
      </c>
      <c r="BE176" s="87" t="e">
        <f t="shared" si="247"/>
        <v>#NUM!</v>
      </c>
      <c r="BF176" s="88">
        <f t="shared" si="351"/>
        <v>0</v>
      </c>
      <c r="BH176" s="87" t="e">
        <f t="shared" si="272"/>
        <v>#NUM!</v>
      </c>
      <c r="BK176" s="95">
        <v>41747</v>
      </c>
      <c r="BL176" s="96">
        <v>97</v>
      </c>
      <c r="CS176" s="108" t="str">
        <f t="shared" si="273"/>
        <v/>
      </c>
      <c r="CT176" s="109" t="str">
        <f t="shared" si="274"/>
        <v/>
      </c>
      <c r="CU176" s="109" t="str">
        <f t="shared" si="275"/>
        <v/>
      </c>
      <c r="CV176" s="110" t="str">
        <f t="shared" si="225"/>
        <v/>
      </c>
      <c r="CX176" s="108" t="str">
        <f t="shared" si="276"/>
        <v/>
      </c>
      <c r="CY176" s="109" t="str">
        <f t="shared" si="352"/>
        <v/>
      </c>
      <c r="CZ176" s="109" t="str">
        <f t="shared" si="277"/>
        <v/>
      </c>
      <c r="DA176" s="110" t="str">
        <f t="shared" si="226"/>
        <v/>
      </c>
      <c r="DC176" s="108" t="str">
        <f t="shared" si="353"/>
        <v/>
      </c>
      <c r="DD176" s="109" t="str">
        <f t="shared" si="354"/>
        <v/>
      </c>
      <c r="DE176" s="109" t="str">
        <f t="shared" si="278"/>
        <v/>
      </c>
      <c r="DF176" s="110" t="str">
        <f t="shared" si="227"/>
        <v/>
      </c>
      <c r="DH176" s="108" t="str">
        <f t="shared" si="279"/>
        <v/>
      </c>
      <c r="DI176" s="109" t="str">
        <f t="shared" si="280"/>
        <v/>
      </c>
      <c r="DJ176" s="109" t="str">
        <f t="shared" si="281"/>
        <v/>
      </c>
      <c r="DK176" s="110" t="str">
        <f t="shared" si="228"/>
        <v/>
      </c>
      <c r="DM176" s="108" t="str">
        <f t="shared" si="355"/>
        <v/>
      </c>
      <c r="DN176" s="109" t="str">
        <f t="shared" si="356"/>
        <v/>
      </c>
      <c r="DO176" s="109" t="str">
        <f t="shared" si="282"/>
        <v/>
      </c>
      <c r="DP176" s="110" t="str">
        <f t="shared" si="229"/>
        <v/>
      </c>
      <c r="DR176" s="108" t="str">
        <f t="shared" si="283"/>
        <v/>
      </c>
      <c r="DS176" s="109" t="str">
        <f t="shared" si="357"/>
        <v/>
      </c>
      <c r="DT176" s="109" t="str">
        <f t="shared" si="284"/>
        <v/>
      </c>
      <c r="DU176" s="110" t="str">
        <f t="shared" si="230"/>
        <v/>
      </c>
      <c r="DW176" s="108" t="str">
        <f t="shared" si="358"/>
        <v/>
      </c>
      <c r="DX176" s="109" t="str">
        <f t="shared" si="359"/>
        <v/>
      </c>
      <c r="DY176" s="109" t="str">
        <f t="shared" si="285"/>
        <v/>
      </c>
      <c r="DZ176" s="110" t="str">
        <f t="shared" si="231"/>
        <v/>
      </c>
      <c r="EB176" s="108" t="str">
        <f t="shared" si="286"/>
        <v/>
      </c>
      <c r="EC176" s="109" t="str">
        <f t="shared" si="360"/>
        <v/>
      </c>
      <c r="ED176" s="109" t="str">
        <f t="shared" si="287"/>
        <v/>
      </c>
      <c r="EE176" s="110" t="str">
        <f t="shared" si="232"/>
        <v/>
      </c>
      <c r="EG176" s="108" t="str">
        <f t="shared" si="361"/>
        <v/>
      </c>
      <c r="EH176" s="109" t="str">
        <f t="shared" si="362"/>
        <v/>
      </c>
      <c r="EI176" s="109" t="str">
        <f t="shared" si="288"/>
        <v/>
      </c>
      <c r="EJ176" s="110" t="str">
        <f t="shared" si="233"/>
        <v/>
      </c>
      <c r="EL176" s="108" t="str">
        <f t="shared" si="289"/>
        <v/>
      </c>
      <c r="EM176" s="109" t="str">
        <f t="shared" si="363"/>
        <v/>
      </c>
      <c r="EN176" s="109" t="str">
        <f t="shared" si="290"/>
        <v/>
      </c>
      <c r="EO176" s="110" t="str">
        <f t="shared" si="234"/>
        <v/>
      </c>
      <c r="EQ176" s="108" t="str">
        <f t="shared" si="364"/>
        <v/>
      </c>
      <c r="ER176" s="109" t="str">
        <f t="shared" si="365"/>
        <v/>
      </c>
      <c r="ES176" s="109" t="str">
        <f t="shared" si="291"/>
        <v/>
      </c>
      <c r="ET176" s="110" t="str">
        <f t="shared" si="235"/>
        <v/>
      </c>
      <c r="EV176" s="108" t="str">
        <f t="shared" si="292"/>
        <v/>
      </c>
      <c r="EW176" s="109" t="str">
        <f t="shared" si="366"/>
        <v/>
      </c>
      <c r="EX176" s="109" t="str">
        <f t="shared" si="293"/>
        <v/>
      </c>
      <c r="EY176" s="110" t="str">
        <f t="shared" si="236"/>
        <v/>
      </c>
      <c r="FA176" s="108" t="str">
        <f t="shared" si="367"/>
        <v/>
      </c>
      <c r="FB176" s="109" t="str">
        <f t="shared" si="368"/>
        <v/>
      </c>
      <c r="FC176" s="109" t="str">
        <f t="shared" si="294"/>
        <v/>
      </c>
      <c r="FD176" s="110" t="str">
        <f t="shared" si="237"/>
        <v/>
      </c>
      <c r="FF176" s="108" t="str">
        <f t="shared" si="295"/>
        <v/>
      </c>
      <c r="FG176" s="109" t="str">
        <f t="shared" si="369"/>
        <v/>
      </c>
      <c r="FH176" s="109" t="str">
        <f t="shared" si="296"/>
        <v/>
      </c>
      <c r="FI176" s="110" t="str">
        <f t="shared" si="238"/>
        <v/>
      </c>
      <c r="FK176" s="108" t="str">
        <f t="shared" si="370"/>
        <v/>
      </c>
      <c r="FL176" s="109" t="str">
        <f t="shared" si="371"/>
        <v/>
      </c>
      <c r="FM176" s="109" t="str">
        <f t="shared" si="297"/>
        <v/>
      </c>
      <c r="FN176" s="110" t="str">
        <f t="shared" si="239"/>
        <v/>
      </c>
      <c r="FP176" s="108" t="str">
        <f t="shared" si="298"/>
        <v/>
      </c>
      <c r="FQ176" s="109" t="str">
        <f t="shared" si="372"/>
        <v/>
      </c>
      <c r="FR176" s="109" t="str">
        <f t="shared" si="299"/>
        <v/>
      </c>
      <c r="FS176" s="110" t="str">
        <f t="shared" si="240"/>
        <v/>
      </c>
      <c r="FU176" s="108" t="str">
        <f t="shared" si="373"/>
        <v/>
      </c>
      <c r="FV176" s="109" t="str">
        <f t="shared" si="374"/>
        <v/>
      </c>
      <c r="FW176" s="109" t="str">
        <f t="shared" si="300"/>
        <v/>
      </c>
      <c r="FX176" s="110" t="str">
        <f t="shared" si="241"/>
        <v/>
      </c>
      <c r="FZ176" s="108" t="str">
        <f t="shared" si="301"/>
        <v/>
      </c>
      <c r="GA176" s="109" t="str">
        <f t="shared" si="375"/>
        <v/>
      </c>
      <c r="GB176" s="109" t="str">
        <f t="shared" si="302"/>
        <v/>
      </c>
      <c r="GC176" s="110" t="str">
        <f t="shared" si="242"/>
        <v/>
      </c>
      <c r="GE176" s="108" t="str">
        <f t="shared" si="376"/>
        <v/>
      </c>
      <c r="GF176" s="109" t="str">
        <f t="shared" si="377"/>
        <v/>
      </c>
      <c r="GG176" s="109" t="str">
        <f t="shared" si="378"/>
        <v/>
      </c>
      <c r="GH176" s="110" t="str">
        <f t="shared" si="243"/>
        <v/>
      </c>
      <c r="GL176" s="108" t="str">
        <f t="shared" si="303"/>
        <v/>
      </c>
      <c r="GM176" s="109" t="str">
        <f t="shared" si="304"/>
        <v/>
      </c>
      <c r="GN176" s="109" t="str">
        <f t="shared" si="305"/>
        <v/>
      </c>
      <c r="GO176" s="110" t="str">
        <f t="shared" si="306"/>
        <v/>
      </c>
      <c r="GP176" s="51"/>
      <c r="GQ176" s="108" t="str">
        <f t="shared" si="307"/>
        <v/>
      </c>
      <c r="GR176" s="109" t="str">
        <f t="shared" si="379"/>
        <v/>
      </c>
      <c r="GS176" s="109" t="str">
        <f t="shared" si="308"/>
        <v/>
      </c>
      <c r="GT176" s="110" t="str">
        <f t="shared" si="309"/>
        <v/>
      </c>
      <c r="GU176" s="51"/>
      <c r="GV176" s="108" t="str">
        <f t="shared" si="380"/>
        <v/>
      </c>
      <c r="GW176" s="109" t="str">
        <f t="shared" si="381"/>
        <v/>
      </c>
      <c r="GX176" s="109" t="str">
        <f t="shared" si="310"/>
        <v/>
      </c>
      <c r="GY176" s="110" t="str">
        <f t="shared" si="382"/>
        <v/>
      </c>
      <c r="GZ176" s="51"/>
      <c r="HA176" s="108" t="str">
        <f t="shared" si="311"/>
        <v/>
      </c>
      <c r="HB176" s="109" t="str">
        <f t="shared" si="383"/>
        <v/>
      </c>
      <c r="HC176" s="109" t="str">
        <f t="shared" si="312"/>
        <v/>
      </c>
      <c r="HD176" s="110" t="str">
        <f t="shared" si="417"/>
        <v/>
      </c>
      <c r="HE176" s="51"/>
      <c r="HF176" s="108" t="str">
        <f t="shared" si="384"/>
        <v/>
      </c>
      <c r="HG176" s="109" t="str">
        <f t="shared" si="385"/>
        <v/>
      </c>
      <c r="HH176" s="109" t="str">
        <f t="shared" si="313"/>
        <v/>
      </c>
      <c r="HI176" s="110" t="str">
        <f t="shared" si="386"/>
        <v/>
      </c>
      <c r="HJ176" s="51"/>
      <c r="HK176" s="108" t="str">
        <f t="shared" si="314"/>
        <v/>
      </c>
      <c r="HL176" s="109" t="str">
        <f t="shared" si="387"/>
        <v/>
      </c>
      <c r="HM176" s="109" t="str">
        <f t="shared" si="315"/>
        <v/>
      </c>
      <c r="HN176" s="110" t="str">
        <f t="shared" si="418"/>
        <v/>
      </c>
      <c r="HO176" s="51"/>
      <c r="HP176" s="108" t="str">
        <f t="shared" si="388"/>
        <v/>
      </c>
      <c r="HQ176" s="109" t="str">
        <f t="shared" si="389"/>
        <v/>
      </c>
      <c r="HR176" s="109" t="str">
        <f t="shared" si="316"/>
        <v/>
      </c>
      <c r="HS176" s="110" t="str">
        <f t="shared" si="390"/>
        <v/>
      </c>
      <c r="HT176" s="51"/>
      <c r="HU176" s="108" t="str">
        <f t="shared" si="317"/>
        <v/>
      </c>
      <c r="HV176" s="109" t="str">
        <f t="shared" si="391"/>
        <v/>
      </c>
      <c r="HW176" s="109" t="str">
        <f t="shared" si="318"/>
        <v/>
      </c>
      <c r="HX176" s="110" t="str">
        <f t="shared" si="419"/>
        <v/>
      </c>
      <c r="HY176" s="51"/>
      <c r="HZ176" s="108" t="str">
        <f t="shared" si="392"/>
        <v/>
      </c>
      <c r="IA176" s="109" t="str">
        <f t="shared" si="393"/>
        <v/>
      </c>
      <c r="IB176" s="109" t="str">
        <f t="shared" si="319"/>
        <v/>
      </c>
      <c r="IC176" s="110" t="str">
        <f t="shared" si="394"/>
        <v/>
      </c>
      <c r="ID176" s="51"/>
      <c r="IE176" s="108" t="str">
        <f t="shared" si="320"/>
        <v/>
      </c>
      <c r="IF176" s="109" t="str">
        <f t="shared" si="395"/>
        <v/>
      </c>
      <c r="IG176" s="109" t="str">
        <f t="shared" si="321"/>
        <v/>
      </c>
      <c r="IH176" s="110" t="str">
        <f t="shared" si="420"/>
        <v/>
      </c>
      <c r="II176" s="51"/>
      <c r="IJ176" s="108" t="str">
        <f t="shared" si="396"/>
        <v/>
      </c>
      <c r="IK176" s="109" t="str">
        <f t="shared" si="397"/>
        <v/>
      </c>
      <c r="IL176" s="109" t="str">
        <f t="shared" si="322"/>
        <v/>
      </c>
      <c r="IM176" s="110" t="str">
        <f t="shared" si="398"/>
        <v/>
      </c>
      <c r="IN176" s="51"/>
      <c r="IO176" s="108" t="str">
        <f t="shared" si="323"/>
        <v/>
      </c>
      <c r="IP176" s="109" t="str">
        <f t="shared" si="399"/>
        <v/>
      </c>
      <c r="IQ176" s="109" t="str">
        <f t="shared" si="324"/>
        <v/>
      </c>
      <c r="IR176" s="110" t="str">
        <f t="shared" si="421"/>
        <v/>
      </c>
      <c r="IS176" s="51"/>
      <c r="IT176" s="108" t="str">
        <f t="shared" si="400"/>
        <v/>
      </c>
      <c r="IU176" s="109" t="str">
        <f t="shared" si="401"/>
        <v/>
      </c>
      <c r="IV176" s="109" t="str">
        <f t="shared" si="325"/>
        <v/>
      </c>
      <c r="IW176" s="110" t="str">
        <f t="shared" si="402"/>
        <v/>
      </c>
      <c r="IX176" s="51"/>
      <c r="IY176" s="108" t="str">
        <f t="shared" si="326"/>
        <v/>
      </c>
      <c r="IZ176" s="109" t="str">
        <f t="shared" si="403"/>
        <v/>
      </c>
      <c r="JA176" s="109" t="str">
        <f t="shared" si="327"/>
        <v/>
      </c>
      <c r="JB176" s="110" t="str">
        <f t="shared" si="422"/>
        <v/>
      </c>
      <c r="JC176" s="51"/>
      <c r="JD176" s="108" t="str">
        <f t="shared" si="404"/>
        <v/>
      </c>
      <c r="JE176" s="109" t="str">
        <f t="shared" si="405"/>
        <v/>
      </c>
      <c r="JF176" s="109" t="str">
        <f t="shared" si="328"/>
        <v/>
      </c>
      <c r="JG176" s="110" t="str">
        <f t="shared" si="406"/>
        <v/>
      </c>
      <c r="JH176" s="51"/>
      <c r="JI176" s="108" t="str">
        <f t="shared" si="329"/>
        <v/>
      </c>
      <c r="JJ176" s="109" t="str">
        <f t="shared" si="407"/>
        <v/>
      </c>
      <c r="JK176" s="109" t="str">
        <f t="shared" si="330"/>
        <v/>
      </c>
      <c r="JL176" s="110" t="str">
        <f t="shared" si="423"/>
        <v/>
      </c>
      <c r="JM176" s="51"/>
      <c r="JN176" s="108" t="str">
        <f t="shared" si="408"/>
        <v/>
      </c>
      <c r="JO176" s="109" t="str">
        <f t="shared" si="409"/>
        <v/>
      </c>
      <c r="JP176" s="109" t="str">
        <f t="shared" si="331"/>
        <v/>
      </c>
      <c r="JQ176" s="110" t="str">
        <f t="shared" si="410"/>
        <v/>
      </c>
      <c r="JR176" s="51"/>
      <c r="JS176" s="108" t="str">
        <f t="shared" si="332"/>
        <v/>
      </c>
      <c r="JT176" s="109" t="str">
        <f t="shared" si="411"/>
        <v/>
      </c>
      <c r="JU176" s="109" t="str">
        <f t="shared" si="333"/>
        <v/>
      </c>
      <c r="JV176" s="110" t="str">
        <f t="shared" si="424"/>
        <v/>
      </c>
      <c r="JW176" s="51"/>
      <c r="JX176" s="108" t="str">
        <f t="shared" si="412"/>
        <v/>
      </c>
      <c r="JY176" s="109" t="str">
        <f t="shared" si="413"/>
        <v/>
      </c>
      <c r="JZ176" s="109" t="str">
        <f t="shared" si="334"/>
        <v/>
      </c>
      <c r="KA176" s="110" t="str">
        <f t="shared" si="335"/>
        <v/>
      </c>
    </row>
    <row r="177" spans="1:287" ht="12" customHeight="1">
      <c r="A177" s="105">
        <f t="array" ref="A177">MAX(IF($J$80:J176&gt;0,$C$80:C176,0))</f>
        <v>43536</v>
      </c>
      <c r="B177" s="81" t="str">
        <f t="shared" si="248"/>
        <v/>
      </c>
      <c r="C177" s="82">
        <f t="shared" si="414"/>
        <v>0</v>
      </c>
      <c r="D177" s="83" t="str">
        <f t="shared" si="249"/>
        <v/>
      </c>
      <c r="E177" s="83" t="str">
        <f t="shared" si="336"/>
        <v/>
      </c>
      <c r="F177" s="83" t="str">
        <f t="shared" si="250"/>
        <v/>
      </c>
      <c r="G177" s="83" t="str">
        <f t="shared" si="251"/>
        <v/>
      </c>
      <c r="H177" s="83" t="str">
        <f t="shared" si="252"/>
        <v/>
      </c>
      <c r="I177" s="105">
        <f t="array" ref="I177">MAX(IF($R$80:R176&gt;0,$L$80:L176,0))</f>
        <v>0</v>
      </c>
      <c r="J177" s="106"/>
      <c r="K177" s="2" t="str">
        <f t="shared" si="253"/>
        <v/>
      </c>
      <c r="L177" s="82">
        <f t="shared" si="415"/>
        <v>0</v>
      </c>
      <c r="M177" s="83" t="str">
        <f t="shared" si="337"/>
        <v/>
      </c>
      <c r="N177" s="83" t="str">
        <f t="shared" si="254"/>
        <v/>
      </c>
      <c r="O177" s="83" t="str">
        <f t="shared" si="255"/>
        <v/>
      </c>
      <c r="P177" s="83" t="str">
        <f t="shared" si="256"/>
        <v/>
      </c>
      <c r="Q177" s="83" t="str">
        <f t="shared" si="257"/>
        <v/>
      </c>
      <c r="R177" s="106"/>
      <c r="S177" s="1"/>
      <c r="U177" s="85" t="e">
        <f t="shared" si="244"/>
        <v>#NUM!</v>
      </c>
      <c r="V177" s="86" t="e">
        <f t="shared" si="338"/>
        <v>#NUM!</v>
      </c>
      <c r="W177" s="87" t="e">
        <f t="shared" si="258"/>
        <v>#NUM!</v>
      </c>
      <c r="X177" s="87" t="e">
        <f t="shared" si="259"/>
        <v>#NUM!</v>
      </c>
      <c r="Y177" s="87" t="e">
        <f t="shared" si="260"/>
        <v>#NUM!</v>
      </c>
      <c r="Z177" s="88" t="e">
        <f t="shared" si="245"/>
        <v>#NUM!</v>
      </c>
      <c r="AA177" t="s">
        <v>282</v>
      </c>
      <c r="AB177" s="89">
        <f t="shared" si="339"/>
        <v>0</v>
      </c>
      <c r="AC177" s="87">
        <f t="shared" si="340"/>
        <v>0</v>
      </c>
      <c r="AD177" s="87" t="str">
        <f t="shared" si="261"/>
        <v/>
      </c>
      <c r="AE177" s="87" t="str">
        <f t="shared" si="262"/>
        <v/>
      </c>
      <c r="AF177" s="86">
        <f t="shared" si="341"/>
        <v>0</v>
      </c>
      <c r="AG177" s="87">
        <f t="shared" si="246"/>
        <v>0</v>
      </c>
      <c r="AH177" s="87">
        <f t="shared" si="342"/>
        <v>0</v>
      </c>
      <c r="AI177" s="90"/>
      <c r="AJ177" s="87" t="e">
        <f t="shared" si="263"/>
        <v>#NUM!</v>
      </c>
      <c r="AK177" s="87" t="e">
        <f t="shared" si="343"/>
        <v>#NUM!</v>
      </c>
      <c r="AL177" s="87" t="e">
        <f t="shared" si="344"/>
        <v>#NUM!</v>
      </c>
      <c r="AM177" s="87" t="e">
        <f t="shared" si="345"/>
        <v>#NUM!</v>
      </c>
      <c r="AN177" s="86">
        <f t="shared" si="264"/>
        <v>0</v>
      </c>
      <c r="AO177" s="87">
        <f t="shared" si="265"/>
        <v>0</v>
      </c>
      <c r="AP177" s="88">
        <f t="shared" si="266"/>
        <v>0</v>
      </c>
      <c r="AR177" s="89">
        <f t="shared" si="267"/>
        <v>0</v>
      </c>
      <c r="AS177" s="87">
        <f t="shared" si="268"/>
        <v>0</v>
      </c>
      <c r="AT177" s="87" t="str">
        <f t="shared" si="269"/>
        <v/>
      </c>
      <c r="AU177" s="87" t="str">
        <f t="shared" si="270"/>
        <v/>
      </c>
      <c r="AV177" s="86">
        <f t="shared" si="346"/>
        <v>0</v>
      </c>
      <c r="AW177" s="87">
        <f t="shared" si="347"/>
        <v>0</v>
      </c>
      <c r="AX177" s="87">
        <f t="shared" si="348"/>
        <v>0</v>
      </c>
      <c r="AY177" s="93"/>
      <c r="AZ177" s="87">
        <f t="shared" si="425"/>
        <v>0</v>
      </c>
      <c r="BA177" s="87">
        <f t="shared" si="349"/>
        <v>0</v>
      </c>
      <c r="BB177" s="87">
        <f t="shared" si="350"/>
        <v>0</v>
      </c>
      <c r="BC177" s="87">
        <f t="shared" si="416"/>
        <v>0</v>
      </c>
      <c r="BD177" s="86" t="e">
        <f t="shared" si="271"/>
        <v>#NUM!</v>
      </c>
      <c r="BE177" s="87" t="e">
        <f t="shared" si="247"/>
        <v>#NUM!</v>
      </c>
      <c r="BF177" s="88">
        <f t="shared" si="351"/>
        <v>0</v>
      </c>
      <c r="BH177" s="87" t="e">
        <f t="shared" si="272"/>
        <v>#NUM!</v>
      </c>
      <c r="BK177" s="95">
        <v>41750</v>
      </c>
      <c r="BL177" s="96">
        <v>98</v>
      </c>
      <c r="CS177" s="108" t="str">
        <f t="shared" si="273"/>
        <v/>
      </c>
      <c r="CT177" s="109" t="str">
        <f t="shared" si="274"/>
        <v/>
      </c>
      <c r="CU177" s="109" t="str">
        <f t="shared" si="275"/>
        <v/>
      </c>
      <c r="CV177" s="110" t="str">
        <f t="shared" si="225"/>
        <v/>
      </c>
      <c r="CX177" s="108" t="str">
        <f t="shared" si="276"/>
        <v/>
      </c>
      <c r="CY177" s="109" t="str">
        <f t="shared" si="352"/>
        <v/>
      </c>
      <c r="CZ177" s="109" t="str">
        <f t="shared" si="277"/>
        <v/>
      </c>
      <c r="DA177" s="110" t="str">
        <f t="shared" si="226"/>
        <v/>
      </c>
      <c r="DC177" s="108" t="str">
        <f t="shared" si="353"/>
        <v/>
      </c>
      <c r="DD177" s="109" t="str">
        <f t="shared" si="354"/>
        <v/>
      </c>
      <c r="DE177" s="109" t="str">
        <f t="shared" si="278"/>
        <v/>
      </c>
      <c r="DF177" s="110" t="str">
        <f t="shared" si="227"/>
        <v/>
      </c>
      <c r="DH177" s="108" t="str">
        <f t="shared" si="279"/>
        <v/>
      </c>
      <c r="DI177" s="109" t="str">
        <f t="shared" si="280"/>
        <v/>
      </c>
      <c r="DJ177" s="109" t="str">
        <f t="shared" si="281"/>
        <v/>
      </c>
      <c r="DK177" s="110" t="str">
        <f t="shared" si="228"/>
        <v/>
      </c>
      <c r="DM177" s="108" t="str">
        <f t="shared" si="355"/>
        <v/>
      </c>
      <c r="DN177" s="109" t="str">
        <f t="shared" si="356"/>
        <v/>
      </c>
      <c r="DO177" s="109" t="str">
        <f t="shared" si="282"/>
        <v/>
      </c>
      <c r="DP177" s="110" t="str">
        <f t="shared" si="229"/>
        <v/>
      </c>
      <c r="DR177" s="108" t="str">
        <f t="shared" si="283"/>
        <v/>
      </c>
      <c r="DS177" s="109" t="str">
        <f t="shared" si="357"/>
        <v/>
      </c>
      <c r="DT177" s="109" t="str">
        <f t="shared" si="284"/>
        <v/>
      </c>
      <c r="DU177" s="110" t="str">
        <f t="shared" si="230"/>
        <v/>
      </c>
      <c r="DW177" s="108" t="str">
        <f t="shared" si="358"/>
        <v/>
      </c>
      <c r="DX177" s="109" t="str">
        <f t="shared" si="359"/>
        <v/>
      </c>
      <c r="DY177" s="109" t="str">
        <f t="shared" si="285"/>
        <v/>
      </c>
      <c r="DZ177" s="110" t="str">
        <f t="shared" si="231"/>
        <v/>
      </c>
      <c r="EB177" s="108" t="str">
        <f t="shared" si="286"/>
        <v/>
      </c>
      <c r="EC177" s="109" t="str">
        <f t="shared" si="360"/>
        <v/>
      </c>
      <c r="ED177" s="109" t="str">
        <f t="shared" si="287"/>
        <v/>
      </c>
      <c r="EE177" s="110" t="str">
        <f t="shared" si="232"/>
        <v/>
      </c>
      <c r="EG177" s="108" t="str">
        <f t="shared" si="361"/>
        <v/>
      </c>
      <c r="EH177" s="109" t="str">
        <f t="shared" si="362"/>
        <v/>
      </c>
      <c r="EI177" s="109" t="str">
        <f t="shared" si="288"/>
        <v/>
      </c>
      <c r="EJ177" s="110" t="str">
        <f t="shared" si="233"/>
        <v/>
      </c>
      <c r="EL177" s="108" t="str">
        <f t="shared" si="289"/>
        <v/>
      </c>
      <c r="EM177" s="109" t="str">
        <f t="shared" si="363"/>
        <v/>
      </c>
      <c r="EN177" s="109" t="str">
        <f t="shared" si="290"/>
        <v/>
      </c>
      <c r="EO177" s="110" t="str">
        <f t="shared" si="234"/>
        <v/>
      </c>
      <c r="EQ177" s="108" t="str">
        <f t="shared" si="364"/>
        <v/>
      </c>
      <c r="ER177" s="109" t="str">
        <f t="shared" si="365"/>
        <v/>
      </c>
      <c r="ES177" s="109" t="str">
        <f t="shared" si="291"/>
        <v/>
      </c>
      <c r="ET177" s="110" t="str">
        <f t="shared" si="235"/>
        <v/>
      </c>
      <c r="EV177" s="108" t="str">
        <f t="shared" si="292"/>
        <v/>
      </c>
      <c r="EW177" s="109" t="str">
        <f t="shared" si="366"/>
        <v/>
      </c>
      <c r="EX177" s="109" t="str">
        <f t="shared" si="293"/>
        <v/>
      </c>
      <c r="EY177" s="110" t="str">
        <f t="shared" si="236"/>
        <v/>
      </c>
      <c r="FA177" s="108" t="str">
        <f t="shared" si="367"/>
        <v/>
      </c>
      <c r="FB177" s="109" t="str">
        <f t="shared" si="368"/>
        <v/>
      </c>
      <c r="FC177" s="109" t="str">
        <f t="shared" si="294"/>
        <v/>
      </c>
      <c r="FD177" s="110" t="str">
        <f t="shared" si="237"/>
        <v/>
      </c>
      <c r="FF177" s="108" t="str">
        <f t="shared" si="295"/>
        <v/>
      </c>
      <c r="FG177" s="109" t="str">
        <f t="shared" si="369"/>
        <v/>
      </c>
      <c r="FH177" s="109" t="str">
        <f t="shared" si="296"/>
        <v/>
      </c>
      <c r="FI177" s="110" t="str">
        <f t="shared" si="238"/>
        <v/>
      </c>
      <c r="FK177" s="108" t="str">
        <f t="shared" si="370"/>
        <v/>
      </c>
      <c r="FL177" s="109" t="str">
        <f t="shared" si="371"/>
        <v/>
      </c>
      <c r="FM177" s="109" t="str">
        <f t="shared" si="297"/>
        <v/>
      </c>
      <c r="FN177" s="110" t="str">
        <f t="shared" si="239"/>
        <v/>
      </c>
      <c r="FP177" s="108" t="str">
        <f t="shared" si="298"/>
        <v/>
      </c>
      <c r="FQ177" s="109" t="str">
        <f t="shared" si="372"/>
        <v/>
      </c>
      <c r="FR177" s="109" t="str">
        <f t="shared" si="299"/>
        <v/>
      </c>
      <c r="FS177" s="110" t="str">
        <f t="shared" si="240"/>
        <v/>
      </c>
      <c r="FU177" s="108" t="str">
        <f t="shared" si="373"/>
        <v/>
      </c>
      <c r="FV177" s="109" t="str">
        <f t="shared" si="374"/>
        <v/>
      </c>
      <c r="FW177" s="109" t="str">
        <f t="shared" si="300"/>
        <v/>
      </c>
      <c r="FX177" s="110" t="str">
        <f t="shared" si="241"/>
        <v/>
      </c>
      <c r="FZ177" s="108" t="str">
        <f t="shared" si="301"/>
        <v/>
      </c>
      <c r="GA177" s="109" t="str">
        <f t="shared" si="375"/>
        <v/>
      </c>
      <c r="GB177" s="109" t="str">
        <f t="shared" si="302"/>
        <v/>
      </c>
      <c r="GC177" s="110" t="str">
        <f t="shared" si="242"/>
        <v/>
      </c>
      <c r="GE177" s="108" t="str">
        <f t="shared" si="376"/>
        <v/>
      </c>
      <c r="GF177" s="109" t="str">
        <f t="shared" si="377"/>
        <v/>
      </c>
      <c r="GG177" s="109" t="str">
        <f t="shared" si="378"/>
        <v/>
      </c>
      <c r="GH177" s="110" t="str">
        <f t="shared" si="243"/>
        <v/>
      </c>
      <c r="GL177" s="108" t="str">
        <f t="shared" si="303"/>
        <v/>
      </c>
      <c r="GM177" s="109" t="str">
        <f t="shared" si="304"/>
        <v/>
      </c>
      <c r="GN177" s="109" t="str">
        <f t="shared" si="305"/>
        <v/>
      </c>
      <c r="GO177" s="110" t="str">
        <f t="shared" si="306"/>
        <v/>
      </c>
      <c r="GP177" s="51"/>
      <c r="GQ177" s="108" t="str">
        <f t="shared" si="307"/>
        <v/>
      </c>
      <c r="GR177" s="109" t="str">
        <f t="shared" si="379"/>
        <v/>
      </c>
      <c r="GS177" s="109" t="str">
        <f t="shared" si="308"/>
        <v/>
      </c>
      <c r="GT177" s="110" t="str">
        <f t="shared" si="309"/>
        <v/>
      </c>
      <c r="GU177" s="51"/>
      <c r="GV177" s="108" t="str">
        <f t="shared" si="380"/>
        <v/>
      </c>
      <c r="GW177" s="109" t="str">
        <f t="shared" si="381"/>
        <v/>
      </c>
      <c r="GX177" s="109" t="str">
        <f t="shared" si="310"/>
        <v/>
      </c>
      <c r="GY177" s="110" t="str">
        <f t="shared" si="382"/>
        <v/>
      </c>
      <c r="GZ177" s="51"/>
      <c r="HA177" s="108" t="str">
        <f t="shared" si="311"/>
        <v/>
      </c>
      <c r="HB177" s="109" t="str">
        <f t="shared" si="383"/>
        <v/>
      </c>
      <c r="HC177" s="109" t="str">
        <f t="shared" si="312"/>
        <v/>
      </c>
      <c r="HD177" s="110" t="str">
        <f t="shared" si="417"/>
        <v/>
      </c>
      <c r="HE177" s="51"/>
      <c r="HF177" s="108" t="str">
        <f t="shared" si="384"/>
        <v/>
      </c>
      <c r="HG177" s="109" t="str">
        <f t="shared" si="385"/>
        <v/>
      </c>
      <c r="HH177" s="109" t="str">
        <f t="shared" si="313"/>
        <v/>
      </c>
      <c r="HI177" s="110" t="str">
        <f t="shared" si="386"/>
        <v/>
      </c>
      <c r="HJ177" s="51"/>
      <c r="HK177" s="108" t="str">
        <f t="shared" si="314"/>
        <v/>
      </c>
      <c r="HL177" s="109" t="str">
        <f t="shared" si="387"/>
        <v/>
      </c>
      <c r="HM177" s="109" t="str">
        <f t="shared" si="315"/>
        <v/>
      </c>
      <c r="HN177" s="110" t="str">
        <f t="shared" si="418"/>
        <v/>
      </c>
      <c r="HO177" s="51"/>
      <c r="HP177" s="108" t="str">
        <f t="shared" si="388"/>
        <v/>
      </c>
      <c r="HQ177" s="109" t="str">
        <f t="shared" si="389"/>
        <v/>
      </c>
      <c r="HR177" s="109" t="str">
        <f t="shared" si="316"/>
        <v/>
      </c>
      <c r="HS177" s="110" t="str">
        <f t="shared" si="390"/>
        <v/>
      </c>
      <c r="HT177" s="51"/>
      <c r="HU177" s="108" t="str">
        <f t="shared" si="317"/>
        <v/>
      </c>
      <c r="HV177" s="109" t="str">
        <f t="shared" si="391"/>
        <v/>
      </c>
      <c r="HW177" s="109" t="str">
        <f t="shared" si="318"/>
        <v/>
      </c>
      <c r="HX177" s="110" t="str">
        <f t="shared" si="419"/>
        <v/>
      </c>
      <c r="HY177" s="51"/>
      <c r="HZ177" s="108" t="str">
        <f t="shared" si="392"/>
        <v/>
      </c>
      <c r="IA177" s="109" t="str">
        <f t="shared" si="393"/>
        <v/>
      </c>
      <c r="IB177" s="109" t="str">
        <f t="shared" si="319"/>
        <v/>
      </c>
      <c r="IC177" s="110" t="str">
        <f t="shared" si="394"/>
        <v/>
      </c>
      <c r="ID177" s="51"/>
      <c r="IE177" s="108" t="str">
        <f t="shared" si="320"/>
        <v/>
      </c>
      <c r="IF177" s="109" t="str">
        <f t="shared" si="395"/>
        <v/>
      </c>
      <c r="IG177" s="109" t="str">
        <f t="shared" si="321"/>
        <v/>
      </c>
      <c r="IH177" s="110" t="str">
        <f t="shared" si="420"/>
        <v/>
      </c>
      <c r="II177" s="51"/>
      <c r="IJ177" s="108" t="str">
        <f t="shared" si="396"/>
        <v/>
      </c>
      <c r="IK177" s="109" t="str">
        <f t="shared" si="397"/>
        <v/>
      </c>
      <c r="IL177" s="109" t="str">
        <f t="shared" si="322"/>
        <v/>
      </c>
      <c r="IM177" s="110" t="str">
        <f t="shared" si="398"/>
        <v/>
      </c>
      <c r="IN177" s="51"/>
      <c r="IO177" s="108" t="str">
        <f t="shared" si="323"/>
        <v/>
      </c>
      <c r="IP177" s="109" t="str">
        <f t="shared" si="399"/>
        <v/>
      </c>
      <c r="IQ177" s="109" t="str">
        <f t="shared" si="324"/>
        <v/>
      </c>
      <c r="IR177" s="110" t="str">
        <f t="shared" si="421"/>
        <v/>
      </c>
      <c r="IS177" s="51"/>
      <c r="IT177" s="108" t="str">
        <f t="shared" si="400"/>
        <v/>
      </c>
      <c r="IU177" s="109" t="str">
        <f t="shared" si="401"/>
        <v/>
      </c>
      <c r="IV177" s="109" t="str">
        <f t="shared" si="325"/>
        <v/>
      </c>
      <c r="IW177" s="110" t="str">
        <f t="shared" si="402"/>
        <v/>
      </c>
      <c r="IX177" s="51"/>
      <c r="IY177" s="108" t="str">
        <f t="shared" si="326"/>
        <v/>
      </c>
      <c r="IZ177" s="109" t="str">
        <f t="shared" si="403"/>
        <v/>
      </c>
      <c r="JA177" s="109" t="str">
        <f t="shared" si="327"/>
        <v/>
      </c>
      <c r="JB177" s="110" t="str">
        <f t="shared" si="422"/>
        <v/>
      </c>
      <c r="JC177" s="51"/>
      <c r="JD177" s="108" t="str">
        <f t="shared" si="404"/>
        <v/>
      </c>
      <c r="JE177" s="109" t="str">
        <f t="shared" si="405"/>
        <v/>
      </c>
      <c r="JF177" s="109" t="str">
        <f t="shared" si="328"/>
        <v/>
      </c>
      <c r="JG177" s="110" t="str">
        <f t="shared" si="406"/>
        <v/>
      </c>
      <c r="JH177" s="51"/>
      <c r="JI177" s="108" t="str">
        <f t="shared" si="329"/>
        <v/>
      </c>
      <c r="JJ177" s="109" t="str">
        <f t="shared" si="407"/>
        <v/>
      </c>
      <c r="JK177" s="109" t="str">
        <f t="shared" si="330"/>
        <v/>
      </c>
      <c r="JL177" s="110" t="str">
        <f t="shared" si="423"/>
        <v/>
      </c>
      <c r="JM177" s="51"/>
      <c r="JN177" s="108" t="str">
        <f t="shared" si="408"/>
        <v/>
      </c>
      <c r="JO177" s="109" t="str">
        <f t="shared" si="409"/>
        <v/>
      </c>
      <c r="JP177" s="109" t="str">
        <f t="shared" si="331"/>
        <v/>
      </c>
      <c r="JQ177" s="110" t="str">
        <f t="shared" si="410"/>
        <v/>
      </c>
      <c r="JR177" s="51"/>
      <c r="JS177" s="108" t="str">
        <f t="shared" si="332"/>
        <v/>
      </c>
      <c r="JT177" s="109" t="str">
        <f t="shared" si="411"/>
        <v/>
      </c>
      <c r="JU177" s="109" t="str">
        <f t="shared" si="333"/>
        <v/>
      </c>
      <c r="JV177" s="110" t="str">
        <f t="shared" si="424"/>
        <v/>
      </c>
      <c r="JW177" s="51"/>
      <c r="JX177" s="108" t="str">
        <f t="shared" si="412"/>
        <v/>
      </c>
      <c r="JY177" s="109" t="str">
        <f t="shared" si="413"/>
        <v/>
      </c>
      <c r="JZ177" s="109" t="str">
        <f t="shared" si="334"/>
        <v/>
      </c>
      <c r="KA177" s="110" t="str">
        <f t="shared" si="335"/>
        <v/>
      </c>
    </row>
    <row r="178" spans="1:287" ht="12" customHeight="1">
      <c r="A178" s="105">
        <f t="array" ref="A178">MAX(IF($J$80:J177&gt;0,$C$80:C177,0))</f>
        <v>43536</v>
      </c>
      <c r="B178" s="81" t="str">
        <f t="shared" si="248"/>
        <v/>
      </c>
      <c r="C178" s="82">
        <f t="shared" si="414"/>
        <v>0</v>
      </c>
      <c r="D178" s="83" t="str">
        <f t="shared" si="249"/>
        <v/>
      </c>
      <c r="E178" s="83" t="str">
        <f t="shared" si="336"/>
        <v/>
      </c>
      <c r="F178" s="83" t="str">
        <f t="shared" si="250"/>
        <v/>
      </c>
      <c r="G178" s="83" t="str">
        <f t="shared" si="251"/>
        <v/>
      </c>
      <c r="H178" s="83" t="str">
        <f t="shared" si="252"/>
        <v/>
      </c>
      <c r="I178" s="105">
        <f t="array" ref="I178">MAX(IF($R$80:R177&gt;0,$L$80:L177,0))</f>
        <v>0</v>
      </c>
      <c r="J178" s="106"/>
      <c r="K178" s="2" t="str">
        <f t="shared" si="253"/>
        <v/>
      </c>
      <c r="L178" s="82">
        <f t="shared" si="415"/>
        <v>0</v>
      </c>
      <c r="M178" s="83" t="str">
        <f t="shared" si="337"/>
        <v/>
      </c>
      <c r="N178" s="83" t="str">
        <f t="shared" si="254"/>
        <v/>
      </c>
      <c r="O178" s="83" t="str">
        <f t="shared" si="255"/>
        <v/>
      </c>
      <c r="P178" s="83" t="str">
        <f t="shared" si="256"/>
        <v/>
      </c>
      <c r="Q178" s="83" t="str">
        <f t="shared" si="257"/>
        <v/>
      </c>
      <c r="R178" s="106"/>
      <c r="S178" s="1"/>
      <c r="U178" s="85" t="e">
        <f t="shared" si="244"/>
        <v>#NUM!</v>
      </c>
      <c r="V178" s="86" t="e">
        <f t="shared" si="338"/>
        <v>#NUM!</v>
      </c>
      <c r="W178" s="87" t="e">
        <f t="shared" si="258"/>
        <v>#NUM!</v>
      </c>
      <c r="X178" s="87" t="e">
        <f t="shared" si="259"/>
        <v>#NUM!</v>
      </c>
      <c r="Y178" s="87" t="e">
        <f t="shared" si="260"/>
        <v>#NUM!</v>
      </c>
      <c r="Z178" s="88" t="e">
        <f t="shared" si="245"/>
        <v>#NUM!</v>
      </c>
      <c r="AA178" t="s">
        <v>282</v>
      </c>
      <c r="AB178" s="89">
        <f t="shared" si="339"/>
        <v>0</v>
      </c>
      <c r="AC178" s="87">
        <f t="shared" si="340"/>
        <v>0</v>
      </c>
      <c r="AD178" s="87" t="str">
        <f t="shared" si="261"/>
        <v/>
      </c>
      <c r="AE178" s="87" t="str">
        <f t="shared" si="262"/>
        <v/>
      </c>
      <c r="AF178" s="86">
        <f t="shared" si="341"/>
        <v>0</v>
      </c>
      <c r="AG178" s="87">
        <f t="shared" si="246"/>
        <v>0</v>
      </c>
      <c r="AH178" s="87">
        <f t="shared" si="342"/>
        <v>0</v>
      </c>
      <c r="AI178" s="90"/>
      <c r="AJ178" s="87" t="e">
        <f t="shared" si="263"/>
        <v>#NUM!</v>
      </c>
      <c r="AK178" s="87" t="e">
        <f t="shared" si="343"/>
        <v>#NUM!</v>
      </c>
      <c r="AL178" s="87" t="e">
        <f t="shared" si="344"/>
        <v>#NUM!</v>
      </c>
      <c r="AM178" s="87" t="e">
        <f t="shared" si="345"/>
        <v>#NUM!</v>
      </c>
      <c r="AN178" s="86">
        <f t="shared" si="264"/>
        <v>0</v>
      </c>
      <c r="AO178" s="87">
        <f t="shared" si="265"/>
        <v>0</v>
      </c>
      <c r="AP178" s="88">
        <f t="shared" si="266"/>
        <v>0</v>
      </c>
      <c r="AR178" s="89">
        <f t="shared" si="267"/>
        <v>0</v>
      </c>
      <c r="AS178" s="87">
        <f t="shared" si="268"/>
        <v>0</v>
      </c>
      <c r="AT178" s="87" t="str">
        <f t="shared" si="269"/>
        <v/>
      </c>
      <c r="AU178" s="87" t="str">
        <f t="shared" si="270"/>
        <v/>
      </c>
      <c r="AV178" s="86">
        <f t="shared" si="346"/>
        <v>0</v>
      </c>
      <c r="AW178" s="87">
        <f t="shared" si="347"/>
        <v>0</v>
      </c>
      <c r="AX178" s="87">
        <f t="shared" si="348"/>
        <v>0</v>
      </c>
      <c r="AY178" s="93"/>
      <c r="AZ178" s="87">
        <f t="shared" si="425"/>
        <v>0</v>
      </c>
      <c r="BA178" s="87">
        <f t="shared" si="349"/>
        <v>0</v>
      </c>
      <c r="BB178" s="87">
        <f t="shared" si="350"/>
        <v>0</v>
      </c>
      <c r="BC178" s="87">
        <f t="shared" si="416"/>
        <v>0</v>
      </c>
      <c r="BD178" s="86" t="e">
        <f t="shared" si="271"/>
        <v>#NUM!</v>
      </c>
      <c r="BE178" s="87" t="e">
        <f t="shared" si="247"/>
        <v>#NUM!</v>
      </c>
      <c r="BF178" s="88">
        <f t="shared" si="351"/>
        <v>0</v>
      </c>
      <c r="BH178" s="87" t="e">
        <f t="shared" si="272"/>
        <v>#NUM!</v>
      </c>
      <c r="BK178" s="95">
        <v>41768</v>
      </c>
      <c r="BL178" s="96">
        <v>99</v>
      </c>
      <c r="CS178" s="108" t="str">
        <f t="shared" si="273"/>
        <v/>
      </c>
      <c r="CT178" s="109" t="str">
        <f t="shared" si="274"/>
        <v/>
      </c>
      <c r="CU178" s="109" t="str">
        <f t="shared" si="275"/>
        <v/>
      </c>
      <c r="CV178" s="110" t="str">
        <f t="shared" si="225"/>
        <v/>
      </c>
      <c r="CX178" s="108" t="str">
        <f t="shared" si="276"/>
        <v/>
      </c>
      <c r="CY178" s="109" t="str">
        <f t="shared" si="352"/>
        <v/>
      </c>
      <c r="CZ178" s="109" t="str">
        <f t="shared" si="277"/>
        <v/>
      </c>
      <c r="DA178" s="110" t="str">
        <f t="shared" si="226"/>
        <v/>
      </c>
      <c r="DC178" s="108" t="str">
        <f t="shared" si="353"/>
        <v/>
      </c>
      <c r="DD178" s="109" t="str">
        <f t="shared" si="354"/>
        <v/>
      </c>
      <c r="DE178" s="109" t="str">
        <f t="shared" si="278"/>
        <v/>
      </c>
      <c r="DF178" s="110" t="str">
        <f t="shared" si="227"/>
        <v/>
      </c>
      <c r="DH178" s="108" t="str">
        <f t="shared" si="279"/>
        <v/>
      </c>
      <c r="DI178" s="109" t="str">
        <f t="shared" si="280"/>
        <v/>
      </c>
      <c r="DJ178" s="109" t="str">
        <f t="shared" si="281"/>
        <v/>
      </c>
      <c r="DK178" s="110" t="str">
        <f t="shared" si="228"/>
        <v/>
      </c>
      <c r="DM178" s="108" t="str">
        <f t="shared" si="355"/>
        <v/>
      </c>
      <c r="DN178" s="109" t="str">
        <f t="shared" si="356"/>
        <v/>
      </c>
      <c r="DO178" s="109" t="str">
        <f t="shared" si="282"/>
        <v/>
      </c>
      <c r="DP178" s="110" t="str">
        <f t="shared" si="229"/>
        <v/>
      </c>
      <c r="DR178" s="108" t="str">
        <f t="shared" si="283"/>
        <v/>
      </c>
      <c r="DS178" s="109" t="str">
        <f t="shared" si="357"/>
        <v/>
      </c>
      <c r="DT178" s="109" t="str">
        <f t="shared" si="284"/>
        <v/>
      </c>
      <c r="DU178" s="110" t="str">
        <f t="shared" si="230"/>
        <v/>
      </c>
      <c r="DW178" s="108" t="str">
        <f t="shared" si="358"/>
        <v/>
      </c>
      <c r="DX178" s="109" t="str">
        <f t="shared" si="359"/>
        <v/>
      </c>
      <c r="DY178" s="109" t="str">
        <f t="shared" si="285"/>
        <v/>
      </c>
      <c r="DZ178" s="110" t="str">
        <f t="shared" si="231"/>
        <v/>
      </c>
      <c r="EB178" s="108" t="str">
        <f t="shared" si="286"/>
        <v/>
      </c>
      <c r="EC178" s="109" t="str">
        <f t="shared" si="360"/>
        <v/>
      </c>
      <c r="ED178" s="109" t="str">
        <f t="shared" si="287"/>
        <v/>
      </c>
      <c r="EE178" s="110" t="str">
        <f t="shared" si="232"/>
        <v/>
      </c>
      <c r="EG178" s="108" t="str">
        <f t="shared" si="361"/>
        <v/>
      </c>
      <c r="EH178" s="109" t="str">
        <f t="shared" si="362"/>
        <v/>
      </c>
      <c r="EI178" s="109" t="str">
        <f t="shared" si="288"/>
        <v/>
      </c>
      <c r="EJ178" s="110" t="str">
        <f t="shared" si="233"/>
        <v/>
      </c>
      <c r="EL178" s="108" t="str">
        <f t="shared" si="289"/>
        <v/>
      </c>
      <c r="EM178" s="109" t="str">
        <f t="shared" si="363"/>
        <v/>
      </c>
      <c r="EN178" s="109" t="str">
        <f t="shared" si="290"/>
        <v/>
      </c>
      <c r="EO178" s="110" t="str">
        <f t="shared" si="234"/>
        <v/>
      </c>
      <c r="EQ178" s="108" t="str">
        <f t="shared" si="364"/>
        <v/>
      </c>
      <c r="ER178" s="109" t="str">
        <f t="shared" si="365"/>
        <v/>
      </c>
      <c r="ES178" s="109" t="str">
        <f t="shared" si="291"/>
        <v/>
      </c>
      <c r="ET178" s="110" t="str">
        <f t="shared" si="235"/>
        <v/>
      </c>
      <c r="EV178" s="108" t="str">
        <f t="shared" si="292"/>
        <v/>
      </c>
      <c r="EW178" s="109" t="str">
        <f t="shared" si="366"/>
        <v/>
      </c>
      <c r="EX178" s="109" t="str">
        <f t="shared" si="293"/>
        <v/>
      </c>
      <c r="EY178" s="110" t="str">
        <f t="shared" si="236"/>
        <v/>
      </c>
      <c r="FA178" s="108" t="str">
        <f t="shared" si="367"/>
        <v/>
      </c>
      <c r="FB178" s="109" t="str">
        <f t="shared" si="368"/>
        <v/>
      </c>
      <c r="FC178" s="109" t="str">
        <f t="shared" si="294"/>
        <v/>
      </c>
      <c r="FD178" s="110" t="str">
        <f t="shared" si="237"/>
        <v/>
      </c>
      <c r="FF178" s="108" t="str">
        <f t="shared" si="295"/>
        <v/>
      </c>
      <c r="FG178" s="109" t="str">
        <f t="shared" si="369"/>
        <v/>
      </c>
      <c r="FH178" s="109" t="str">
        <f t="shared" si="296"/>
        <v/>
      </c>
      <c r="FI178" s="110" t="str">
        <f t="shared" si="238"/>
        <v/>
      </c>
      <c r="FK178" s="108" t="str">
        <f t="shared" si="370"/>
        <v/>
      </c>
      <c r="FL178" s="109" t="str">
        <f t="shared" si="371"/>
        <v/>
      </c>
      <c r="FM178" s="109" t="str">
        <f t="shared" si="297"/>
        <v/>
      </c>
      <c r="FN178" s="110" t="str">
        <f t="shared" si="239"/>
        <v/>
      </c>
      <c r="FP178" s="108" t="str">
        <f t="shared" si="298"/>
        <v/>
      </c>
      <c r="FQ178" s="109" t="str">
        <f t="shared" si="372"/>
        <v/>
      </c>
      <c r="FR178" s="109" t="str">
        <f t="shared" si="299"/>
        <v/>
      </c>
      <c r="FS178" s="110" t="str">
        <f t="shared" si="240"/>
        <v/>
      </c>
      <c r="FU178" s="108" t="str">
        <f t="shared" si="373"/>
        <v/>
      </c>
      <c r="FV178" s="109" t="str">
        <f t="shared" si="374"/>
        <v/>
      </c>
      <c r="FW178" s="109" t="str">
        <f t="shared" si="300"/>
        <v/>
      </c>
      <c r="FX178" s="110" t="str">
        <f t="shared" si="241"/>
        <v/>
      </c>
      <c r="FZ178" s="108" t="str">
        <f t="shared" si="301"/>
        <v/>
      </c>
      <c r="GA178" s="109" t="str">
        <f t="shared" si="375"/>
        <v/>
      </c>
      <c r="GB178" s="109" t="str">
        <f t="shared" si="302"/>
        <v/>
      </c>
      <c r="GC178" s="110" t="str">
        <f t="shared" si="242"/>
        <v/>
      </c>
      <c r="GE178" s="108" t="str">
        <f t="shared" si="376"/>
        <v/>
      </c>
      <c r="GF178" s="109" t="str">
        <f t="shared" si="377"/>
        <v/>
      </c>
      <c r="GG178" s="109" t="str">
        <f t="shared" si="378"/>
        <v/>
      </c>
      <c r="GH178" s="110" t="str">
        <f t="shared" si="243"/>
        <v/>
      </c>
      <c r="GL178" s="108" t="str">
        <f t="shared" si="303"/>
        <v/>
      </c>
      <c r="GM178" s="109" t="str">
        <f t="shared" si="304"/>
        <v/>
      </c>
      <c r="GN178" s="109" t="str">
        <f t="shared" si="305"/>
        <v/>
      </c>
      <c r="GO178" s="110" t="str">
        <f t="shared" si="306"/>
        <v/>
      </c>
      <c r="GP178" s="51"/>
      <c r="GQ178" s="108" t="str">
        <f t="shared" si="307"/>
        <v/>
      </c>
      <c r="GR178" s="109" t="str">
        <f t="shared" si="379"/>
        <v/>
      </c>
      <c r="GS178" s="109" t="str">
        <f t="shared" si="308"/>
        <v/>
      </c>
      <c r="GT178" s="110" t="str">
        <f t="shared" si="309"/>
        <v/>
      </c>
      <c r="GU178" s="51"/>
      <c r="GV178" s="108" t="str">
        <f t="shared" si="380"/>
        <v/>
      </c>
      <c r="GW178" s="109" t="str">
        <f t="shared" si="381"/>
        <v/>
      </c>
      <c r="GX178" s="109" t="str">
        <f t="shared" si="310"/>
        <v/>
      </c>
      <c r="GY178" s="110" t="str">
        <f t="shared" si="382"/>
        <v/>
      </c>
      <c r="GZ178" s="51"/>
      <c r="HA178" s="108" t="str">
        <f t="shared" si="311"/>
        <v/>
      </c>
      <c r="HB178" s="109" t="str">
        <f t="shared" si="383"/>
        <v/>
      </c>
      <c r="HC178" s="109" t="str">
        <f t="shared" si="312"/>
        <v/>
      </c>
      <c r="HD178" s="110" t="str">
        <f t="shared" si="417"/>
        <v/>
      </c>
      <c r="HE178" s="51"/>
      <c r="HF178" s="108" t="str">
        <f t="shared" si="384"/>
        <v/>
      </c>
      <c r="HG178" s="109" t="str">
        <f t="shared" si="385"/>
        <v/>
      </c>
      <c r="HH178" s="109" t="str">
        <f t="shared" si="313"/>
        <v/>
      </c>
      <c r="HI178" s="110" t="str">
        <f t="shared" si="386"/>
        <v/>
      </c>
      <c r="HJ178" s="51"/>
      <c r="HK178" s="108" t="str">
        <f t="shared" si="314"/>
        <v/>
      </c>
      <c r="HL178" s="109" t="str">
        <f t="shared" si="387"/>
        <v/>
      </c>
      <c r="HM178" s="109" t="str">
        <f t="shared" si="315"/>
        <v/>
      </c>
      <c r="HN178" s="110" t="str">
        <f t="shared" si="418"/>
        <v/>
      </c>
      <c r="HO178" s="51"/>
      <c r="HP178" s="108" t="str">
        <f t="shared" si="388"/>
        <v/>
      </c>
      <c r="HQ178" s="109" t="str">
        <f t="shared" si="389"/>
        <v/>
      </c>
      <c r="HR178" s="109" t="str">
        <f t="shared" si="316"/>
        <v/>
      </c>
      <c r="HS178" s="110" t="str">
        <f t="shared" si="390"/>
        <v/>
      </c>
      <c r="HT178" s="51"/>
      <c r="HU178" s="108" t="str">
        <f t="shared" si="317"/>
        <v/>
      </c>
      <c r="HV178" s="109" t="str">
        <f t="shared" si="391"/>
        <v/>
      </c>
      <c r="HW178" s="109" t="str">
        <f t="shared" si="318"/>
        <v/>
      </c>
      <c r="HX178" s="110" t="str">
        <f t="shared" si="419"/>
        <v/>
      </c>
      <c r="HY178" s="51"/>
      <c r="HZ178" s="108" t="str">
        <f t="shared" si="392"/>
        <v/>
      </c>
      <c r="IA178" s="109" t="str">
        <f t="shared" si="393"/>
        <v/>
      </c>
      <c r="IB178" s="109" t="str">
        <f t="shared" si="319"/>
        <v/>
      </c>
      <c r="IC178" s="110" t="str">
        <f t="shared" si="394"/>
        <v/>
      </c>
      <c r="ID178" s="51"/>
      <c r="IE178" s="108" t="str">
        <f t="shared" si="320"/>
        <v/>
      </c>
      <c r="IF178" s="109" t="str">
        <f t="shared" si="395"/>
        <v/>
      </c>
      <c r="IG178" s="109" t="str">
        <f t="shared" si="321"/>
        <v/>
      </c>
      <c r="IH178" s="110" t="str">
        <f t="shared" si="420"/>
        <v/>
      </c>
      <c r="II178" s="51"/>
      <c r="IJ178" s="108" t="str">
        <f t="shared" si="396"/>
        <v/>
      </c>
      <c r="IK178" s="109" t="str">
        <f t="shared" si="397"/>
        <v/>
      </c>
      <c r="IL178" s="109" t="str">
        <f t="shared" si="322"/>
        <v/>
      </c>
      <c r="IM178" s="110" t="str">
        <f t="shared" si="398"/>
        <v/>
      </c>
      <c r="IN178" s="51"/>
      <c r="IO178" s="108" t="str">
        <f t="shared" si="323"/>
        <v/>
      </c>
      <c r="IP178" s="109" t="str">
        <f t="shared" si="399"/>
        <v/>
      </c>
      <c r="IQ178" s="109" t="str">
        <f t="shared" si="324"/>
        <v/>
      </c>
      <c r="IR178" s="110" t="str">
        <f t="shared" si="421"/>
        <v/>
      </c>
      <c r="IS178" s="51"/>
      <c r="IT178" s="108" t="str">
        <f t="shared" si="400"/>
        <v/>
      </c>
      <c r="IU178" s="109" t="str">
        <f t="shared" si="401"/>
        <v/>
      </c>
      <c r="IV178" s="109" t="str">
        <f t="shared" si="325"/>
        <v/>
      </c>
      <c r="IW178" s="110" t="str">
        <f t="shared" si="402"/>
        <v/>
      </c>
      <c r="IX178" s="51"/>
      <c r="IY178" s="108" t="str">
        <f t="shared" si="326"/>
        <v/>
      </c>
      <c r="IZ178" s="109" t="str">
        <f t="shared" si="403"/>
        <v/>
      </c>
      <c r="JA178" s="109" t="str">
        <f t="shared" si="327"/>
        <v/>
      </c>
      <c r="JB178" s="110" t="str">
        <f t="shared" si="422"/>
        <v/>
      </c>
      <c r="JC178" s="51"/>
      <c r="JD178" s="108" t="str">
        <f t="shared" si="404"/>
        <v/>
      </c>
      <c r="JE178" s="109" t="str">
        <f t="shared" si="405"/>
        <v/>
      </c>
      <c r="JF178" s="109" t="str">
        <f t="shared" si="328"/>
        <v/>
      </c>
      <c r="JG178" s="110" t="str">
        <f t="shared" si="406"/>
        <v/>
      </c>
      <c r="JH178" s="51"/>
      <c r="JI178" s="108" t="str">
        <f t="shared" si="329"/>
        <v/>
      </c>
      <c r="JJ178" s="109" t="str">
        <f t="shared" si="407"/>
        <v/>
      </c>
      <c r="JK178" s="109" t="str">
        <f t="shared" si="330"/>
        <v/>
      </c>
      <c r="JL178" s="110" t="str">
        <f t="shared" si="423"/>
        <v/>
      </c>
      <c r="JM178" s="51"/>
      <c r="JN178" s="108" t="str">
        <f t="shared" si="408"/>
        <v/>
      </c>
      <c r="JO178" s="109" t="str">
        <f t="shared" si="409"/>
        <v/>
      </c>
      <c r="JP178" s="109" t="str">
        <f t="shared" si="331"/>
        <v/>
      </c>
      <c r="JQ178" s="110" t="str">
        <f t="shared" si="410"/>
        <v/>
      </c>
      <c r="JR178" s="51"/>
      <c r="JS178" s="108" t="str">
        <f t="shared" si="332"/>
        <v/>
      </c>
      <c r="JT178" s="109" t="str">
        <f t="shared" si="411"/>
        <v/>
      </c>
      <c r="JU178" s="109" t="str">
        <f t="shared" si="333"/>
        <v/>
      </c>
      <c r="JV178" s="110" t="str">
        <f t="shared" si="424"/>
        <v/>
      </c>
      <c r="JW178" s="51"/>
      <c r="JX178" s="108" t="str">
        <f t="shared" si="412"/>
        <v/>
      </c>
      <c r="JY178" s="109" t="str">
        <f t="shared" si="413"/>
        <v/>
      </c>
      <c r="JZ178" s="109" t="str">
        <f t="shared" si="334"/>
        <v/>
      </c>
      <c r="KA178" s="110" t="str">
        <f t="shared" si="335"/>
        <v/>
      </c>
    </row>
    <row r="179" spans="1:287" ht="12" customHeight="1">
      <c r="A179" s="105">
        <f t="array" ref="A179">MAX(IF($J$80:J178&gt;0,$C$80:C178,0))</f>
        <v>43536</v>
      </c>
      <c r="B179" s="81" t="str">
        <f t="shared" si="248"/>
        <v/>
      </c>
      <c r="C179" s="82">
        <f t="shared" si="414"/>
        <v>0</v>
      </c>
      <c r="D179" s="83" t="str">
        <f t="shared" si="249"/>
        <v/>
      </c>
      <c r="E179" s="83" t="str">
        <f t="shared" si="336"/>
        <v/>
      </c>
      <c r="F179" s="83" t="str">
        <f t="shared" si="250"/>
        <v/>
      </c>
      <c r="G179" s="83" t="str">
        <f t="shared" si="251"/>
        <v/>
      </c>
      <c r="H179" s="83" t="str">
        <f t="shared" si="252"/>
        <v/>
      </c>
      <c r="I179" s="105">
        <f t="array" ref="I179">MAX(IF($R$80:R178&gt;0,$L$80:L178,0))</f>
        <v>0</v>
      </c>
      <c r="J179" s="106"/>
      <c r="K179" s="2" t="str">
        <f t="shared" si="253"/>
        <v/>
      </c>
      <c r="L179" s="82">
        <f t="shared" si="415"/>
        <v>0</v>
      </c>
      <c r="M179" s="83" t="str">
        <f t="shared" si="337"/>
        <v/>
      </c>
      <c r="N179" s="83" t="str">
        <f t="shared" si="254"/>
        <v/>
      </c>
      <c r="O179" s="83" t="str">
        <f t="shared" si="255"/>
        <v/>
      </c>
      <c r="P179" s="83" t="str">
        <f t="shared" si="256"/>
        <v/>
      </c>
      <c r="Q179" s="83" t="str">
        <f t="shared" si="257"/>
        <v/>
      </c>
      <c r="R179" s="106"/>
      <c r="S179" s="1"/>
      <c r="U179" s="85" t="e">
        <f t="shared" si="244"/>
        <v>#NUM!</v>
      </c>
      <c r="V179" s="86" t="e">
        <f t="shared" si="338"/>
        <v>#NUM!</v>
      </c>
      <c r="W179" s="87" t="e">
        <f t="shared" si="258"/>
        <v>#NUM!</v>
      </c>
      <c r="X179" s="87" t="e">
        <f t="shared" si="259"/>
        <v>#NUM!</v>
      </c>
      <c r="Y179" s="87" t="e">
        <f t="shared" si="260"/>
        <v>#NUM!</v>
      </c>
      <c r="Z179" s="88" t="e">
        <f t="shared" si="245"/>
        <v>#NUM!</v>
      </c>
      <c r="AA179" t="s">
        <v>282</v>
      </c>
      <c r="AB179" s="89">
        <f t="shared" si="339"/>
        <v>0</v>
      </c>
      <c r="AC179" s="87">
        <f t="shared" si="340"/>
        <v>0</v>
      </c>
      <c r="AD179" s="87" t="str">
        <f t="shared" si="261"/>
        <v/>
      </c>
      <c r="AE179" s="87" t="str">
        <f t="shared" si="262"/>
        <v/>
      </c>
      <c r="AF179" s="86">
        <f t="shared" si="341"/>
        <v>0</v>
      </c>
      <c r="AG179" s="87">
        <f t="shared" si="246"/>
        <v>0</v>
      </c>
      <c r="AH179" s="87">
        <f t="shared" si="342"/>
        <v>0</v>
      </c>
      <c r="AI179" s="90"/>
      <c r="AJ179" s="87" t="e">
        <f t="shared" si="263"/>
        <v>#NUM!</v>
      </c>
      <c r="AK179" s="87" t="e">
        <f t="shared" si="343"/>
        <v>#NUM!</v>
      </c>
      <c r="AL179" s="87" t="e">
        <f t="shared" si="344"/>
        <v>#NUM!</v>
      </c>
      <c r="AM179" s="87" t="e">
        <f t="shared" si="345"/>
        <v>#NUM!</v>
      </c>
      <c r="AN179" s="86">
        <f t="shared" si="264"/>
        <v>0</v>
      </c>
      <c r="AO179" s="87">
        <f t="shared" si="265"/>
        <v>0</v>
      </c>
      <c r="AP179" s="88">
        <f t="shared" si="266"/>
        <v>0</v>
      </c>
      <c r="AR179" s="89">
        <f t="shared" si="267"/>
        <v>0</v>
      </c>
      <c r="AS179" s="87">
        <f t="shared" si="268"/>
        <v>0</v>
      </c>
      <c r="AT179" s="87" t="str">
        <f t="shared" si="269"/>
        <v/>
      </c>
      <c r="AU179" s="87" t="str">
        <f t="shared" si="270"/>
        <v/>
      </c>
      <c r="AV179" s="86">
        <f t="shared" si="346"/>
        <v>0</v>
      </c>
      <c r="AW179" s="87">
        <f t="shared" si="347"/>
        <v>0</v>
      </c>
      <c r="AX179" s="87">
        <f t="shared" si="348"/>
        <v>0</v>
      </c>
      <c r="AY179" s="93"/>
      <c r="AZ179" s="87">
        <f t="shared" si="425"/>
        <v>0</v>
      </c>
      <c r="BA179" s="87">
        <f t="shared" si="349"/>
        <v>0</v>
      </c>
      <c r="BB179" s="87">
        <f t="shared" si="350"/>
        <v>0</v>
      </c>
      <c r="BC179" s="87">
        <f t="shared" si="416"/>
        <v>0</v>
      </c>
      <c r="BD179" s="86" t="e">
        <f t="shared" si="271"/>
        <v>#NUM!</v>
      </c>
      <c r="BE179" s="87" t="e">
        <f t="shared" si="247"/>
        <v>#NUM!</v>
      </c>
      <c r="BF179" s="88">
        <f t="shared" si="351"/>
        <v>0</v>
      </c>
      <c r="BH179" s="87" t="e">
        <f t="shared" si="272"/>
        <v>#NUM!</v>
      </c>
      <c r="BK179" s="95">
        <v>41771</v>
      </c>
      <c r="BL179" s="96">
        <v>100</v>
      </c>
      <c r="CS179" s="108" t="str">
        <f t="shared" si="273"/>
        <v/>
      </c>
      <c r="CT179" s="109" t="str">
        <f t="shared" si="274"/>
        <v/>
      </c>
      <c r="CU179" s="109" t="str">
        <f t="shared" si="275"/>
        <v/>
      </c>
      <c r="CV179" s="110" t="str">
        <f t="shared" si="225"/>
        <v/>
      </c>
      <c r="CX179" s="108" t="str">
        <f t="shared" si="276"/>
        <v/>
      </c>
      <c r="CY179" s="109" t="str">
        <f t="shared" si="352"/>
        <v/>
      </c>
      <c r="CZ179" s="109" t="str">
        <f t="shared" si="277"/>
        <v/>
      </c>
      <c r="DA179" s="110" t="str">
        <f t="shared" si="226"/>
        <v/>
      </c>
      <c r="DC179" s="108" t="str">
        <f t="shared" si="353"/>
        <v/>
      </c>
      <c r="DD179" s="109" t="str">
        <f t="shared" si="354"/>
        <v/>
      </c>
      <c r="DE179" s="109" t="str">
        <f t="shared" si="278"/>
        <v/>
      </c>
      <c r="DF179" s="110" t="str">
        <f t="shared" si="227"/>
        <v/>
      </c>
      <c r="DH179" s="108" t="str">
        <f t="shared" si="279"/>
        <v/>
      </c>
      <c r="DI179" s="109" t="str">
        <f t="shared" si="280"/>
        <v/>
      </c>
      <c r="DJ179" s="109" t="str">
        <f t="shared" si="281"/>
        <v/>
      </c>
      <c r="DK179" s="110" t="str">
        <f t="shared" si="228"/>
        <v/>
      </c>
      <c r="DM179" s="108" t="str">
        <f t="shared" si="355"/>
        <v/>
      </c>
      <c r="DN179" s="109" t="str">
        <f t="shared" si="356"/>
        <v/>
      </c>
      <c r="DO179" s="109" t="str">
        <f t="shared" si="282"/>
        <v/>
      </c>
      <c r="DP179" s="110" t="str">
        <f t="shared" si="229"/>
        <v/>
      </c>
      <c r="DR179" s="108" t="str">
        <f t="shared" si="283"/>
        <v/>
      </c>
      <c r="DS179" s="109" t="str">
        <f t="shared" si="357"/>
        <v/>
      </c>
      <c r="DT179" s="109" t="str">
        <f t="shared" si="284"/>
        <v/>
      </c>
      <c r="DU179" s="110" t="str">
        <f t="shared" si="230"/>
        <v/>
      </c>
      <c r="DW179" s="108" t="str">
        <f t="shared" si="358"/>
        <v/>
      </c>
      <c r="DX179" s="109" t="str">
        <f t="shared" si="359"/>
        <v/>
      </c>
      <c r="DY179" s="109" t="str">
        <f t="shared" si="285"/>
        <v/>
      </c>
      <c r="DZ179" s="110" t="str">
        <f t="shared" si="231"/>
        <v/>
      </c>
      <c r="EB179" s="108" t="str">
        <f t="shared" si="286"/>
        <v/>
      </c>
      <c r="EC179" s="109" t="str">
        <f t="shared" si="360"/>
        <v/>
      </c>
      <c r="ED179" s="109" t="str">
        <f t="shared" si="287"/>
        <v/>
      </c>
      <c r="EE179" s="110" t="str">
        <f t="shared" si="232"/>
        <v/>
      </c>
      <c r="EG179" s="108" t="str">
        <f t="shared" si="361"/>
        <v/>
      </c>
      <c r="EH179" s="109" t="str">
        <f t="shared" si="362"/>
        <v/>
      </c>
      <c r="EI179" s="109" t="str">
        <f t="shared" si="288"/>
        <v/>
      </c>
      <c r="EJ179" s="110" t="str">
        <f t="shared" si="233"/>
        <v/>
      </c>
      <c r="EL179" s="108" t="str">
        <f t="shared" si="289"/>
        <v/>
      </c>
      <c r="EM179" s="109" t="str">
        <f t="shared" si="363"/>
        <v/>
      </c>
      <c r="EN179" s="109" t="str">
        <f t="shared" si="290"/>
        <v/>
      </c>
      <c r="EO179" s="110" t="str">
        <f t="shared" si="234"/>
        <v/>
      </c>
      <c r="EQ179" s="108" t="str">
        <f t="shared" si="364"/>
        <v/>
      </c>
      <c r="ER179" s="109" t="str">
        <f t="shared" si="365"/>
        <v/>
      </c>
      <c r="ES179" s="109" t="str">
        <f t="shared" si="291"/>
        <v/>
      </c>
      <c r="ET179" s="110" t="str">
        <f t="shared" si="235"/>
        <v/>
      </c>
      <c r="EV179" s="108" t="str">
        <f t="shared" si="292"/>
        <v/>
      </c>
      <c r="EW179" s="109" t="str">
        <f t="shared" si="366"/>
        <v/>
      </c>
      <c r="EX179" s="109" t="str">
        <f t="shared" si="293"/>
        <v/>
      </c>
      <c r="EY179" s="110" t="str">
        <f t="shared" si="236"/>
        <v/>
      </c>
      <c r="FA179" s="108" t="str">
        <f t="shared" si="367"/>
        <v/>
      </c>
      <c r="FB179" s="109" t="str">
        <f t="shared" si="368"/>
        <v/>
      </c>
      <c r="FC179" s="109" t="str">
        <f t="shared" si="294"/>
        <v/>
      </c>
      <c r="FD179" s="110" t="str">
        <f t="shared" si="237"/>
        <v/>
      </c>
      <c r="FF179" s="108" t="str">
        <f t="shared" si="295"/>
        <v/>
      </c>
      <c r="FG179" s="109" t="str">
        <f t="shared" si="369"/>
        <v/>
      </c>
      <c r="FH179" s="109" t="str">
        <f t="shared" si="296"/>
        <v/>
      </c>
      <c r="FI179" s="110" t="str">
        <f t="shared" si="238"/>
        <v/>
      </c>
      <c r="FK179" s="108" t="str">
        <f t="shared" si="370"/>
        <v/>
      </c>
      <c r="FL179" s="109" t="str">
        <f t="shared" si="371"/>
        <v/>
      </c>
      <c r="FM179" s="109" t="str">
        <f t="shared" si="297"/>
        <v/>
      </c>
      <c r="FN179" s="110" t="str">
        <f t="shared" si="239"/>
        <v/>
      </c>
      <c r="FP179" s="108" t="str">
        <f t="shared" si="298"/>
        <v/>
      </c>
      <c r="FQ179" s="109" t="str">
        <f t="shared" si="372"/>
        <v/>
      </c>
      <c r="FR179" s="109" t="str">
        <f t="shared" si="299"/>
        <v/>
      </c>
      <c r="FS179" s="110" t="str">
        <f t="shared" si="240"/>
        <v/>
      </c>
      <c r="FU179" s="108" t="str">
        <f t="shared" si="373"/>
        <v/>
      </c>
      <c r="FV179" s="109" t="str">
        <f t="shared" si="374"/>
        <v/>
      </c>
      <c r="FW179" s="109" t="str">
        <f t="shared" si="300"/>
        <v/>
      </c>
      <c r="FX179" s="110" t="str">
        <f t="shared" si="241"/>
        <v/>
      </c>
      <c r="FZ179" s="108" t="str">
        <f t="shared" si="301"/>
        <v/>
      </c>
      <c r="GA179" s="109" t="str">
        <f t="shared" si="375"/>
        <v/>
      </c>
      <c r="GB179" s="109" t="str">
        <f t="shared" si="302"/>
        <v/>
      </c>
      <c r="GC179" s="110" t="str">
        <f t="shared" si="242"/>
        <v/>
      </c>
      <c r="GE179" s="108" t="str">
        <f t="shared" si="376"/>
        <v/>
      </c>
      <c r="GF179" s="109" t="str">
        <f t="shared" si="377"/>
        <v/>
      </c>
      <c r="GG179" s="109" t="str">
        <f t="shared" si="378"/>
        <v/>
      </c>
      <c r="GH179" s="110" t="str">
        <f t="shared" si="243"/>
        <v/>
      </c>
      <c r="GL179" s="108" t="str">
        <f t="shared" si="303"/>
        <v/>
      </c>
      <c r="GM179" s="109" t="str">
        <f t="shared" si="304"/>
        <v/>
      </c>
      <c r="GN179" s="109" t="str">
        <f t="shared" si="305"/>
        <v/>
      </c>
      <c r="GO179" s="110" t="str">
        <f t="shared" si="306"/>
        <v/>
      </c>
      <c r="GP179" s="51"/>
      <c r="GQ179" s="108" t="str">
        <f t="shared" si="307"/>
        <v/>
      </c>
      <c r="GR179" s="109" t="str">
        <f t="shared" si="379"/>
        <v/>
      </c>
      <c r="GS179" s="109" t="str">
        <f t="shared" si="308"/>
        <v/>
      </c>
      <c r="GT179" s="110" t="str">
        <f t="shared" si="309"/>
        <v/>
      </c>
      <c r="GU179" s="51"/>
      <c r="GV179" s="108" t="str">
        <f t="shared" si="380"/>
        <v/>
      </c>
      <c r="GW179" s="109" t="str">
        <f t="shared" si="381"/>
        <v/>
      </c>
      <c r="GX179" s="109" t="str">
        <f t="shared" si="310"/>
        <v/>
      </c>
      <c r="GY179" s="110" t="str">
        <f t="shared" si="382"/>
        <v/>
      </c>
      <c r="GZ179" s="51"/>
      <c r="HA179" s="108" t="str">
        <f t="shared" si="311"/>
        <v/>
      </c>
      <c r="HB179" s="109" t="str">
        <f t="shared" si="383"/>
        <v/>
      </c>
      <c r="HC179" s="109" t="str">
        <f t="shared" si="312"/>
        <v/>
      </c>
      <c r="HD179" s="110" t="str">
        <f t="shared" si="417"/>
        <v/>
      </c>
      <c r="HE179" s="51"/>
      <c r="HF179" s="108" t="str">
        <f t="shared" si="384"/>
        <v/>
      </c>
      <c r="HG179" s="109" t="str">
        <f t="shared" si="385"/>
        <v/>
      </c>
      <c r="HH179" s="109" t="str">
        <f t="shared" si="313"/>
        <v/>
      </c>
      <c r="HI179" s="110" t="str">
        <f t="shared" si="386"/>
        <v/>
      </c>
      <c r="HJ179" s="51"/>
      <c r="HK179" s="108" t="str">
        <f t="shared" si="314"/>
        <v/>
      </c>
      <c r="HL179" s="109" t="str">
        <f t="shared" si="387"/>
        <v/>
      </c>
      <c r="HM179" s="109" t="str">
        <f t="shared" si="315"/>
        <v/>
      </c>
      <c r="HN179" s="110" t="str">
        <f t="shared" si="418"/>
        <v/>
      </c>
      <c r="HO179" s="51"/>
      <c r="HP179" s="108" t="str">
        <f t="shared" si="388"/>
        <v/>
      </c>
      <c r="HQ179" s="109" t="str">
        <f t="shared" si="389"/>
        <v/>
      </c>
      <c r="HR179" s="109" t="str">
        <f t="shared" si="316"/>
        <v/>
      </c>
      <c r="HS179" s="110" t="str">
        <f t="shared" si="390"/>
        <v/>
      </c>
      <c r="HT179" s="51"/>
      <c r="HU179" s="108" t="str">
        <f t="shared" si="317"/>
        <v/>
      </c>
      <c r="HV179" s="109" t="str">
        <f t="shared" si="391"/>
        <v/>
      </c>
      <c r="HW179" s="109" t="str">
        <f t="shared" si="318"/>
        <v/>
      </c>
      <c r="HX179" s="110" t="str">
        <f t="shared" si="419"/>
        <v/>
      </c>
      <c r="HY179" s="51"/>
      <c r="HZ179" s="108" t="str">
        <f t="shared" si="392"/>
        <v/>
      </c>
      <c r="IA179" s="109" t="str">
        <f t="shared" si="393"/>
        <v/>
      </c>
      <c r="IB179" s="109" t="str">
        <f t="shared" si="319"/>
        <v/>
      </c>
      <c r="IC179" s="110" t="str">
        <f t="shared" si="394"/>
        <v/>
      </c>
      <c r="ID179" s="51"/>
      <c r="IE179" s="108" t="str">
        <f t="shared" si="320"/>
        <v/>
      </c>
      <c r="IF179" s="109" t="str">
        <f t="shared" si="395"/>
        <v/>
      </c>
      <c r="IG179" s="109" t="str">
        <f t="shared" si="321"/>
        <v/>
      </c>
      <c r="IH179" s="110" t="str">
        <f t="shared" si="420"/>
        <v/>
      </c>
      <c r="II179" s="51"/>
      <c r="IJ179" s="108" t="str">
        <f t="shared" si="396"/>
        <v/>
      </c>
      <c r="IK179" s="109" t="str">
        <f t="shared" si="397"/>
        <v/>
      </c>
      <c r="IL179" s="109" t="str">
        <f t="shared" si="322"/>
        <v/>
      </c>
      <c r="IM179" s="110" t="str">
        <f t="shared" si="398"/>
        <v/>
      </c>
      <c r="IN179" s="51"/>
      <c r="IO179" s="108" t="str">
        <f t="shared" si="323"/>
        <v/>
      </c>
      <c r="IP179" s="109" t="str">
        <f t="shared" si="399"/>
        <v/>
      </c>
      <c r="IQ179" s="109" t="str">
        <f t="shared" si="324"/>
        <v/>
      </c>
      <c r="IR179" s="110" t="str">
        <f t="shared" si="421"/>
        <v/>
      </c>
      <c r="IS179" s="51"/>
      <c r="IT179" s="108" t="str">
        <f t="shared" si="400"/>
        <v/>
      </c>
      <c r="IU179" s="109" t="str">
        <f t="shared" si="401"/>
        <v/>
      </c>
      <c r="IV179" s="109" t="str">
        <f t="shared" si="325"/>
        <v/>
      </c>
      <c r="IW179" s="110" t="str">
        <f t="shared" si="402"/>
        <v/>
      </c>
      <c r="IX179" s="51"/>
      <c r="IY179" s="108" t="str">
        <f t="shared" si="326"/>
        <v/>
      </c>
      <c r="IZ179" s="109" t="str">
        <f t="shared" si="403"/>
        <v/>
      </c>
      <c r="JA179" s="109" t="str">
        <f t="shared" si="327"/>
        <v/>
      </c>
      <c r="JB179" s="110" t="str">
        <f t="shared" si="422"/>
        <v/>
      </c>
      <c r="JC179" s="51"/>
      <c r="JD179" s="108" t="str">
        <f t="shared" si="404"/>
        <v/>
      </c>
      <c r="JE179" s="109" t="str">
        <f t="shared" si="405"/>
        <v/>
      </c>
      <c r="JF179" s="109" t="str">
        <f t="shared" si="328"/>
        <v/>
      </c>
      <c r="JG179" s="110" t="str">
        <f t="shared" si="406"/>
        <v/>
      </c>
      <c r="JH179" s="51"/>
      <c r="JI179" s="108" t="str">
        <f t="shared" si="329"/>
        <v/>
      </c>
      <c r="JJ179" s="109" t="str">
        <f t="shared" si="407"/>
        <v/>
      </c>
      <c r="JK179" s="109" t="str">
        <f t="shared" si="330"/>
        <v/>
      </c>
      <c r="JL179" s="110" t="str">
        <f t="shared" si="423"/>
        <v/>
      </c>
      <c r="JM179" s="51"/>
      <c r="JN179" s="108" t="str">
        <f t="shared" si="408"/>
        <v/>
      </c>
      <c r="JO179" s="109" t="str">
        <f t="shared" si="409"/>
        <v/>
      </c>
      <c r="JP179" s="109" t="str">
        <f t="shared" si="331"/>
        <v/>
      </c>
      <c r="JQ179" s="110" t="str">
        <f t="shared" si="410"/>
        <v/>
      </c>
      <c r="JR179" s="51"/>
      <c r="JS179" s="108" t="str">
        <f t="shared" si="332"/>
        <v/>
      </c>
      <c r="JT179" s="109" t="str">
        <f t="shared" si="411"/>
        <v/>
      </c>
      <c r="JU179" s="109" t="str">
        <f t="shared" si="333"/>
        <v/>
      </c>
      <c r="JV179" s="110" t="str">
        <f t="shared" si="424"/>
        <v/>
      </c>
      <c r="JW179" s="51"/>
      <c r="JX179" s="108" t="str">
        <f t="shared" si="412"/>
        <v/>
      </c>
      <c r="JY179" s="109" t="str">
        <f t="shared" si="413"/>
        <v/>
      </c>
      <c r="JZ179" s="109" t="str">
        <f t="shared" si="334"/>
        <v/>
      </c>
      <c r="KA179" s="110" t="str">
        <f t="shared" si="335"/>
        <v/>
      </c>
    </row>
    <row r="180" spans="1:287" ht="12" customHeight="1">
      <c r="A180" s="105">
        <f t="array" ref="A180">MAX(IF($J$80:J179&gt;0,$C$80:C179,0))</f>
        <v>43536</v>
      </c>
      <c r="B180" s="81" t="str">
        <f t="shared" si="248"/>
        <v/>
      </c>
      <c r="C180" s="82">
        <f t="shared" si="414"/>
        <v>0</v>
      </c>
      <c r="D180" s="83" t="str">
        <f t="shared" si="249"/>
        <v/>
      </c>
      <c r="E180" s="83" t="str">
        <f t="shared" si="336"/>
        <v/>
      </c>
      <c r="F180" s="83" t="str">
        <f t="shared" si="250"/>
        <v/>
      </c>
      <c r="G180" s="83" t="str">
        <f t="shared" si="251"/>
        <v/>
      </c>
      <c r="H180" s="83" t="str">
        <f t="shared" si="252"/>
        <v/>
      </c>
      <c r="I180" s="105">
        <f t="array" ref="I180">MAX(IF($R$80:R179&gt;0,$L$80:L179,0))</f>
        <v>0</v>
      </c>
      <c r="J180" s="106"/>
      <c r="K180" s="2" t="str">
        <f t="shared" si="253"/>
        <v/>
      </c>
      <c r="L180" s="82">
        <f t="shared" si="415"/>
        <v>0</v>
      </c>
      <c r="M180" s="83" t="str">
        <f t="shared" si="337"/>
        <v/>
      </c>
      <c r="N180" s="83" t="str">
        <f t="shared" si="254"/>
        <v/>
      </c>
      <c r="O180" s="83" t="str">
        <f t="shared" si="255"/>
        <v/>
      </c>
      <c r="P180" s="83" t="str">
        <f t="shared" si="256"/>
        <v/>
      </c>
      <c r="Q180" s="83" t="str">
        <f t="shared" si="257"/>
        <v/>
      </c>
      <c r="R180" s="106"/>
      <c r="S180" s="1"/>
      <c r="U180" s="85" t="e">
        <f t="shared" si="244"/>
        <v>#NUM!</v>
      </c>
      <c r="V180" s="86" t="e">
        <f t="shared" si="338"/>
        <v>#NUM!</v>
      </c>
      <c r="W180" s="87" t="e">
        <f t="shared" si="258"/>
        <v>#NUM!</v>
      </c>
      <c r="X180" s="87" t="e">
        <f t="shared" si="259"/>
        <v>#NUM!</v>
      </c>
      <c r="Y180" s="87" t="e">
        <f t="shared" si="260"/>
        <v>#NUM!</v>
      </c>
      <c r="Z180" s="88" t="e">
        <f t="shared" si="245"/>
        <v>#NUM!</v>
      </c>
      <c r="AA180" t="s">
        <v>282</v>
      </c>
      <c r="AB180" s="89">
        <f t="shared" si="339"/>
        <v>0</v>
      </c>
      <c r="AC180" s="87">
        <f t="shared" si="340"/>
        <v>0</v>
      </c>
      <c r="AD180" s="87" t="str">
        <f t="shared" si="261"/>
        <v/>
      </c>
      <c r="AE180" s="87" t="str">
        <f t="shared" si="262"/>
        <v/>
      </c>
      <c r="AF180" s="86">
        <f t="shared" si="341"/>
        <v>0</v>
      </c>
      <c r="AG180" s="87">
        <f t="shared" si="246"/>
        <v>0</v>
      </c>
      <c r="AH180" s="87">
        <f t="shared" si="342"/>
        <v>0</v>
      </c>
      <c r="AI180" s="90"/>
      <c r="AJ180" s="87" t="e">
        <f t="shared" si="263"/>
        <v>#NUM!</v>
      </c>
      <c r="AK180" s="87" t="e">
        <f t="shared" si="343"/>
        <v>#NUM!</v>
      </c>
      <c r="AL180" s="87" t="e">
        <f t="shared" si="344"/>
        <v>#NUM!</v>
      </c>
      <c r="AM180" s="87" t="e">
        <f t="shared" si="345"/>
        <v>#NUM!</v>
      </c>
      <c r="AN180" s="86">
        <f t="shared" si="264"/>
        <v>0</v>
      </c>
      <c r="AO180" s="87">
        <f t="shared" si="265"/>
        <v>0</v>
      </c>
      <c r="AP180" s="88">
        <f t="shared" si="266"/>
        <v>0</v>
      </c>
      <c r="AR180" s="89">
        <f t="shared" si="267"/>
        <v>0</v>
      </c>
      <c r="AS180" s="87">
        <f t="shared" si="268"/>
        <v>0</v>
      </c>
      <c r="AT180" s="87" t="str">
        <f t="shared" si="269"/>
        <v/>
      </c>
      <c r="AU180" s="87" t="str">
        <f t="shared" si="270"/>
        <v/>
      </c>
      <c r="AV180" s="86">
        <f t="shared" si="346"/>
        <v>0</v>
      </c>
      <c r="AW180" s="87">
        <f t="shared" si="347"/>
        <v>0</v>
      </c>
      <c r="AX180" s="87">
        <f t="shared" si="348"/>
        <v>0</v>
      </c>
      <c r="AY180" s="93"/>
      <c r="AZ180" s="87">
        <f t="shared" si="425"/>
        <v>0</v>
      </c>
      <c r="BA180" s="87">
        <f t="shared" si="349"/>
        <v>0</v>
      </c>
      <c r="BB180" s="87">
        <f t="shared" si="350"/>
        <v>0</v>
      </c>
      <c r="BC180" s="87">
        <f t="shared" si="416"/>
        <v>0</v>
      </c>
      <c r="BD180" s="86" t="e">
        <f t="shared" si="271"/>
        <v>#NUM!</v>
      </c>
      <c r="BE180" s="87" t="e">
        <f t="shared" si="247"/>
        <v>#NUM!</v>
      </c>
      <c r="BF180" s="88">
        <f t="shared" si="351"/>
        <v>0</v>
      </c>
      <c r="BH180" s="87" t="e">
        <f t="shared" si="272"/>
        <v>#NUM!</v>
      </c>
      <c r="BK180" s="95">
        <v>41785</v>
      </c>
      <c r="BL180" s="96">
        <v>101</v>
      </c>
      <c r="CS180" s="108" t="str">
        <f t="shared" si="273"/>
        <v/>
      </c>
      <c r="CT180" s="109" t="str">
        <f t="shared" si="274"/>
        <v/>
      </c>
      <c r="CU180" s="109" t="str">
        <f t="shared" si="275"/>
        <v/>
      </c>
      <c r="CV180" s="110" t="str">
        <f t="shared" si="225"/>
        <v/>
      </c>
      <c r="CX180" s="108" t="str">
        <f t="shared" si="276"/>
        <v/>
      </c>
      <c r="CY180" s="109" t="str">
        <f t="shared" si="352"/>
        <v/>
      </c>
      <c r="CZ180" s="109" t="str">
        <f t="shared" si="277"/>
        <v/>
      </c>
      <c r="DA180" s="110" t="str">
        <f t="shared" si="226"/>
        <v/>
      </c>
      <c r="DC180" s="108" t="str">
        <f t="shared" si="353"/>
        <v/>
      </c>
      <c r="DD180" s="109" t="str">
        <f t="shared" si="354"/>
        <v/>
      </c>
      <c r="DE180" s="109" t="str">
        <f t="shared" si="278"/>
        <v/>
      </c>
      <c r="DF180" s="110" t="str">
        <f t="shared" si="227"/>
        <v/>
      </c>
      <c r="DH180" s="108" t="str">
        <f t="shared" si="279"/>
        <v/>
      </c>
      <c r="DI180" s="109" t="str">
        <f t="shared" si="280"/>
        <v/>
      </c>
      <c r="DJ180" s="109" t="str">
        <f t="shared" si="281"/>
        <v/>
      </c>
      <c r="DK180" s="110" t="str">
        <f t="shared" si="228"/>
        <v/>
      </c>
      <c r="DM180" s="108" t="str">
        <f t="shared" si="355"/>
        <v/>
      </c>
      <c r="DN180" s="109" t="str">
        <f t="shared" si="356"/>
        <v/>
      </c>
      <c r="DO180" s="109" t="str">
        <f t="shared" si="282"/>
        <v/>
      </c>
      <c r="DP180" s="110" t="str">
        <f t="shared" si="229"/>
        <v/>
      </c>
      <c r="DR180" s="108" t="str">
        <f t="shared" si="283"/>
        <v/>
      </c>
      <c r="DS180" s="109" t="str">
        <f t="shared" si="357"/>
        <v/>
      </c>
      <c r="DT180" s="109" t="str">
        <f t="shared" si="284"/>
        <v/>
      </c>
      <c r="DU180" s="110" t="str">
        <f t="shared" si="230"/>
        <v/>
      </c>
      <c r="DW180" s="108" t="str">
        <f t="shared" si="358"/>
        <v/>
      </c>
      <c r="DX180" s="109" t="str">
        <f t="shared" si="359"/>
        <v/>
      </c>
      <c r="DY180" s="109" t="str">
        <f t="shared" si="285"/>
        <v/>
      </c>
      <c r="DZ180" s="110" t="str">
        <f t="shared" si="231"/>
        <v/>
      </c>
      <c r="EB180" s="108" t="str">
        <f t="shared" si="286"/>
        <v/>
      </c>
      <c r="EC180" s="109" t="str">
        <f t="shared" si="360"/>
        <v/>
      </c>
      <c r="ED180" s="109" t="str">
        <f t="shared" si="287"/>
        <v/>
      </c>
      <c r="EE180" s="110" t="str">
        <f t="shared" si="232"/>
        <v/>
      </c>
      <c r="EG180" s="108" t="str">
        <f t="shared" si="361"/>
        <v/>
      </c>
      <c r="EH180" s="109" t="str">
        <f t="shared" si="362"/>
        <v/>
      </c>
      <c r="EI180" s="109" t="str">
        <f t="shared" si="288"/>
        <v/>
      </c>
      <c r="EJ180" s="110" t="str">
        <f t="shared" si="233"/>
        <v/>
      </c>
      <c r="EL180" s="108" t="str">
        <f t="shared" si="289"/>
        <v/>
      </c>
      <c r="EM180" s="109" t="str">
        <f t="shared" si="363"/>
        <v/>
      </c>
      <c r="EN180" s="109" t="str">
        <f t="shared" si="290"/>
        <v/>
      </c>
      <c r="EO180" s="110" t="str">
        <f t="shared" si="234"/>
        <v/>
      </c>
      <c r="EQ180" s="108" t="str">
        <f t="shared" si="364"/>
        <v/>
      </c>
      <c r="ER180" s="109" t="str">
        <f t="shared" si="365"/>
        <v/>
      </c>
      <c r="ES180" s="109" t="str">
        <f t="shared" si="291"/>
        <v/>
      </c>
      <c r="ET180" s="110" t="str">
        <f t="shared" si="235"/>
        <v/>
      </c>
      <c r="EV180" s="108" t="str">
        <f t="shared" si="292"/>
        <v/>
      </c>
      <c r="EW180" s="109" t="str">
        <f t="shared" si="366"/>
        <v/>
      </c>
      <c r="EX180" s="109" t="str">
        <f t="shared" si="293"/>
        <v/>
      </c>
      <c r="EY180" s="110" t="str">
        <f t="shared" si="236"/>
        <v/>
      </c>
      <c r="FA180" s="108" t="str">
        <f t="shared" si="367"/>
        <v/>
      </c>
      <c r="FB180" s="109" t="str">
        <f t="shared" si="368"/>
        <v/>
      </c>
      <c r="FC180" s="109" t="str">
        <f t="shared" si="294"/>
        <v/>
      </c>
      <c r="FD180" s="110" t="str">
        <f t="shared" si="237"/>
        <v/>
      </c>
      <c r="FF180" s="108" t="str">
        <f t="shared" si="295"/>
        <v/>
      </c>
      <c r="FG180" s="109" t="str">
        <f t="shared" si="369"/>
        <v/>
      </c>
      <c r="FH180" s="109" t="str">
        <f t="shared" si="296"/>
        <v/>
      </c>
      <c r="FI180" s="110" t="str">
        <f t="shared" si="238"/>
        <v/>
      </c>
      <c r="FK180" s="108" t="str">
        <f t="shared" si="370"/>
        <v/>
      </c>
      <c r="FL180" s="109" t="str">
        <f t="shared" si="371"/>
        <v/>
      </c>
      <c r="FM180" s="109" t="str">
        <f t="shared" si="297"/>
        <v/>
      </c>
      <c r="FN180" s="110" t="str">
        <f t="shared" si="239"/>
        <v/>
      </c>
      <c r="FP180" s="108" t="str">
        <f t="shared" si="298"/>
        <v/>
      </c>
      <c r="FQ180" s="109" t="str">
        <f t="shared" si="372"/>
        <v/>
      </c>
      <c r="FR180" s="109" t="str">
        <f t="shared" si="299"/>
        <v/>
      </c>
      <c r="FS180" s="110" t="str">
        <f t="shared" si="240"/>
        <v/>
      </c>
      <c r="FU180" s="108" t="str">
        <f t="shared" si="373"/>
        <v/>
      </c>
      <c r="FV180" s="109" t="str">
        <f t="shared" si="374"/>
        <v/>
      </c>
      <c r="FW180" s="109" t="str">
        <f t="shared" si="300"/>
        <v/>
      </c>
      <c r="FX180" s="110" t="str">
        <f t="shared" si="241"/>
        <v/>
      </c>
      <c r="FZ180" s="108" t="str">
        <f t="shared" si="301"/>
        <v/>
      </c>
      <c r="GA180" s="109" t="str">
        <f t="shared" si="375"/>
        <v/>
      </c>
      <c r="GB180" s="109" t="str">
        <f t="shared" si="302"/>
        <v/>
      </c>
      <c r="GC180" s="110" t="str">
        <f t="shared" si="242"/>
        <v/>
      </c>
      <c r="GE180" s="108" t="str">
        <f t="shared" si="376"/>
        <v/>
      </c>
      <c r="GF180" s="109" t="str">
        <f t="shared" si="377"/>
        <v/>
      </c>
      <c r="GG180" s="109" t="str">
        <f t="shared" si="378"/>
        <v/>
      </c>
      <c r="GH180" s="110" t="str">
        <f t="shared" si="243"/>
        <v/>
      </c>
      <c r="GL180" s="108" t="str">
        <f t="shared" si="303"/>
        <v/>
      </c>
      <c r="GM180" s="109" t="str">
        <f t="shared" si="304"/>
        <v/>
      </c>
      <c r="GN180" s="109" t="str">
        <f t="shared" si="305"/>
        <v/>
      </c>
      <c r="GO180" s="110" t="str">
        <f t="shared" si="306"/>
        <v/>
      </c>
      <c r="GP180" s="51"/>
      <c r="GQ180" s="108" t="str">
        <f t="shared" si="307"/>
        <v/>
      </c>
      <c r="GR180" s="109" t="str">
        <f t="shared" si="379"/>
        <v/>
      </c>
      <c r="GS180" s="109" t="str">
        <f t="shared" si="308"/>
        <v/>
      </c>
      <c r="GT180" s="110" t="str">
        <f t="shared" si="309"/>
        <v/>
      </c>
      <c r="GU180" s="51"/>
      <c r="GV180" s="108" t="str">
        <f t="shared" si="380"/>
        <v/>
      </c>
      <c r="GW180" s="109" t="str">
        <f t="shared" si="381"/>
        <v/>
      </c>
      <c r="GX180" s="109" t="str">
        <f t="shared" si="310"/>
        <v/>
      </c>
      <c r="GY180" s="110" t="str">
        <f t="shared" si="382"/>
        <v/>
      </c>
      <c r="GZ180" s="51"/>
      <c r="HA180" s="108" t="str">
        <f t="shared" si="311"/>
        <v/>
      </c>
      <c r="HB180" s="109" t="str">
        <f t="shared" si="383"/>
        <v/>
      </c>
      <c r="HC180" s="109" t="str">
        <f t="shared" si="312"/>
        <v/>
      </c>
      <c r="HD180" s="110" t="str">
        <f t="shared" si="417"/>
        <v/>
      </c>
      <c r="HE180" s="51"/>
      <c r="HF180" s="108" t="str">
        <f t="shared" si="384"/>
        <v/>
      </c>
      <c r="HG180" s="109" t="str">
        <f t="shared" si="385"/>
        <v/>
      </c>
      <c r="HH180" s="109" t="str">
        <f t="shared" si="313"/>
        <v/>
      </c>
      <c r="HI180" s="110" t="str">
        <f t="shared" si="386"/>
        <v/>
      </c>
      <c r="HJ180" s="51"/>
      <c r="HK180" s="108" t="str">
        <f t="shared" si="314"/>
        <v/>
      </c>
      <c r="HL180" s="109" t="str">
        <f t="shared" si="387"/>
        <v/>
      </c>
      <c r="HM180" s="109" t="str">
        <f t="shared" si="315"/>
        <v/>
      </c>
      <c r="HN180" s="110" t="str">
        <f t="shared" si="418"/>
        <v/>
      </c>
      <c r="HO180" s="51"/>
      <c r="HP180" s="108" t="str">
        <f t="shared" si="388"/>
        <v/>
      </c>
      <c r="HQ180" s="109" t="str">
        <f t="shared" si="389"/>
        <v/>
      </c>
      <c r="HR180" s="109" t="str">
        <f t="shared" si="316"/>
        <v/>
      </c>
      <c r="HS180" s="110" t="str">
        <f t="shared" si="390"/>
        <v/>
      </c>
      <c r="HT180" s="51"/>
      <c r="HU180" s="108" t="str">
        <f t="shared" si="317"/>
        <v/>
      </c>
      <c r="HV180" s="109" t="str">
        <f t="shared" si="391"/>
        <v/>
      </c>
      <c r="HW180" s="109" t="str">
        <f t="shared" si="318"/>
        <v/>
      </c>
      <c r="HX180" s="110" t="str">
        <f t="shared" si="419"/>
        <v/>
      </c>
      <c r="HY180" s="51"/>
      <c r="HZ180" s="108" t="str">
        <f t="shared" si="392"/>
        <v/>
      </c>
      <c r="IA180" s="109" t="str">
        <f t="shared" si="393"/>
        <v/>
      </c>
      <c r="IB180" s="109" t="str">
        <f t="shared" si="319"/>
        <v/>
      </c>
      <c r="IC180" s="110" t="str">
        <f t="shared" si="394"/>
        <v/>
      </c>
      <c r="ID180" s="51"/>
      <c r="IE180" s="108" t="str">
        <f t="shared" si="320"/>
        <v/>
      </c>
      <c r="IF180" s="109" t="str">
        <f t="shared" si="395"/>
        <v/>
      </c>
      <c r="IG180" s="109" t="str">
        <f t="shared" si="321"/>
        <v/>
      </c>
      <c r="IH180" s="110" t="str">
        <f t="shared" si="420"/>
        <v/>
      </c>
      <c r="II180" s="51"/>
      <c r="IJ180" s="108" t="str">
        <f t="shared" si="396"/>
        <v/>
      </c>
      <c r="IK180" s="109" t="str">
        <f t="shared" si="397"/>
        <v/>
      </c>
      <c r="IL180" s="109" t="str">
        <f t="shared" si="322"/>
        <v/>
      </c>
      <c r="IM180" s="110" t="str">
        <f t="shared" si="398"/>
        <v/>
      </c>
      <c r="IN180" s="51"/>
      <c r="IO180" s="108" t="str">
        <f t="shared" si="323"/>
        <v/>
      </c>
      <c r="IP180" s="109" t="str">
        <f t="shared" si="399"/>
        <v/>
      </c>
      <c r="IQ180" s="109" t="str">
        <f t="shared" si="324"/>
        <v/>
      </c>
      <c r="IR180" s="110" t="str">
        <f t="shared" si="421"/>
        <v/>
      </c>
      <c r="IS180" s="51"/>
      <c r="IT180" s="108" t="str">
        <f t="shared" si="400"/>
        <v/>
      </c>
      <c r="IU180" s="109" t="str">
        <f t="shared" si="401"/>
        <v/>
      </c>
      <c r="IV180" s="109" t="str">
        <f t="shared" si="325"/>
        <v/>
      </c>
      <c r="IW180" s="110" t="str">
        <f t="shared" si="402"/>
        <v/>
      </c>
      <c r="IX180" s="51"/>
      <c r="IY180" s="108" t="str">
        <f t="shared" si="326"/>
        <v/>
      </c>
      <c r="IZ180" s="109" t="str">
        <f t="shared" si="403"/>
        <v/>
      </c>
      <c r="JA180" s="109" t="str">
        <f t="shared" si="327"/>
        <v/>
      </c>
      <c r="JB180" s="110" t="str">
        <f t="shared" si="422"/>
        <v/>
      </c>
      <c r="JC180" s="51"/>
      <c r="JD180" s="108" t="str">
        <f t="shared" si="404"/>
        <v/>
      </c>
      <c r="JE180" s="109" t="str">
        <f t="shared" si="405"/>
        <v/>
      </c>
      <c r="JF180" s="109" t="str">
        <f t="shared" si="328"/>
        <v/>
      </c>
      <c r="JG180" s="110" t="str">
        <f t="shared" si="406"/>
        <v/>
      </c>
      <c r="JH180" s="51"/>
      <c r="JI180" s="108" t="str">
        <f t="shared" si="329"/>
        <v/>
      </c>
      <c r="JJ180" s="109" t="str">
        <f t="shared" si="407"/>
        <v/>
      </c>
      <c r="JK180" s="109" t="str">
        <f t="shared" si="330"/>
        <v/>
      </c>
      <c r="JL180" s="110" t="str">
        <f t="shared" si="423"/>
        <v/>
      </c>
      <c r="JM180" s="51"/>
      <c r="JN180" s="108" t="str">
        <f t="shared" si="408"/>
        <v/>
      </c>
      <c r="JO180" s="109" t="str">
        <f t="shared" si="409"/>
        <v/>
      </c>
      <c r="JP180" s="109" t="str">
        <f t="shared" si="331"/>
        <v/>
      </c>
      <c r="JQ180" s="110" t="str">
        <f t="shared" si="410"/>
        <v/>
      </c>
      <c r="JR180" s="51"/>
      <c r="JS180" s="108" t="str">
        <f t="shared" si="332"/>
        <v/>
      </c>
      <c r="JT180" s="109" t="str">
        <f t="shared" si="411"/>
        <v/>
      </c>
      <c r="JU180" s="109" t="str">
        <f t="shared" si="333"/>
        <v/>
      </c>
      <c r="JV180" s="110" t="str">
        <f t="shared" si="424"/>
        <v/>
      </c>
      <c r="JW180" s="51"/>
      <c r="JX180" s="108" t="str">
        <f t="shared" si="412"/>
        <v/>
      </c>
      <c r="JY180" s="109" t="str">
        <f t="shared" si="413"/>
        <v/>
      </c>
      <c r="JZ180" s="109" t="str">
        <f t="shared" si="334"/>
        <v/>
      </c>
      <c r="KA180" s="110" t="str">
        <f t="shared" si="335"/>
        <v/>
      </c>
    </row>
    <row r="181" spans="1:287" ht="12" customHeight="1">
      <c r="A181" s="105">
        <f t="array" ref="A181">MAX(IF($J$80:J180&gt;0,$C$80:C180,0))</f>
        <v>43536</v>
      </c>
      <c r="B181" s="81" t="str">
        <f t="shared" si="248"/>
        <v/>
      </c>
      <c r="C181" s="82">
        <f t="shared" si="414"/>
        <v>0</v>
      </c>
      <c r="D181" s="83" t="str">
        <f t="shared" si="249"/>
        <v/>
      </c>
      <c r="E181" s="83" t="str">
        <f t="shared" si="336"/>
        <v/>
      </c>
      <c r="F181" s="83" t="str">
        <f t="shared" si="250"/>
        <v/>
      </c>
      <c r="G181" s="83" t="str">
        <f t="shared" si="251"/>
        <v/>
      </c>
      <c r="H181" s="83" t="str">
        <f t="shared" si="252"/>
        <v/>
      </c>
      <c r="I181" s="105">
        <f t="array" ref="I181">MAX(IF($R$80:R180&gt;0,$L$80:L180,0))</f>
        <v>0</v>
      </c>
      <c r="J181" s="106"/>
      <c r="K181" s="2" t="str">
        <f t="shared" si="253"/>
        <v/>
      </c>
      <c r="L181" s="82">
        <f t="shared" si="415"/>
        <v>0</v>
      </c>
      <c r="M181" s="83" t="str">
        <f t="shared" si="337"/>
        <v/>
      </c>
      <c r="N181" s="83" t="str">
        <f t="shared" si="254"/>
        <v/>
      </c>
      <c r="O181" s="83" t="str">
        <f t="shared" si="255"/>
        <v/>
      </c>
      <c r="P181" s="83" t="str">
        <f t="shared" si="256"/>
        <v/>
      </c>
      <c r="Q181" s="83" t="str">
        <f t="shared" si="257"/>
        <v/>
      </c>
      <c r="R181" s="106"/>
      <c r="S181" s="1"/>
      <c r="U181" s="85" t="e">
        <f t="shared" si="244"/>
        <v>#NUM!</v>
      </c>
      <c r="V181" s="86" t="e">
        <f t="shared" si="338"/>
        <v>#NUM!</v>
      </c>
      <c r="W181" s="87" t="e">
        <f t="shared" si="258"/>
        <v>#NUM!</v>
      </c>
      <c r="X181" s="87" t="e">
        <f t="shared" si="259"/>
        <v>#NUM!</v>
      </c>
      <c r="Y181" s="87" t="e">
        <f t="shared" si="260"/>
        <v>#NUM!</v>
      </c>
      <c r="Z181" s="88" t="e">
        <f t="shared" si="245"/>
        <v>#NUM!</v>
      </c>
      <c r="AA181" t="s">
        <v>282</v>
      </c>
      <c r="AB181" s="89">
        <f t="shared" si="339"/>
        <v>0</v>
      </c>
      <c r="AC181" s="87">
        <f t="shared" si="340"/>
        <v>0</v>
      </c>
      <c r="AD181" s="87" t="str">
        <f t="shared" si="261"/>
        <v/>
      </c>
      <c r="AE181" s="87" t="str">
        <f t="shared" si="262"/>
        <v/>
      </c>
      <c r="AF181" s="86">
        <f t="shared" si="341"/>
        <v>0</v>
      </c>
      <c r="AG181" s="87">
        <f t="shared" si="246"/>
        <v>0</v>
      </c>
      <c r="AH181" s="87">
        <f t="shared" si="342"/>
        <v>0</v>
      </c>
      <c r="AI181" s="90"/>
      <c r="AJ181" s="87" t="e">
        <f t="shared" si="263"/>
        <v>#NUM!</v>
      </c>
      <c r="AK181" s="87" t="e">
        <f t="shared" si="343"/>
        <v>#NUM!</v>
      </c>
      <c r="AL181" s="87" t="e">
        <f t="shared" si="344"/>
        <v>#NUM!</v>
      </c>
      <c r="AM181" s="87" t="e">
        <f t="shared" si="345"/>
        <v>#NUM!</v>
      </c>
      <c r="AN181" s="86">
        <f t="shared" si="264"/>
        <v>0</v>
      </c>
      <c r="AO181" s="87">
        <f t="shared" si="265"/>
        <v>0</v>
      </c>
      <c r="AP181" s="88">
        <f t="shared" si="266"/>
        <v>0</v>
      </c>
      <c r="AR181" s="89">
        <f t="shared" si="267"/>
        <v>0</v>
      </c>
      <c r="AS181" s="87">
        <f t="shared" si="268"/>
        <v>0</v>
      </c>
      <c r="AT181" s="87" t="str">
        <f t="shared" si="269"/>
        <v/>
      </c>
      <c r="AU181" s="87" t="str">
        <f t="shared" si="270"/>
        <v/>
      </c>
      <c r="AV181" s="86">
        <f t="shared" si="346"/>
        <v>0</v>
      </c>
      <c r="AW181" s="87">
        <f t="shared" si="347"/>
        <v>0</v>
      </c>
      <c r="AX181" s="87">
        <f t="shared" si="348"/>
        <v>0</v>
      </c>
      <c r="AY181" s="93"/>
      <c r="AZ181" s="87">
        <f t="shared" si="425"/>
        <v>0</v>
      </c>
      <c r="BA181" s="87">
        <f t="shared" si="349"/>
        <v>0</v>
      </c>
      <c r="BB181" s="87">
        <f t="shared" si="350"/>
        <v>0</v>
      </c>
      <c r="BC181" s="87">
        <f t="shared" si="416"/>
        <v>0</v>
      </c>
      <c r="BD181" s="86" t="e">
        <f t="shared" si="271"/>
        <v>#NUM!</v>
      </c>
      <c r="BE181" s="87" t="e">
        <f t="shared" si="247"/>
        <v>#NUM!</v>
      </c>
      <c r="BF181" s="88">
        <f t="shared" si="351"/>
        <v>0</v>
      </c>
      <c r="BH181" s="87" t="e">
        <f t="shared" si="272"/>
        <v>#NUM!</v>
      </c>
      <c r="BK181" s="95">
        <v>41879</v>
      </c>
      <c r="BL181" s="96">
        <v>102</v>
      </c>
      <c r="CS181" s="108" t="str">
        <f t="shared" si="273"/>
        <v/>
      </c>
      <c r="CT181" s="109" t="str">
        <f t="shared" si="274"/>
        <v/>
      </c>
      <c r="CU181" s="109" t="str">
        <f t="shared" si="275"/>
        <v/>
      </c>
      <c r="CV181" s="110" t="str">
        <f t="shared" si="225"/>
        <v/>
      </c>
      <c r="CX181" s="108" t="str">
        <f t="shared" si="276"/>
        <v/>
      </c>
      <c r="CY181" s="109" t="str">
        <f t="shared" si="352"/>
        <v/>
      </c>
      <c r="CZ181" s="109" t="str">
        <f t="shared" si="277"/>
        <v/>
      </c>
      <c r="DA181" s="110" t="str">
        <f t="shared" si="226"/>
        <v/>
      </c>
      <c r="DC181" s="108" t="str">
        <f t="shared" si="353"/>
        <v/>
      </c>
      <c r="DD181" s="109" t="str">
        <f t="shared" si="354"/>
        <v/>
      </c>
      <c r="DE181" s="109" t="str">
        <f t="shared" si="278"/>
        <v/>
      </c>
      <c r="DF181" s="110" t="str">
        <f t="shared" si="227"/>
        <v/>
      </c>
      <c r="DH181" s="108" t="str">
        <f t="shared" si="279"/>
        <v/>
      </c>
      <c r="DI181" s="109" t="str">
        <f t="shared" si="280"/>
        <v/>
      </c>
      <c r="DJ181" s="109" t="str">
        <f t="shared" si="281"/>
        <v/>
      </c>
      <c r="DK181" s="110" t="str">
        <f t="shared" si="228"/>
        <v/>
      </c>
      <c r="DM181" s="108" t="str">
        <f t="shared" si="355"/>
        <v/>
      </c>
      <c r="DN181" s="109" t="str">
        <f t="shared" si="356"/>
        <v/>
      </c>
      <c r="DO181" s="109" t="str">
        <f t="shared" si="282"/>
        <v/>
      </c>
      <c r="DP181" s="110" t="str">
        <f t="shared" si="229"/>
        <v/>
      </c>
      <c r="DR181" s="108" t="str">
        <f t="shared" si="283"/>
        <v/>
      </c>
      <c r="DS181" s="109" t="str">
        <f t="shared" si="357"/>
        <v/>
      </c>
      <c r="DT181" s="109" t="str">
        <f t="shared" si="284"/>
        <v/>
      </c>
      <c r="DU181" s="110" t="str">
        <f t="shared" si="230"/>
        <v/>
      </c>
      <c r="DW181" s="108" t="str">
        <f t="shared" si="358"/>
        <v/>
      </c>
      <c r="DX181" s="109" t="str">
        <f t="shared" si="359"/>
        <v/>
      </c>
      <c r="DY181" s="109" t="str">
        <f t="shared" si="285"/>
        <v/>
      </c>
      <c r="DZ181" s="110" t="str">
        <f t="shared" si="231"/>
        <v/>
      </c>
      <c r="EB181" s="108" t="str">
        <f t="shared" si="286"/>
        <v/>
      </c>
      <c r="EC181" s="109" t="str">
        <f t="shared" si="360"/>
        <v/>
      </c>
      <c r="ED181" s="109" t="str">
        <f t="shared" si="287"/>
        <v/>
      </c>
      <c r="EE181" s="110" t="str">
        <f t="shared" si="232"/>
        <v/>
      </c>
      <c r="EG181" s="108" t="str">
        <f t="shared" si="361"/>
        <v/>
      </c>
      <c r="EH181" s="109" t="str">
        <f t="shared" si="362"/>
        <v/>
      </c>
      <c r="EI181" s="109" t="str">
        <f t="shared" si="288"/>
        <v/>
      </c>
      <c r="EJ181" s="110" t="str">
        <f t="shared" si="233"/>
        <v/>
      </c>
      <c r="EL181" s="108" t="str">
        <f t="shared" si="289"/>
        <v/>
      </c>
      <c r="EM181" s="109" t="str">
        <f t="shared" si="363"/>
        <v/>
      </c>
      <c r="EN181" s="109" t="str">
        <f t="shared" si="290"/>
        <v/>
      </c>
      <c r="EO181" s="110" t="str">
        <f t="shared" si="234"/>
        <v/>
      </c>
      <c r="EQ181" s="108" t="str">
        <f t="shared" si="364"/>
        <v/>
      </c>
      <c r="ER181" s="109" t="str">
        <f t="shared" si="365"/>
        <v/>
      </c>
      <c r="ES181" s="109" t="str">
        <f t="shared" si="291"/>
        <v/>
      </c>
      <c r="ET181" s="110" t="str">
        <f t="shared" si="235"/>
        <v/>
      </c>
      <c r="EV181" s="108" t="str">
        <f t="shared" si="292"/>
        <v/>
      </c>
      <c r="EW181" s="109" t="str">
        <f t="shared" si="366"/>
        <v/>
      </c>
      <c r="EX181" s="109" t="str">
        <f t="shared" si="293"/>
        <v/>
      </c>
      <c r="EY181" s="110" t="str">
        <f t="shared" si="236"/>
        <v/>
      </c>
      <c r="FA181" s="108" t="str">
        <f t="shared" si="367"/>
        <v/>
      </c>
      <c r="FB181" s="109" t="str">
        <f t="shared" si="368"/>
        <v/>
      </c>
      <c r="FC181" s="109" t="str">
        <f t="shared" si="294"/>
        <v/>
      </c>
      <c r="FD181" s="110" t="str">
        <f t="shared" si="237"/>
        <v/>
      </c>
      <c r="FF181" s="108" t="str">
        <f t="shared" si="295"/>
        <v/>
      </c>
      <c r="FG181" s="109" t="str">
        <f t="shared" si="369"/>
        <v/>
      </c>
      <c r="FH181" s="109" t="str">
        <f t="shared" si="296"/>
        <v/>
      </c>
      <c r="FI181" s="110" t="str">
        <f t="shared" si="238"/>
        <v/>
      </c>
      <c r="FK181" s="108" t="str">
        <f t="shared" si="370"/>
        <v/>
      </c>
      <c r="FL181" s="109" t="str">
        <f t="shared" si="371"/>
        <v/>
      </c>
      <c r="FM181" s="109" t="str">
        <f t="shared" si="297"/>
        <v/>
      </c>
      <c r="FN181" s="110" t="str">
        <f t="shared" si="239"/>
        <v/>
      </c>
      <c r="FP181" s="108" t="str">
        <f t="shared" si="298"/>
        <v/>
      </c>
      <c r="FQ181" s="109" t="str">
        <f t="shared" si="372"/>
        <v/>
      </c>
      <c r="FR181" s="109" t="str">
        <f t="shared" si="299"/>
        <v/>
      </c>
      <c r="FS181" s="110" t="str">
        <f t="shared" si="240"/>
        <v/>
      </c>
      <c r="FU181" s="108" t="str">
        <f t="shared" si="373"/>
        <v/>
      </c>
      <c r="FV181" s="109" t="str">
        <f t="shared" si="374"/>
        <v/>
      </c>
      <c r="FW181" s="109" t="str">
        <f t="shared" si="300"/>
        <v/>
      </c>
      <c r="FX181" s="110" t="str">
        <f t="shared" si="241"/>
        <v/>
      </c>
      <c r="FZ181" s="108" t="str">
        <f t="shared" si="301"/>
        <v/>
      </c>
      <c r="GA181" s="109" t="str">
        <f t="shared" si="375"/>
        <v/>
      </c>
      <c r="GB181" s="109" t="str">
        <f t="shared" si="302"/>
        <v/>
      </c>
      <c r="GC181" s="110" t="str">
        <f t="shared" si="242"/>
        <v/>
      </c>
      <c r="GE181" s="108" t="str">
        <f t="shared" si="376"/>
        <v/>
      </c>
      <c r="GF181" s="109" t="str">
        <f t="shared" si="377"/>
        <v/>
      </c>
      <c r="GG181" s="109" t="str">
        <f t="shared" si="378"/>
        <v/>
      </c>
      <c r="GH181" s="110" t="str">
        <f t="shared" si="243"/>
        <v/>
      </c>
      <c r="GL181" s="108" t="str">
        <f t="shared" si="303"/>
        <v/>
      </c>
      <c r="GM181" s="109" t="str">
        <f t="shared" si="304"/>
        <v/>
      </c>
      <c r="GN181" s="109" t="str">
        <f t="shared" si="305"/>
        <v/>
      </c>
      <c r="GO181" s="110" t="str">
        <f t="shared" si="306"/>
        <v/>
      </c>
      <c r="GP181" s="51"/>
      <c r="GQ181" s="108" t="str">
        <f t="shared" si="307"/>
        <v/>
      </c>
      <c r="GR181" s="109" t="str">
        <f t="shared" si="379"/>
        <v/>
      </c>
      <c r="GS181" s="109" t="str">
        <f t="shared" si="308"/>
        <v/>
      </c>
      <c r="GT181" s="110" t="str">
        <f t="shared" si="309"/>
        <v/>
      </c>
      <c r="GU181" s="51"/>
      <c r="GV181" s="108" t="str">
        <f t="shared" si="380"/>
        <v/>
      </c>
      <c r="GW181" s="109" t="str">
        <f t="shared" si="381"/>
        <v/>
      </c>
      <c r="GX181" s="109" t="str">
        <f t="shared" si="310"/>
        <v/>
      </c>
      <c r="GY181" s="110" t="str">
        <f t="shared" si="382"/>
        <v/>
      </c>
      <c r="GZ181" s="51"/>
      <c r="HA181" s="108" t="str">
        <f t="shared" si="311"/>
        <v/>
      </c>
      <c r="HB181" s="109" t="str">
        <f t="shared" si="383"/>
        <v/>
      </c>
      <c r="HC181" s="109" t="str">
        <f t="shared" si="312"/>
        <v/>
      </c>
      <c r="HD181" s="110" t="str">
        <f t="shared" si="417"/>
        <v/>
      </c>
      <c r="HE181" s="51"/>
      <c r="HF181" s="108" t="str">
        <f t="shared" si="384"/>
        <v/>
      </c>
      <c r="HG181" s="109" t="str">
        <f t="shared" si="385"/>
        <v/>
      </c>
      <c r="HH181" s="109" t="str">
        <f t="shared" si="313"/>
        <v/>
      </c>
      <c r="HI181" s="110" t="str">
        <f t="shared" si="386"/>
        <v/>
      </c>
      <c r="HJ181" s="51"/>
      <c r="HK181" s="108" t="str">
        <f t="shared" si="314"/>
        <v/>
      </c>
      <c r="HL181" s="109" t="str">
        <f t="shared" si="387"/>
        <v/>
      </c>
      <c r="HM181" s="109" t="str">
        <f t="shared" si="315"/>
        <v/>
      </c>
      <c r="HN181" s="110" t="str">
        <f t="shared" si="418"/>
        <v/>
      </c>
      <c r="HO181" s="51"/>
      <c r="HP181" s="108" t="str">
        <f t="shared" si="388"/>
        <v/>
      </c>
      <c r="HQ181" s="109" t="str">
        <f t="shared" si="389"/>
        <v/>
      </c>
      <c r="HR181" s="109" t="str">
        <f t="shared" si="316"/>
        <v/>
      </c>
      <c r="HS181" s="110" t="str">
        <f t="shared" si="390"/>
        <v/>
      </c>
      <c r="HT181" s="51"/>
      <c r="HU181" s="108" t="str">
        <f t="shared" si="317"/>
        <v/>
      </c>
      <c r="HV181" s="109" t="str">
        <f t="shared" si="391"/>
        <v/>
      </c>
      <c r="HW181" s="109" t="str">
        <f t="shared" si="318"/>
        <v/>
      </c>
      <c r="HX181" s="110" t="str">
        <f t="shared" si="419"/>
        <v/>
      </c>
      <c r="HY181" s="51"/>
      <c r="HZ181" s="108" t="str">
        <f t="shared" si="392"/>
        <v/>
      </c>
      <c r="IA181" s="109" t="str">
        <f t="shared" si="393"/>
        <v/>
      </c>
      <c r="IB181" s="109" t="str">
        <f t="shared" si="319"/>
        <v/>
      </c>
      <c r="IC181" s="110" t="str">
        <f t="shared" si="394"/>
        <v/>
      </c>
      <c r="ID181" s="51"/>
      <c r="IE181" s="108" t="str">
        <f t="shared" si="320"/>
        <v/>
      </c>
      <c r="IF181" s="109" t="str">
        <f t="shared" si="395"/>
        <v/>
      </c>
      <c r="IG181" s="109" t="str">
        <f t="shared" si="321"/>
        <v/>
      </c>
      <c r="IH181" s="110" t="str">
        <f t="shared" si="420"/>
        <v/>
      </c>
      <c r="II181" s="51"/>
      <c r="IJ181" s="108" t="str">
        <f t="shared" si="396"/>
        <v/>
      </c>
      <c r="IK181" s="109" t="str">
        <f t="shared" si="397"/>
        <v/>
      </c>
      <c r="IL181" s="109" t="str">
        <f t="shared" si="322"/>
        <v/>
      </c>
      <c r="IM181" s="110" t="str">
        <f t="shared" si="398"/>
        <v/>
      </c>
      <c r="IN181" s="51"/>
      <c r="IO181" s="108" t="str">
        <f t="shared" si="323"/>
        <v/>
      </c>
      <c r="IP181" s="109" t="str">
        <f t="shared" si="399"/>
        <v/>
      </c>
      <c r="IQ181" s="109" t="str">
        <f t="shared" si="324"/>
        <v/>
      </c>
      <c r="IR181" s="110" t="str">
        <f t="shared" si="421"/>
        <v/>
      </c>
      <c r="IS181" s="51"/>
      <c r="IT181" s="108" t="str">
        <f t="shared" si="400"/>
        <v/>
      </c>
      <c r="IU181" s="109" t="str">
        <f t="shared" si="401"/>
        <v/>
      </c>
      <c r="IV181" s="109" t="str">
        <f t="shared" si="325"/>
        <v/>
      </c>
      <c r="IW181" s="110" t="str">
        <f t="shared" si="402"/>
        <v/>
      </c>
      <c r="IX181" s="51"/>
      <c r="IY181" s="108" t="str">
        <f t="shared" si="326"/>
        <v/>
      </c>
      <c r="IZ181" s="109" t="str">
        <f t="shared" si="403"/>
        <v/>
      </c>
      <c r="JA181" s="109" t="str">
        <f t="shared" si="327"/>
        <v/>
      </c>
      <c r="JB181" s="110" t="str">
        <f t="shared" si="422"/>
        <v/>
      </c>
      <c r="JC181" s="51"/>
      <c r="JD181" s="108" t="str">
        <f t="shared" si="404"/>
        <v/>
      </c>
      <c r="JE181" s="109" t="str">
        <f t="shared" si="405"/>
        <v/>
      </c>
      <c r="JF181" s="109" t="str">
        <f t="shared" si="328"/>
        <v/>
      </c>
      <c r="JG181" s="110" t="str">
        <f t="shared" si="406"/>
        <v/>
      </c>
      <c r="JH181" s="51"/>
      <c r="JI181" s="108" t="str">
        <f t="shared" si="329"/>
        <v/>
      </c>
      <c r="JJ181" s="109" t="str">
        <f t="shared" si="407"/>
        <v/>
      </c>
      <c r="JK181" s="109" t="str">
        <f t="shared" si="330"/>
        <v/>
      </c>
      <c r="JL181" s="110" t="str">
        <f t="shared" si="423"/>
        <v/>
      </c>
      <c r="JM181" s="51"/>
      <c r="JN181" s="108" t="str">
        <f t="shared" si="408"/>
        <v/>
      </c>
      <c r="JO181" s="109" t="str">
        <f t="shared" si="409"/>
        <v/>
      </c>
      <c r="JP181" s="109" t="str">
        <f t="shared" si="331"/>
        <v/>
      </c>
      <c r="JQ181" s="110" t="str">
        <f t="shared" si="410"/>
        <v/>
      </c>
      <c r="JR181" s="51"/>
      <c r="JS181" s="108" t="str">
        <f t="shared" si="332"/>
        <v/>
      </c>
      <c r="JT181" s="109" t="str">
        <f t="shared" si="411"/>
        <v/>
      </c>
      <c r="JU181" s="109" t="str">
        <f t="shared" si="333"/>
        <v/>
      </c>
      <c r="JV181" s="110" t="str">
        <f t="shared" si="424"/>
        <v/>
      </c>
      <c r="JW181" s="51"/>
      <c r="JX181" s="108" t="str">
        <f t="shared" si="412"/>
        <v/>
      </c>
      <c r="JY181" s="109" t="str">
        <f t="shared" si="413"/>
        <v/>
      </c>
      <c r="JZ181" s="109" t="str">
        <f t="shared" si="334"/>
        <v/>
      </c>
      <c r="KA181" s="110" t="str">
        <f t="shared" si="335"/>
        <v/>
      </c>
    </row>
    <row r="182" spans="1:287" ht="12" customHeight="1">
      <c r="A182" s="105">
        <f t="array" ref="A182">MAX(IF($J$80:J181&gt;0,$C$80:C181,0))</f>
        <v>43536</v>
      </c>
      <c r="B182" s="81" t="str">
        <f t="shared" si="248"/>
        <v/>
      </c>
      <c r="C182" s="82">
        <f t="shared" si="414"/>
        <v>0</v>
      </c>
      <c r="D182" s="83" t="str">
        <f t="shared" si="249"/>
        <v/>
      </c>
      <c r="E182" s="83" t="str">
        <f t="shared" si="336"/>
        <v/>
      </c>
      <c r="F182" s="83" t="str">
        <f t="shared" si="250"/>
        <v/>
      </c>
      <c r="G182" s="83" t="str">
        <f t="shared" si="251"/>
        <v/>
      </c>
      <c r="H182" s="83" t="str">
        <f t="shared" si="252"/>
        <v/>
      </c>
      <c r="I182" s="105">
        <f t="array" ref="I182">MAX(IF($R$80:R181&gt;0,$L$80:L181,0))</f>
        <v>0</v>
      </c>
      <c r="J182" s="106"/>
      <c r="K182" s="2" t="str">
        <f t="shared" si="253"/>
        <v/>
      </c>
      <c r="L182" s="82">
        <f t="shared" si="415"/>
        <v>0</v>
      </c>
      <c r="M182" s="83" t="str">
        <f t="shared" si="337"/>
        <v/>
      </c>
      <c r="N182" s="83" t="str">
        <f t="shared" si="254"/>
        <v/>
      </c>
      <c r="O182" s="83" t="str">
        <f t="shared" si="255"/>
        <v/>
      </c>
      <c r="P182" s="83" t="str">
        <f t="shared" si="256"/>
        <v/>
      </c>
      <c r="Q182" s="83" t="str">
        <f t="shared" si="257"/>
        <v/>
      </c>
      <c r="R182" s="106"/>
      <c r="S182" s="1"/>
      <c r="U182" s="85" t="e">
        <f t="shared" si="244"/>
        <v>#NUM!</v>
      </c>
      <c r="V182" s="86" t="e">
        <f t="shared" si="338"/>
        <v>#NUM!</v>
      </c>
      <c r="W182" s="87" t="e">
        <f t="shared" si="258"/>
        <v>#NUM!</v>
      </c>
      <c r="X182" s="87" t="e">
        <f t="shared" si="259"/>
        <v>#NUM!</v>
      </c>
      <c r="Y182" s="87" t="e">
        <f t="shared" si="260"/>
        <v>#NUM!</v>
      </c>
      <c r="Z182" s="88" t="e">
        <f t="shared" si="245"/>
        <v>#NUM!</v>
      </c>
      <c r="AA182" t="s">
        <v>282</v>
      </c>
      <c r="AB182" s="89">
        <f t="shared" si="339"/>
        <v>0</v>
      </c>
      <c r="AC182" s="87">
        <f t="shared" si="340"/>
        <v>0</v>
      </c>
      <c r="AD182" s="87" t="str">
        <f t="shared" si="261"/>
        <v/>
      </c>
      <c r="AE182" s="87" t="str">
        <f t="shared" si="262"/>
        <v/>
      </c>
      <c r="AF182" s="86">
        <f t="shared" si="341"/>
        <v>0</v>
      </c>
      <c r="AG182" s="87">
        <f t="shared" si="246"/>
        <v>0</v>
      </c>
      <c r="AH182" s="87">
        <f t="shared" si="342"/>
        <v>0</v>
      </c>
      <c r="AI182" s="90"/>
      <c r="AJ182" s="87" t="e">
        <f t="shared" si="263"/>
        <v>#NUM!</v>
      </c>
      <c r="AK182" s="87" t="e">
        <f t="shared" si="343"/>
        <v>#NUM!</v>
      </c>
      <c r="AL182" s="87" t="e">
        <f t="shared" si="344"/>
        <v>#NUM!</v>
      </c>
      <c r="AM182" s="87" t="e">
        <f t="shared" si="345"/>
        <v>#NUM!</v>
      </c>
      <c r="AN182" s="86">
        <f t="shared" si="264"/>
        <v>0</v>
      </c>
      <c r="AO182" s="87">
        <f t="shared" si="265"/>
        <v>0</v>
      </c>
      <c r="AP182" s="88">
        <f t="shared" si="266"/>
        <v>0</v>
      </c>
      <c r="AR182" s="89">
        <f t="shared" si="267"/>
        <v>0</v>
      </c>
      <c r="AS182" s="87">
        <f t="shared" si="268"/>
        <v>0</v>
      </c>
      <c r="AT182" s="87" t="str">
        <f t="shared" si="269"/>
        <v/>
      </c>
      <c r="AU182" s="87" t="str">
        <f t="shared" si="270"/>
        <v/>
      </c>
      <c r="AV182" s="86">
        <f t="shared" si="346"/>
        <v>0</v>
      </c>
      <c r="AW182" s="87">
        <f t="shared" si="347"/>
        <v>0</v>
      </c>
      <c r="AX182" s="87">
        <f t="shared" si="348"/>
        <v>0</v>
      </c>
      <c r="AY182" s="93"/>
      <c r="AZ182" s="87">
        <f t="shared" si="425"/>
        <v>0</v>
      </c>
      <c r="BA182" s="87">
        <f t="shared" si="349"/>
        <v>0</v>
      </c>
      <c r="BB182" s="87">
        <f t="shared" si="350"/>
        <v>0</v>
      </c>
      <c r="BC182" s="87">
        <f t="shared" si="416"/>
        <v>0</v>
      </c>
      <c r="BD182" s="86" t="e">
        <f t="shared" si="271"/>
        <v>#NUM!</v>
      </c>
      <c r="BE182" s="87" t="e">
        <f t="shared" si="247"/>
        <v>#NUM!</v>
      </c>
      <c r="BF182" s="88">
        <f t="shared" si="351"/>
        <v>0</v>
      </c>
      <c r="BH182" s="87" t="e">
        <f t="shared" si="272"/>
        <v>#NUM!</v>
      </c>
      <c r="BK182" s="95">
        <v>41926</v>
      </c>
      <c r="BL182" s="96">
        <v>103</v>
      </c>
      <c r="CS182" s="108" t="str">
        <f t="shared" si="273"/>
        <v/>
      </c>
      <c r="CT182" s="109" t="str">
        <f t="shared" si="274"/>
        <v/>
      </c>
      <c r="CU182" s="109" t="str">
        <f t="shared" si="275"/>
        <v/>
      </c>
      <c r="CV182" s="110" t="str">
        <f t="shared" si="225"/>
        <v/>
      </c>
      <c r="CX182" s="108" t="str">
        <f t="shared" si="276"/>
        <v/>
      </c>
      <c r="CY182" s="109" t="str">
        <f t="shared" si="352"/>
        <v/>
      </c>
      <c r="CZ182" s="109" t="str">
        <f t="shared" si="277"/>
        <v/>
      </c>
      <c r="DA182" s="110" t="str">
        <f t="shared" si="226"/>
        <v/>
      </c>
      <c r="DC182" s="108" t="str">
        <f t="shared" si="353"/>
        <v/>
      </c>
      <c r="DD182" s="109" t="str">
        <f t="shared" si="354"/>
        <v/>
      </c>
      <c r="DE182" s="109" t="str">
        <f t="shared" si="278"/>
        <v/>
      </c>
      <c r="DF182" s="110" t="str">
        <f t="shared" si="227"/>
        <v/>
      </c>
      <c r="DH182" s="108" t="str">
        <f t="shared" si="279"/>
        <v/>
      </c>
      <c r="DI182" s="109" t="str">
        <f t="shared" si="280"/>
        <v/>
      </c>
      <c r="DJ182" s="109" t="str">
        <f t="shared" si="281"/>
        <v/>
      </c>
      <c r="DK182" s="110" t="str">
        <f t="shared" si="228"/>
        <v/>
      </c>
      <c r="DM182" s="108" t="str">
        <f t="shared" si="355"/>
        <v/>
      </c>
      <c r="DN182" s="109" t="str">
        <f t="shared" si="356"/>
        <v/>
      </c>
      <c r="DO182" s="109" t="str">
        <f t="shared" si="282"/>
        <v/>
      </c>
      <c r="DP182" s="110" t="str">
        <f t="shared" si="229"/>
        <v/>
      </c>
      <c r="DR182" s="108" t="str">
        <f t="shared" si="283"/>
        <v/>
      </c>
      <c r="DS182" s="109" t="str">
        <f t="shared" si="357"/>
        <v/>
      </c>
      <c r="DT182" s="109" t="str">
        <f t="shared" si="284"/>
        <v/>
      </c>
      <c r="DU182" s="110" t="str">
        <f t="shared" si="230"/>
        <v/>
      </c>
      <c r="DW182" s="108" t="str">
        <f t="shared" si="358"/>
        <v/>
      </c>
      <c r="DX182" s="109" t="str">
        <f t="shared" si="359"/>
        <v/>
      </c>
      <c r="DY182" s="109" t="str">
        <f t="shared" si="285"/>
        <v/>
      </c>
      <c r="DZ182" s="110" t="str">
        <f t="shared" si="231"/>
        <v/>
      </c>
      <c r="EB182" s="108" t="str">
        <f t="shared" si="286"/>
        <v/>
      </c>
      <c r="EC182" s="109" t="str">
        <f t="shared" si="360"/>
        <v/>
      </c>
      <c r="ED182" s="109" t="str">
        <f t="shared" si="287"/>
        <v/>
      </c>
      <c r="EE182" s="110" t="str">
        <f t="shared" si="232"/>
        <v/>
      </c>
      <c r="EG182" s="108" t="str">
        <f t="shared" si="361"/>
        <v/>
      </c>
      <c r="EH182" s="109" t="str">
        <f t="shared" si="362"/>
        <v/>
      </c>
      <c r="EI182" s="109" t="str">
        <f t="shared" si="288"/>
        <v/>
      </c>
      <c r="EJ182" s="110" t="str">
        <f t="shared" si="233"/>
        <v/>
      </c>
      <c r="EL182" s="108" t="str">
        <f t="shared" si="289"/>
        <v/>
      </c>
      <c r="EM182" s="109" t="str">
        <f t="shared" si="363"/>
        <v/>
      </c>
      <c r="EN182" s="109" t="str">
        <f t="shared" si="290"/>
        <v/>
      </c>
      <c r="EO182" s="110" t="str">
        <f t="shared" si="234"/>
        <v/>
      </c>
      <c r="EQ182" s="108" t="str">
        <f t="shared" si="364"/>
        <v/>
      </c>
      <c r="ER182" s="109" t="str">
        <f t="shared" si="365"/>
        <v/>
      </c>
      <c r="ES182" s="109" t="str">
        <f t="shared" si="291"/>
        <v/>
      </c>
      <c r="ET182" s="110" t="str">
        <f t="shared" si="235"/>
        <v/>
      </c>
      <c r="EV182" s="108" t="str">
        <f t="shared" si="292"/>
        <v/>
      </c>
      <c r="EW182" s="109" t="str">
        <f t="shared" si="366"/>
        <v/>
      </c>
      <c r="EX182" s="109" t="str">
        <f t="shared" si="293"/>
        <v/>
      </c>
      <c r="EY182" s="110" t="str">
        <f t="shared" si="236"/>
        <v/>
      </c>
      <c r="FA182" s="108" t="str">
        <f t="shared" si="367"/>
        <v/>
      </c>
      <c r="FB182" s="109" t="str">
        <f t="shared" si="368"/>
        <v/>
      </c>
      <c r="FC182" s="109" t="str">
        <f t="shared" si="294"/>
        <v/>
      </c>
      <c r="FD182" s="110" t="str">
        <f t="shared" si="237"/>
        <v/>
      </c>
      <c r="FF182" s="108" t="str">
        <f t="shared" si="295"/>
        <v/>
      </c>
      <c r="FG182" s="109" t="str">
        <f t="shared" si="369"/>
        <v/>
      </c>
      <c r="FH182" s="109" t="str">
        <f t="shared" si="296"/>
        <v/>
      </c>
      <c r="FI182" s="110" t="str">
        <f t="shared" si="238"/>
        <v/>
      </c>
      <c r="FK182" s="108" t="str">
        <f t="shared" si="370"/>
        <v/>
      </c>
      <c r="FL182" s="109" t="str">
        <f t="shared" si="371"/>
        <v/>
      </c>
      <c r="FM182" s="109" t="str">
        <f t="shared" si="297"/>
        <v/>
      </c>
      <c r="FN182" s="110" t="str">
        <f t="shared" si="239"/>
        <v/>
      </c>
      <c r="FP182" s="108" t="str">
        <f t="shared" si="298"/>
        <v/>
      </c>
      <c r="FQ182" s="109" t="str">
        <f t="shared" si="372"/>
        <v/>
      </c>
      <c r="FR182" s="109" t="str">
        <f t="shared" si="299"/>
        <v/>
      </c>
      <c r="FS182" s="110" t="str">
        <f t="shared" si="240"/>
        <v/>
      </c>
      <c r="FU182" s="108" t="str">
        <f t="shared" si="373"/>
        <v/>
      </c>
      <c r="FV182" s="109" t="str">
        <f t="shared" si="374"/>
        <v/>
      </c>
      <c r="FW182" s="109" t="str">
        <f t="shared" si="300"/>
        <v/>
      </c>
      <c r="FX182" s="110" t="str">
        <f t="shared" si="241"/>
        <v/>
      </c>
      <c r="FZ182" s="108" t="str">
        <f t="shared" si="301"/>
        <v/>
      </c>
      <c r="GA182" s="109" t="str">
        <f t="shared" si="375"/>
        <v/>
      </c>
      <c r="GB182" s="109" t="str">
        <f t="shared" si="302"/>
        <v/>
      </c>
      <c r="GC182" s="110" t="str">
        <f t="shared" si="242"/>
        <v/>
      </c>
      <c r="GE182" s="108" t="str">
        <f t="shared" si="376"/>
        <v/>
      </c>
      <c r="GF182" s="109" t="str">
        <f t="shared" si="377"/>
        <v/>
      </c>
      <c r="GG182" s="109" t="str">
        <f t="shared" si="378"/>
        <v/>
      </c>
      <c r="GH182" s="110" t="str">
        <f t="shared" si="243"/>
        <v/>
      </c>
      <c r="GL182" s="108" t="str">
        <f t="shared" si="303"/>
        <v/>
      </c>
      <c r="GM182" s="109" t="str">
        <f t="shared" si="304"/>
        <v/>
      </c>
      <c r="GN182" s="109" t="str">
        <f t="shared" si="305"/>
        <v/>
      </c>
      <c r="GO182" s="110" t="str">
        <f t="shared" si="306"/>
        <v/>
      </c>
      <c r="GP182" s="51"/>
      <c r="GQ182" s="108" t="str">
        <f t="shared" si="307"/>
        <v/>
      </c>
      <c r="GR182" s="109" t="str">
        <f t="shared" si="379"/>
        <v/>
      </c>
      <c r="GS182" s="109" t="str">
        <f t="shared" si="308"/>
        <v/>
      </c>
      <c r="GT182" s="110" t="str">
        <f t="shared" si="309"/>
        <v/>
      </c>
      <c r="GU182" s="51"/>
      <c r="GV182" s="108" t="str">
        <f t="shared" si="380"/>
        <v/>
      </c>
      <c r="GW182" s="109" t="str">
        <f t="shared" si="381"/>
        <v/>
      </c>
      <c r="GX182" s="109" t="str">
        <f t="shared" si="310"/>
        <v/>
      </c>
      <c r="GY182" s="110" t="str">
        <f t="shared" si="382"/>
        <v/>
      </c>
      <c r="GZ182" s="51"/>
      <c r="HA182" s="108" t="str">
        <f t="shared" si="311"/>
        <v/>
      </c>
      <c r="HB182" s="109" t="str">
        <f t="shared" si="383"/>
        <v/>
      </c>
      <c r="HC182" s="109" t="str">
        <f t="shared" si="312"/>
        <v/>
      </c>
      <c r="HD182" s="110" t="str">
        <f t="shared" si="417"/>
        <v/>
      </c>
      <c r="HE182" s="51"/>
      <c r="HF182" s="108" t="str">
        <f t="shared" si="384"/>
        <v/>
      </c>
      <c r="HG182" s="109" t="str">
        <f t="shared" si="385"/>
        <v/>
      </c>
      <c r="HH182" s="109" t="str">
        <f t="shared" si="313"/>
        <v/>
      </c>
      <c r="HI182" s="110" t="str">
        <f t="shared" si="386"/>
        <v/>
      </c>
      <c r="HJ182" s="51"/>
      <c r="HK182" s="108" t="str">
        <f t="shared" si="314"/>
        <v/>
      </c>
      <c r="HL182" s="109" t="str">
        <f t="shared" si="387"/>
        <v/>
      </c>
      <c r="HM182" s="109" t="str">
        <f t="shared" si="315"/>
        <v/>
      </c>
      <c r="HN182" s="110" t="str">
        <f t="shared" si="418"/>
        <v/>
      </c>
      <c r="HO182" s="51"/>
      <c r="HP182" s="108" t="str">
        <f t="shared" si="388"/>
        <v/>
      </c>
      <c r="HQ182" s="109" t="str">
        <f t="shared" si="389"/>
        <v/>
      </c>
      <c r="HR182" s="109" t="str">
        <f t="shared" si="316"/>
        <v/>
      </c>
      <c r="HS182" s="110" t="str">
        <f t="shared" si="390"/>
        <v/>
      </c>
      <c r="HT182" s="51"/>
      <c r="HU182" s="108" t="str">
        <f t="shared" si="317"/>
        <v/>
      </c>
      <c r="HV182" s="109" t="str">
        <f t="shared" si="391"/>
        <v/>
      </c>
      <c r="HW182" s="109" t="str">
        <f t="shared" si="318"/>
        <v/>
      </c>
      <c r="HX182" s="110" t="str">
        <f t="shared" si="419"/>
        <v/>
      </c>
      <c r="HY182" s="51"/>
      <c r="HZ182" s="108" t="str">
        <f t="shared" si="392"/>
        <v/>
      </c>
      <c r="IA182" s="109" t="str">
        <f t="shared" si="393"/>
        <v/>
      </c>
      <c r="IB182" s="109" t="str">
        <f t="shared" si="319"/>
        <v/>
      </c>
      <c r="IC182" s="110" t="str">
        <f t="shared" si="394"/>
        <v/>
      </c>
      <c r="ID182" s="51"/>
      <c r="IE182" s="108" t="str">
        <f t="shared" si="320"/>
        <v/>
      </c>
      <c r="IF182" s="109" t="str">
        <f t="shared" si="395"/>
        <v/>
      </c>
      <c r="IG182" s="109" t="str">
        <f t="shared" si="321"/>
        <v/>
      </c>
      <c r="IH182" s="110" t="str">
        <f t="shared" si="420"/>
        <v/>
      </c>
      <c r="II182" s="51"/>
      <c r="IJ182" s="108" t="str">
        <f t="shared" si="396"/>
        <v/>
      </c>
      <c r="IK182" s="109" t="str">
        <f t="shared" si="397"/>
        <v/>
      </c>
      <c r="IL182" s="109" t="str">
        <f t="shared" si="322"/>
        <v/>
      </c>
      <c r="IM182" s="110" t="str">
        <f t="shared" si="398"/>
        <v/>
      </c>
      <c r="IN182" s="51"/>
      <c r="IO182" s="108" t="str">
        <f t="shared" si="323"/>
        <v/>
      </c>
      <c r="IP182" s="109" t="str">
        <f t="shared" si="399"/>
        <v/>
      </c>
      <c r="IQ182" s="109" t="str">
        <f t="shared" si="324"/>
        <v/>
      </c>
      <c r="IR182" s="110" t="str">
        <f t="shared" si="421"/>
        <v/>
      </c>
      <c r="IS182" s="51"/>
      <c r="IT182" s="108" t="str">
        <f t="shared" si="400"/>
        <v/>
      </c>
      <c r="IU182" s="109" t="str">
        <f t="shared" si="401"/>
        <v/>
      </c>
      <c r="IV182" s="109" t="str">
        <f t="shared" si="325"/>
        <v/>
      </c>
      <c r="IW182" s="110" t="str">
        <f t="shared" si="402"/>
        <v/>
      </c>
      <c r="IX182" s="51"/>
      <c r="IY182" s="108" t="str">
        <f t="shared" si="326"/>
        <v/>
      </c>
      <c r="IZ182" s="109" t="str">
        <f t="shared" si="403"/>
        <v/>
      </c>
      <c r="JA182" s="109" t="str">
        <f t="shared" si="327"/>
        <v/>
      </c>
      <c r="JB182" s="110" t="str">
        <f t="shared" si="422"/>
        <v/>
      </c>
      <c r="JC182" s="51"/>
      <c r="JD182" s="108" t="str">
        <f t="shared" si="404"/>
        <v/>
      </c>
      <c r="JE182" s="109" t="str">
        <f t="shared" si="405"/>
        <v/>
      </c>
      <c r="JF182" s="109" t="str">
        <f t="shared" si="328"/>
        <v/>
      </c>
      <c r="JG182" s="110" t="str">
        <f t="shared" si="406"/>
        <v/>
      </c>
      <c r="JH182" s="51"/>
      <c r="JI182" s="108" t="str">
        <f t="shared" si="329"/>
        <v/>
      </c>
      <c r="JJ182" s="109" t="str">
        <f t="shared" si="407"/>
        <v/>
      </c>
      <c r="JK182" s="109" t="str">
        <f t="shared" si="330"/>
        <v/>
      </c>
      <c r="JL182" s="110" t="str">
        <f t="shared" si="423"/>
        <v/>
      </c>
      <c r="JM182" s="51"/>
      <c r="JN182" s="108" t="str">
        <f t="shared" si="408"/>
        <v/>
      </c>
      <c r="JO182" s="109" t="str">
        <f t="shared" si="409"/>
        <v/>
      </c>
      <c r="JP182" s="109" t="str">
        <f t="shared" si="331"/>
        <v/>
      </c>
      <c r="JQ182" s="110" t="str">
        <f t="shared" si="410"/>
        <v/>
      </c>
      <c r="JR182" s="51"/>
      <c r="JS182" s="108" t="str">
        <f t="shared" si="332"/>
        <v/>
      </c>
      <c r="JT182" s="109" t="str">
        <f t="shared" si="411"/>
        <v/>
      </c>
      <c r="JU182" s="109" t="str">
        <f t="shared" si="333"/>
        <v/>
      </c>
      <c r="JV182" s="110" t="str">
        <f t="shared" si="424"/>
        <v/>
      </c>
      <c r="JW182" s="51"/>
      <c r="JX182" s="108" t="str">
        <f t="shared" si="412"/>
        <v/>
      </c>
      <c r="JY182" s="109" t="str">
        <f t="shared" si="413"/>
        <v/>
      </c>
      <c r="JZ182" s="109" t="str">
        <f t="shared" si="334"/>
        <v/>
      </c>
      <c r="KA182" s="110" t="str">
        <f t="shared" si="335"/>
        <v/>
      </c>
    </row>
    <row r="183" spans="1:287" ht="12" customHeight="1">
      <c r="A183" s="105">
        <f t="array" ref="A183">MAX(IF($J$80:J182&gt;0,$C$80:C182,0))</f>
        <v>43536</v>
      </c>
      <c r="B183" s="81" t="str">
        <f t="shared" si="248"/>
        <v/>
      </c>
      <c r="C183" s="82">
        <f t="shared" si="414"/>
        <v>0</v>
      </c>
      <c r="D183" s="83" t="str">
        <f t="shared" si="249"/>
        <v/>
      </c>
      <c r="E183" s="83" t="str">
        <f t="shared" si="336"/>
        <v/>
      </c>
      <c r="F183" s="83" t="str">
        <f t="shared" si="250"/>
        <v/>
      </c>
      <c r="G183" s="83" t="str">
        <f t="shared" si="251"/>
        <v/>
      </c>
      <c r="H183" s="83" t="str">
        <f t="shared" si="252"/>
        <v/>
      </c>
      <c r="I183" s="105">
        <f t="array" ref="I183">MAX(IF($R$80:R182&gt;0,$L$80:L182,0))</f>
        <v>0</v>
      </c>
      <c r="J183" s="106"/>
      <c r="K183" s="2" t="str">
        <f t="shared" si="253"/>
        <v/>
      </c>
      <c r="L183" s="82">
        <f t="shared" si="415"/>
        <v>0</v>
      </c>
      <c r="M183" s="83" t="str">
        <f t="shared" si="337"/>
        <v/>
      </c>
      <c r="N183" s="83" t="str">
        <f t="shared" si="254"/>
        <v/>
      </c>
      <c r="O183" s="83" t="str">
        <f t="shared" si="255"/>
        <v/>
      </c>
      <c r="P183" s="83" t="str">
        <f t="shared" si="256"/>
        <v/>
      </c>
      <c r="Q183" s="83" t="str">
        <f t="shared" si="257"/>
        <v/>
      </c>
      <c r="R183" s="106"/>
      <c r="S183" s="1"/>
      <c r="U183" s="85" t="e">
        <f t="shared" si="244"/>
        <v>#NUM!</v>
      </c>
      <c r="V183" s="86" t="e">
        <f t="shared" si="338"/>
        <v>#NUM!</v>
      </c>
      <c r="W183" s="87" t="e">
        <f t="shared" si="258"/>
        <v>#NUM!</v>
      </c>
      <c r="X183" s="87" t="e">
        <f t="shared" si="259"/>
        <v>#NUM!</v>
      </c>
      <c r="Y183" s="87" t="e">
        <f t="shared" si="260"/>
        <v>#NUM!</v>
      </c>
      <c r="Z183" s="88" t="e">
        <f t="shared" si="245"/>
        <v>#NUM!</v>
      </c>
      <c r="AA183" t="s">
        <v>282</v>
      </c>
      <c r="AB183" s="89">
        <f t="shared" si="339"/>
        <v>0</v>
      </c>
      <c r="AC183" s="87">
        <f t="shared" si="340"/>
        <v>0</v>
      </c>
      <c r="AD183" s="87" t="str">
        <f t="shared" si="261"/>
        <v/>
      </c>
      <c r="AE183" s="87" t="str">
        <f t="shared" si="262"/>
        <v/>
      </c>
      <c r="AF183" s="86">
        <f t="shared" si="341"/>
        <v>0</v>
      </c>
      <c r="AG183" s="87">
        <f t="shared" si="246"/>
        <v>0</v>
      </c>
      <c r="AH183" s="87">
        <f t="shared" si="342"/>
        <v>0</v>
      </c>
      <c r="AI183" s="90"/>
      <c r="AJ183" s="87" t="e">
        <f t="shared" si="263"/>
        <v>#NUM!</v>
      </c>
      <c r="AK183" s="87" t="e">
        <f t="shared" si="343"/>
        <v>#NUM!</v>
      </c>
      <c r="AL183" s="87" t="e">
        <f t="shared" si="344"/>
        <v>#NUM!</v>
      </c>
      <c r="AM183" s="87" t="e">
        <f t="shared" si="345"/>
        <v>#NUM!</v>
      </c>
      <c r="AN183" s="86">
        <f t="shared" si="264"/>
        <v>0</v>
      </c>
      <c r="AO183" s="87">
        <f t="shared" si="265"/>
        <v>0</v>
      </c>
      <c r="AP183" s="88">
        <f t="shared" si="266"/>
        <v>0</v>
      </c>
      <c r="AR183" s="89">
        <f t="shared" si="267"/>
        <v>0</v>
      </c>
      <c r="AS183" s="87">
        <f t="shared" si="268"/>
        <v>0</v>
      </c>
      <c r="AT183" s="87" t="str">
        <f t="shared" si="269"/>
        <v/>
      </c>
      <c r="AU183" s="87" t="str">
        <f t="shared" si="270"/>
        <v/>
      </c>
      <c r="AV183" s="86">
        <f t="shared" si="346"/>
        <v>0</v>
      </c>
      <c r="AW183" s="87">
        <f t="shared" si="347"/>
        <v>0</v>
      </c>
      <c r="AX183" s="87">
        <f t="shared" si="348"/>
        <v>0</v>
      </c>
      <c r="AY183" s="93"/>
      <c r="AZ183" s="87">
        <f t="shared" si="425"/>
        <v>0</v>
      </c>
      <c r="BA183" s="87">
        <f t="shared" si="349"/>
        <v>0</v>
      </c>
      <c r="BB183" s="87">
        <f t="shared" si="350"/>
        <v>0</v>
      </c>
      <c r="BC183" s="87">
        <f t="shared" si="416"/>
        <v>0</v>
      </c>
      <c r="BD183" s="86" t="e">
        <f t="shared" si="271"/>
        <v>#NUM!</v>
      </c>
      <c r="BE183" s="87" t="e">
        <f t="shared" si="247"/>
        <v>#NUM!</v>
      </c>
      <c r="BF183" s="88">
        <f t="shared" si="351"/>
        <v>0</v>
      </c>
      <c r="BH183" s="87" t="e">
        <f t="shared" si="272"/>
        <v>#NUM!</v>
      </c>
      <c r="BK183" s="95">
        <v>41966</v>
      </c>
      <c r="BL183" s="96">
        <v>104</v>
      </c>
      <c r="CS183" s="108" t="str">
        <f t="shared" si="273"/>
        <v/>
      </c>
      <c r="CT183" s="109" t="str">
        <f t="shared" si="274"/>
        <v/>
      </c>
      <c r="CU183" s="109" t="str">
        <f t="shared" si="275"/>
        <v/>
      </c>
      <c r="CV183" s="110" t="str">
        <f t="shared" si="225"/>
        <v/>
      </c>
      <c r="CX183" s="108" t="str">
        <f t="shared" si="276"/>
        <v/>
      </c>
      <c r="CY183" s="109" t="str">
        <f t="shared" si="352"/>
        <v/>
      </c>
      <c r="CZ183" s="109" t="str">
        <f t="shared" si="277"/>
        <v/>
      </c>
      <c r="DA183" s="110" t="str">
        <f t="shared" si="226"/>
        <v/>
      </c>
      <c r="DC183" s="108" t="str">
        <f t="shared" si="353"/>
        <v/>
      </c>
      <c r="DD183" s="109" t="str">
        <f t="shared" si="354"/>
        <v/>
      </c>
      <c r="DE183" s="109" t="str">
        <f t="shared" si="278"/>
        <v/>
      </c>
      <c r="DF183" s="110" t="str">
        <f t="shared" si="227"/>
        <v/>
      </c>
      <c r="DH183" s="108" t="str">
        <f t="shared" si="279"/>
        <v/>
      </c>
      <c r="DI183" s="109" t="str">
        <f t="shared" si="280"/>
        <v/>
      </c>
      <c r="DJ183" s="109" t="str">
        <f t="shared" si="281"/>
        <v/>
      </c>
      <c r="DK183" s="110" t="str">
        <f t="shared" si="228"/>
        <v/>
      </c>
      <c r="DM183" s="108" t="str">
        <f t="shared" si="355"/>
        <v/>
      </c>
      <c r="DN183" s="109" t="str">
        <f t="shared" si="356"/>
        <v/>
      </c>
      <c r="DO183" s="109" t="str">
        <f t="shared" si="282"/>
        <v/>
      </c>
      <c r="DP183" s="110" t="str">
        <f t="shared" si="229"/>
        <v/>
      </c>
      <c r="DR183" s="108" t="str">
        <f t="shared" si="283"/>
        <v/>
      </c>
      <c r="DS183" s="109" t="str">
        <f t="shared" si="357"/>
        <v/>
      </c>
      <c r="DT183" s="109" t="str">
        <f t="shared" si="284"/>
        <v/>
      </c>
      <c r="DU183" s="110" t="str">
        <f t="shared" si="230"/>
        <v/>
      </c>
      <c r="DW183" s="108" t="str">
        <f t="shared" si="358"/>
        <v/>
      </c>
      <c r="DX183" s="109" t="str">
        <f t="shared" si="359"/>
        <v/>
      </c>
      <c r="DY183" s="109" t="str">
        <f t="shared" si="285"/>
        <v/>
      </c>
      <c r="DZ183" s="110" t="str">
        <f t="shared" si="231"/>
        <v/>
      </c>
      <c r="EB183" s="108" t="str">
        <f t="shared" si="286"/>
        <v/>
      </c>
      <c r="EC183" s="109" t="str">
        <f t="shared" si="360"/>
        <v/>
      </c>
      <c r="ED183" s="109" t="str">
        <f t="shared" si="287"/>
        <v/>
      </c>
      <c r="EE183" s="110" t="str">
        <f t="shared" si="232"/>
        <v/>
      </c>
      <c r="EG183" s="108" t="str">
        <f t="shared" si="361"/>
        <v/>
      </c>
      <c r="EH183" s="109" t="str">
        <f t="shared" si="362"/>
        <v/>
      </c>
      <c r="EI183" s="109" t="str">
        <f t="shared" si="288"/>
        <v/>
      </c>
      <c r="EJ183" s="110" t="str">
        <f t="shared" si="233"/>
        <v/>
      </c>
      <c r="EL183" s="108" t="str">
        <f t="shared" si="289"/>
        <v/>
      </c>
      <c r="EM183" s="109" t="str">
        <f t="shared" si="363"/>
        <v/>
      </c>
      <c r="EN183" s="109" t="str">
        <f t="shared" si="290"/>
        <v/>
      </c>
      <c r="EO183" s="110" t="str">
        <f t="shared" si="234"/>
        <v/>
      </c>
      <c r="EQ183" s="108" t="str">
        <f t="shared" si="364"/>
        <v/>
      </c>
      <c r="ER183" s="109" t="str">
        <f t="shared" si="365"/>
        <v/>
      </c>
      <c r="ES183" s="109" t="str">
        <f t="shared" si="291"/>
        <v/>
      </c>
      <c r="ET183" s="110" t="str">
        <f t="shared" si="235"/>
        <v/>
      </c>
      <c r="EV183" s="108" t="str">
        <f t="shared" si="292"/>
        <v/>
      </c>
      <c r="EW183" s="109" t="str">
        <f t="shared" si="366"/>
        <v/>
      </c>
      <c r="EX183" s="109" t="str">
        <f t="shared" si="293"/>
        <v/>
      </c>
      <c r="EY183" s="110" t="str">
        <f t="shared" si="236"/>
        <v/>
      </c>
      <c r="FA183" s="108" t="str">
        <f t="shared" si="367"/>
        <v/>
      </c>
      <c r="FB183" s="109" t="str">
        <f t="shared" si="368"/>
        <v/>
      </c>
      <c r="FC183" s="109" t="str">
        <f t="shared" si="294"/>
        <v/>
      </c>
      <c r="FD183" s="110" t="str">
        <f t="shared" si="237"/>
        <v/>
      </c>
      <c r="FF183" s="108" t="str">
        <f t="shared" si="295"/>
        <v/>
      </c>
      <c r="FG183" s="109" t="str">
        <f t="shared" si="369"/>
        <v/>
      </c>
      <c r="FH183" s="109" t="str">
        <f t="shared" si="296"/>
        <v/>
      </c>
      <c r="FI183" s="110" t="str">
        <f t="shared" si="238"/>
        <v/>
      </c>
      <c r="FK183" s="108" t="str">
        <f t="shared" si="370"/>
        <v/>
      </c>
      <c r="FL183" s="109" t="str">
        <f t="shared" si="371"/>
        <v/>
      </c>
      <c r="FM183" s="109" t="str">
        <f t="shared" si="297"/>
        <v/>
      </c>
      <c r="FN183" s="110" t="str">
        <f t="shared" si="239"/>
        <v/>
      </c>
      <c r="FP183" s="108" t="str">
        <f t="shared" si="298"/>
        <v/>
      </c>
      <c r="FQ183" s="109" t="str">
        <f t="shared" si="372"/>
        <v/>
      </c>
      <c r="FR183" s="109" t="str">
        <f t="shared" si="299"/>
        <v/>
      </c>
      <c r="FS183" s="110" t="str">
        <f t="shared" si="240"/>
        <v/>
      </c>
      <c r="FU183" s="108" t="str">
        <f t="shared" si="373"/>
        <v/>
      </c>
      <c r="FV183" s="109" t="str">
        <f t="shared" si="374"/>
        <v/>
      </c>
      <c r="FW183" s="109" t="str">
        <f t="shared" si="300"/>
        <v/>
      </c>
      <c r="FX183" s="110" t="str">
        <f t="shared" si="241"/>
        <v/>
      </c>
      <c r="FZ183" s="108" t="str">
        <f t="shared" si="301"/>
        <v/>
      </c>
      <c r="GA183" s="109" t="str">
        <f t="shared" si="375"/>
        <v/>
      </c>
      <c r="GB183" s="109" t="str">
        <f t="shared" si="302"/>
        <v/>
      </c>
      <c r="GC183" s="110" t="str">
        <f t="shared" si="242"/>
        <v/>
      </c>
      <c r="GE183" s="108" t="str">
        <f t="shared" si="376"/>
        <v/>
      </c>
      <c r="GF183" s="109" t="str">
        <f t="shared" si="377"/>
        <v/>
      </c>
      <c r="GG183" s="109" t="str">
        <f t="shared" si="378"/>
        <v/>
      </c>
      <c r="GH183" s="110" t="str">
        <f t="shared" si="243"/>
        <v/>
      </c>
      <c r="GL183" s="108" t="str">
        <f t="shared" si="303"/>
        <v/>
      </c>
      <c r="GM183" s="109" t="str">
        <f t="shared" si="304"/>
        <v/>
      </c>
      <c r="GN183" s="109" t="str">
        <f t="shared" si="305"/>
        <v/>
      </c>
      <c r="GO183" s="110" t="str">
        <f t="shared" si="306"/>
        <v/>
      </c>
      <c r="GP183" s="51"/>
      <c r="GQ183" s="108" t="str">
        <f t="shared" si="307"/>
        <v/>
      </c>
      <c r="GR183" s="109" t="str">
        <f t="shared" si="379"/>
        <v/>
      </c>
      <c r="GS183" s="109" t="str">
        <f t="shared" si="308"/>
        <v/>
      </c>
      <c r="GT183" s="110" t="str">
        <f t="shared" si="309"/>
        <v/>
      </c>
      <c r="GU183" s="51"/>
      <c r="GV183" s="108" t="str">
        <f t="shared" si="380"/>
        <v/>
      </c>
      <c r="GW183" s="109" t="str">
        <f t="shared" si="381"/>
        <v/>
      </c>
      <c r="GX183" s="109" t="str">
        <f t="shared" si="310"/>
        <v/>
      </c>
      <c r="GY183" s="110" t="str">
        <f t="shared" si="382"/>
        <v/>
      </c>
      <c r="GZ183" s="51"/>
      <c r="HA183" s="108" t="str">
        <f t="shared" si="311"/>
        <v/>
      </c>
      <c r="HB183" s="109" t="str">
        <f t="shared" si="383"/>
        <v/>
      </c>
      <c r="HC183" s="109" t="str">
        <f t="shared" si="312"/>
        <v/>
      </c>
      <c r="HD183" s="110" t="str">
        <f t="shared" si="417"/>
        <v/>
      </c>
      <c r="HE183" s="51"/>
      <c r="HF183" s="108" t="str">
        <f t="shared" si="384"/>
        <v/>
      </c>
      <c r="HG183" s="109" t="str">
        <f t="shared" si="385"/>
        <v/>
      </c>
      <c r="HH183" s="109" t="str">
        <f t="shared" si="313"/>
        <v/>
      </c>
      <c r="HI183" s="110" t="str">
        <f t="shared" si="386"/>
        <v/>
      </c>
      <c r="HJ183" s="51"/>
      <c r="HK183" s="108" t="str">
        <f t="shared" si="314"/>
        <v/>
      </c>
      <c r="HL183" s="109" t="str">
        <f t="shared" si="387"/>
        <v/>
      </c>
      <c r="HM183" s="109" t="str">
        <f t="shared" si="315"/>
        <v/>
      </c>
      <c r="HN183" s="110" t="str">
        <f t="shared" si="418"/>
        <v/>
      </c>
      <c r="HO183" s="51"/>
      <c r="HP183" s="108" t="str">
        <f t="shared" si="388"/>
        <v/>
      </c>
      <c r="HQ183" s="109" t="str">
        <f t="shared" si="389"/>
        <v/>
      </c>
      <c r="HR183" s="109" t="str">
        <f t="shared" si="316"/>
        <v/>
      </c>
      <c r="HS183" s="110" t="str">
        <f t="shared" si="390"/>
        <v/>
      </c>
      <c r="HT183" s="51"/>
      <c r="HU183" s="108" t="str">
        <f t="shared" si="317"/>
        <v/>
      </c>
      <c r="HV183" s="109" t="str">
        <f t="shared" si="391"/>
        <v/>
      </c>
      <c r="HW183" s="109" t="str">
        <f t="shared" si="318"/>
        <v/>
      </c>
      <c r="HX183" s="110" t="str">
        <f t="shared" si="419"/>
        <v/>
      </c>
      <c r="HY183" s="51"/>
      <c r="HZ183" s="108" t="str">
        <f t="shared" si="392"/>
        <v/>
      </c>
      <c r="IA183" s="109" t="str">
        <f t="shared" si="393"/>
        <v/>
      </c>
      <c r="IB183" s="109" t="str">
        <f t="shared" si="319"/>
        <v/>
      </c>
      <c r="IC183" s="110" t="str">
        <f t="shared" si="394"/>
        <v/>
      </c>
      <c r="ID183" s="51"/>
      <c r="IE183" s="108" t="str">
        <f t="shared" si="320"/>
        <v/>
      </c>
      <c r="IF183" s="109" t="str">
        <f t="shared" si="395"/>
        <v/>
      </c>
      <c r="IG183" s="109" t="str">
        <f t="shared" si="321"/>
        <v/>
      </c>
      <c r="IH183" s="110" t="str">
        <f t="shared" si="420"/>
        <v/>
      </c>
      <c r="II183" s="51"/>
      <c r="IJ183" s="108" t="str">
        <f t="shared" si="396"/>
        <v/>
      </c>
      <c r="IK183" s="109" t="str">
        <f t="shared" si="397"/>
        <v/>
      </c>
      <c r="IL183" s="109" t="str">
        <f t="shared" si="322"/>
        <v/>
      </c>
      <c r="IM183" s="110" t="str">
        <f t="shared" si="398"/>
        <v/>
      </c>
      <c r="IN183" s="51"/>
      <c r="IO183" s="108" t="str">
        <f t="shared" si="323"/>
        <v/>
      </c>
      <c r="IP183" s="109" t="str">
        <f t="shared" si="399"/>
        <v/>
      </c>
      <c r="IQ183" s="109" t="str">
        <f t="shared" si="324"/>
        <v/>
      </c>
      <c r="IR183" s="110" t="str">
        <f t="shared" si="421"/>
        <v/>
      </c>
      <c r="IS183" s="51"/>
      <c r="IT183" s="108" t="str">
        <f t="shared" si="400"/>
        <v/>
      </c>
      <c r="IU183" s="109" t="str">
        <f t="shared" si="401"/>
        <v/>
      </c>
      <c r="IV183" s="109" t="str">
        <f t="shared" si="325"/>
        <v/>
      </c>
      <c r="IW183" s="110" t="str">
        <f t="shared" si="402"/>
        <v/>
      </c>
      <c r="IX183" s="51"/>
      <c r="IY183" s="108" t="str">
        <f t="shared" si="326"/>
        <v/>
      </c>
      <c r="IZ183" s="109" t="str">
        <f t="shared" si="403"/>
        <v/>
      </c>
      <c r="JA183" s="109" t="str">
        <f t="shared" si="327"/>
        <v/>
      </c>
      <c r="JB183" s="110" t="str">
        <f t="shared" si="422"/>
        <v/>
      </c>
      <c r="JC183" s="51"/>
      <c r="JD183" s="108" t="str">
        <f t="shared" si="404"/>
        <v/>
      </c>
      <c r="JE183" s="109" t="str">
        <f t="shared" si="405"/>
        <v/>
      </c>
      <c r="JF183" s="109" t="str">
        <f t="shared" si="328"/>
        <v/>
      </c>
      <c r="JG183" s="110" t="str">
        <f t="shared" si="406"/>
        <v/>
      </c>
      <c r="JH183" s="51"/>
      <c r="JI183" s="108" t="str">
        <f t="shared" si="329"/>
        <v/>
      </c>
      <c r="JJ183" s="109" t="str">
        <f t="shared" si="407"/>
        <v/>
      </c>
      <c r="JK183" s="109" t="str">
        <f t="shared" si="330"/>
        <v/>
      </c>
      <c r="JL183" s="110" t="str">
        <f t="shared" si="423"/>
        <v/>
      </c>
      <c r="JM183" s="51"/>
      <c r="JN183" s="108" t="str">
        <f t="shared" si="408"/>
        <v/>
      </c>
      <c r="JO183" s="109" t="str">
        <f t="shared" si="409"/>
        <v/>
      </c>
      <c r="JP183" s="109" t="str">
        <f t="shared" si="331"/>
        <v/>
      </c>
      <c r="JQ183" s="110" t="str">
        <f t="shared" si="410"/>
        <v/>
      </c>
      <c r="JR183" s="51"/>
      <c r="JS183" s="108" t="str">
        <f t="shared" si="332"/>
        <v/>
      </c>
      <c r="JT183" s="109" t="str">
        <f t="shared" si="411"/>
        <v/>
      </c>
      <c r="JU183" s="109" t="str">
        <f t="shared" si="333"/>
        <v/>
      </c>
      <c r="JV183" s="110" t="str">
        <f t="shared" si="424"/>
        <v/>
      </c>
      <c r="JW183" s="51"/>
      <c r="JX183" s="108" t="str">
        <f t="shared" si="412"/>
        <v/>
      </c>
      <c r="JY183" s="109" t="str">
        <f t="shared" si="413"/>
        <v/>
      </c>
      <c r="JZ183" s="109" t="str">
        <f t="shared" si="334"/>
        <v/>
      </c>
      <c r="KA183" s="110" t="str">
        <f t="shared" si="335"/>
        <v/>
      </c>
    </row>
    <row r="184" spans="1:287" ht="12" customHeight="1">
      <c r="A184" s="105">
        <f t="array" ref="A184">MAX(IF($J$80:J183&gt;0,$C$80:C183,0))</f>
        <v>43536</v>
      </c>
      <c r="B184" s="81" t="str">
        <f t="shared" si="248"/>
        <v/>
      </c>
      <c r="C184" s="82">
        <f t="shared" si="414"/>
        <v>0</v>
      </c>
      <c r="D184" s="83" t="str">
        <f t="shared" si="249"/>
        <v/>
      </c>
      <c r="E184" s="83" t="str">
        <f t="shared" si="336"/>
        <v/>
      </c>
      <c r="F184" s="83" t="str">
        <f t="shared" si="250"/>
        <v/>
      </c>
      <c r="G184" s="83" t="str">
        <f t="shared" si="251"/>
        <v/>
      </c>
      <c r="H184" s="83" t="str">
        <f t="shared" si="252"/>
        <v/>
      </c>
      <c r="I184" s="105">
        <f t="array" ref="I184">MAX(IF($R$80:R183&gt;0,$L$80:L183,0))</f>
        <v>0</v>
      </c>
      <c r="J184" s="106"/>
      <c r="K184" s="2" t="str">
        <f t="shared" si="253"/>
        <v/>
      </c>
      <c r="L184" s="82">
        <f t="shared" si="415"/>
        <v>0</v>
      </c>
      <c r="M184" s="83" t="str">
        <f t="shared" si="337"/>
        <v/>
      </c>
      <c r="N184" s="83" t="str">
        <f t="shared" si="254"/>
        <v/>
      </c>
      <c r="O184" s="83" t="str">
        <f t="shared" si="255"/>
        <v/>
      </c>
      <c r="P184" s="83" t="str">
        <f t="shared" si="256"/>
        <v/>
      </c>
      <c r="Q184" s="83" t="str">
        <f t="shared" si="257"/>
        <v/>
      </c>
      <c r="R184" s="106"/>
      <c r="S184" s="1"/>
      <c r="U184" s="85" t="e">
        <f t="shared" si="244"/>
        <v>#NUM!</v>
      </c>
      <c r="V184" s="86" t="e">
        <f t="shared" si="338"/>
        <v>#NUM!</v>
      </c>
      <c r="W184" s="87" t="e">
        <f t="shared" si="258"/>
        <v>#NUM!</v>
      </c>
      <c r="X184" s="87" t="e">
        <f t="shared" si="259"/>
        <v>#NUM!</v>
      </c>
      <c r="Y184" s="87" t="e">
        <f t="shared" si="260"/>
        <v>#NUM!</v>
      </c>
      <c r="Z184" s="88" t="e">
        <f t="shared" si="245"/>
        <v>#NUM!</v>
      </c>
      <c r="AA184" t="s">
        <v>282</v>
      </c>
      <c r="AB184" s="89">
        <f t="shared" si="339"/>
        <v>0</v>
      </c>
      <c r="AC184" s="87">
        <f t="shared" si="340"/>
        <v>0</v>
      </c>
      <c r="AD184" s="87" t="str">
        <f t="shared" si="261"/>
        <v/>
      </c>
      <c r="AE184" s="87" t="str">
        <f t="shared" si="262"/>
        <v/>
      </c>
      <c r="AF184" s="86">
        <f t="shared" si="341"/>
        <v>0</v>
      </c>
      <c r="AG184" s="87">
        <f t="shared" si="246"/>
        <v>0</v>
      </c>
      <c r="AH184" s="87">
        <f t="shared" si="342"/>
        <v>0</v>
      </c>
      <c r="AI184" s="90"/>
      <c r="AJ184" s="87" t="e">
        <f t="shared" si="263"/>
        <v>#NUM!</v>
      </c>
      <c r="AK184" s="87" t="e">
        <f t="shared" si="343"/>
        <v>#NUM!</v>
      </c>
      <c r="AL184" s="87" t="e">
        <f t="shared" si="344"/>
        <v>#NUM!</v>
      </c>
      <c r="AM184" s="87" t="e">
        <f t="shared" si="345"/>
        <v>#NUM!</v>
      </c>
      <c r="AN184" s="86">
        <f t="shared" si="264"/>
        <v>0</v>
      </c>
      <c r="AO184" s="87">
        <f t="shared" si="265"/>
        <v>0</v>
      </c>
      <c r="AP184" s="88">
        <f t="shared" si="266"/>
        <v>0</v>
      </c>
      <c r="AR184" s="89">
        <f t="shared" si="267"/>
        <v>0</v>
      </c>
      <c r="AS184" s="87">
        <f t="shared" si="268"/>
        <v>0</v>
      </c>
      <c r="AT184" s="87" t="str">
        <f t="shared" si="269"/>
        <v/>
      </c>
      <c r="AU184" s="87" t="str">
        <f t="shared" si="270"/>
        <v/>
      </c>
      <c r="AV184" s="86">
        <f t="shared" si="346"/>
        <v>0</v>
      </c>
      <c r="AW184" s="87">
        <f t="shared" si="347"/>
        <v>0</v>
      </c>
      <c r="AX184" s="87">
        <f t="shared" si="348"/>
        <v>0</v>
      </c>
      <c r="AY184" s="93"/>
      <c r="AZ184" s="87">
        <f t="shared" si="425"/>
        <v>0</v>
      </c>
      <c r="BA184" s="87">
        <f t="shared" si="349"/>
        <v>0</v>
      </c>
      <c r="BB184" s="87">
        <f t="shared" si="350"/>
        <v>0</v>
      </c>
      <c r="BC184" s="87">
        <f t="shared" si="416"/>
        <v>0</v>
      </c>
      <c r="BD184" s="86" t="e">
        <f t="shared" si="271"/>
        <v>#NUM!</v>
      </c>
      <c r="BE184" s="87" t="e">
        <f t="shared" si="247"/>
        <v>#NUM!</v>
      </c>
      <c r="BF184" s="88">
        <f t="shared" si="351"/>
        <v>0</v>
      </c>
      <c r="BH184" s="87" t="e">
        <f t="shared" si="272"/>
        <v>#NUM!</v>
      </c>
      <c r="BK184" s="95">
        <v>42005</v>
      </c>
      <c r="BL184" s="96">
        <v>105</v>
      </c>
      <c r="CS184" s="108" t="str">
        <f t="shared" si="273"/>
        <v/>
      </c>
      <c r="CT184" s="109" t="str">
        <f t="shared" si="274"/>
        <v/>
      </c>
      <c r="CU184" s="109" t="str">
        <f t="shared" si="275"/>
        <v/>
      </c>
      <c r="CV184" s="110" t="str">
        <f t="shared" ref="CV184:CV200" si="426">IF($B184="","",IF(OR($F$10="ანუიტეტური",$F$10="სამომხმარებლო"),CV183-CT184,IF($F$10="საშეღავათო",CV183-CT184,IF($F$10="ნულოვანი საშეღავათო",CV183-CT184))))</f>
        <v/>
      </c>
      <c r="CX184" s="108" t="str">
        <f t="shared" si="276"/>
        <v/>
      </c>
      <c r="CY184" s="109" t="str">
        <f t="shared" si="352"/>
        <v/>
      </c>
      <c r="CZ184" s="109" t="str">
        <f t="shared" si="277"/>
        <v/>
      </c>
      <c r="DA184" s="110" t="str">
        <f t="shared" ref="DA184:DA200" si="427">IF($B184="","",DA183-CY184)</f>
        <v/>
      </c>
      <c r="DC184" s="108" t="str">
        <f t="shared" si="353"/>
        <v/>
      </c>
      <c r="DD184" s="109" t="str">
        <f t="shared" si="354"/>
        <v/>
      </c>
      <c r="DE184" s="109" t="str">
        <f t="shared" si="278"/>
        <v/>
      </c>
      <c r="DF184" s="110" t="str">
        <f t="shared" ref="DF184:DF200" si="428">IF($B184="","",DF183-DD184)</f>
        <v/>
      </c>
      <c r="DH184" s="108" t="str">
        <f t="shared" si="279"/>
        <v/>
      </c>
      <c r="DI184" s="109" t="str">
        <f t="shared" si="280"/>
        <v/>
      </c>
      <c r="DJ184" s="109" t="str">
        <f t="shared" si="281"/>
        <v/>
      </c>
      <c r="DK184" s="110" t="str">
        <f t="shared" ref="DK184:DK200" si="429">IF($B184="","",DK183-DI184)</f>
        <v/>
      </c>
      <c r="DM184" s="108" t="str">
        <f t="shared" si="355"/>
        <v/>
      </c>
      <c r="DN184" s="109" t="str">
        <f t="shared" si="356"/>
        <v/>
      </c>
      <c r="DO184" s="109" t="str">
        <f t="shared" si="282"/>
        <v/>
      </c>
      <c r="DP184" s="110" t="str">
        <f t="shared" ref="DP184:DP200" si="430">IF($B184="","",DP183-DN184)</f>
        <v/>
      </c>
      <c r="DR184" s="108" t="str">
        <f t="shared" si="283"/>
        <v/>
      </c>
      <c r="DS184" s="109" t="str">
        <f t="shared" si="357"/>
        <v/>
      </c>
      <c r="DT184" s="109" t="str">
        <f t="shared" si="284"/>
        <v/>
      </c>
      <c r="DU184" s="110" t="str">
        <f t="shared" ref="DU184:DU200" si="431">IF($B184="","",DU183-DS184)</f>
        <v/>
      </c>
      <c r="DW184" s="108" t="str">
        <f t="shared" si="358"/>
        <v/>
      </c>
      <c r="DX184" s="109" t="str">
        <f t="shared" si="359"/>
        <v/>
      </c>
      <c r="DY184" s="109" t="str">
        <f t="shared" si="285"/>
        <v/>
      </c>
      <c r="DZ184" s="110" t="str">
        <f t="shared" ref="DZ184:DZ200" si="432">IF($B184="","",DZ183-DX184)</f>
        <v/>
      </c>
      <c r="EB184" s="108" t="str">
        <f t="shared" si="286"/>
        <v/>
      </c>
      <c r="EC184" s="109" t="str">
        <f t="shared" si="360"/>
        <v/>
      </c>
      <c r="ED184" s="109" t="str">
        <f t="shared" si="287"/>
        <v/>
      </c>
      <c r="EE184" s="110" t="str">
        <f t="shared" ref="EE184:EE200" si="433">IF($B184="","",EE183-EC184)</f>
        <v/>
      </c>
      <c r="EG184" s="108" t="str">
        <f t="shared" si="361"/>
        <v/>
      </c>
      <c r="EH184" s="109" t="str">
        <f t="shared" si="362"/>
        <v/>
      </c>
      <c r="EI184" s="109" t="str">
        <f t="shared" si="288"/>
        <v/>
      </c>
      <c r="EJ184" s="110" t="str">
        <f t="shared" ref="EJ184:EJ200" si="434">IF($B184="","",EJ183-EH184)</f>
        <v/>
      </c>
      <c r="EL184" s="108" t="str">
        <f t="shared" si="289"/>
        <v/>
      </c>
      <c r="EM184" s="109" t="str">
        <f t="shared" si="363"/>
        <v/>
      </c>
      <c r="EN184" s="109" t="str">
        <f t="shared" si="290"/>
        <v/>
      </c>
      <c r="EO184" s="110" t="str">
        <f t="shared" ref="EO184:EO200" si="435">IF($B184="","",EO183-EM184)</f>
        <v/>
      </c>
      <c r="EQ184" s="108" t="str">
        <f t="shared" si="364"/>
        <v/>
      </c>
      <c r="ER184" s="109" t="str">
        <f t="shared" si="365"/>
        <v/>
      </c>
      <c r="ES184" s="109" t="str">
        <f t="shared" si="291"/>
        <v/>
      </c>
      <c r="ET184" s="110" t="str">
        <f t="shared" ref="ET184:ET200" si="436">IF($B184="","",ET183-ER184)</f>
        <v/>
      </c>
      <c r="EV184" s="108" t="str">
        <f t="shared" si="292"/>
        <v/>
      </c>
      <c r="EW184" s="109" t="str">
        <f t="shared" si="366"/>
        <v/>
      </c>
      <c r="EX184" s="109" t="str">
        <f t="shared" si="293"/>
        <v/>
      </c>
      <c r="EY184" s="110" t="str">
        <f t="shared" ref="EY184:EY200" si="437">IF($B184="","",EY183-EW184)</f>
        <v/>
      </c>
      <c r="FA184" s="108" t="str">
        <f t="shared" si="367"/>
        <v/>
      </c>
      <c r="FB184" s="109" t="str">
        <f t="shared" si="368"/>
        <v/>
      </c>
      <c r="FC184" s="109" t="str">
        <f t="shared" si="294"/>
        <v/>
      </c>
      <c r="FD184" s="110" t="str">
        <f t="shared" ref="FD184:FD200" si="438">IF($B184="","",FD183-FB184)</f>
        <v/>
      </c>
      <c r="FF184" s="108" t="str">
        <f t="shared" si="295"/>
        <v/>
      </c>
      <c r="FG184" s="109" t="str">
        <f t="shared" si="369"/>
        <v/>
      </c>
      <c r="FH184" s="109" t="str">
        <f t="shared" si="296"/>
        <v/>
      </c>
      <c r="FI184" s="110" t="str">
        <f t="shared" ref="FI184:FI200" si="439">IF($B184="","",FI183-FG184)</f>
        <v/>
      </c>
      <c r="FK184" s="108" t="str">
        <f t="shared" si="370"/>
        <v/>
      </c>
      <c r="FL184" s="109" t="str">
        <f t="shared" si="371"/>
        <v/>
      </c>
      <c r="FM184" s="109" t="str">
        <f t="shared" si="297"/>
        <v/>
      </c>
      <c r="FN184" s="110" t="str">
        <f t="shared" ref="FN184:FN200" si="440">IF($B184="","",FN183-FL184)</f>
        <v/>
      </c>
      <c r="FP184" s="108" t="str">
        <f t="shared" si="298"/>
        <v/>
      </c>
      <c r="FQ184" s="109" t="str">
        <f t="shared" si="372"/>
        <v/>
      </c>
      <c r="FR184" s="109" t="str">
        <f t="shared" si="299"/>
        <v/>
      </c>
      <c r="FS184" s="110" t="str">
        <f t="shared" ref="FS184:FS200" si="441">IF($B184="","",FS183-FQ184)</f>
        <v/>
      </c>
      <c r="FU184" s="108" t="str">
        <f t="shared" si="373"/>
        <v/>
      </c>
      <c r="FV184" s="109" t="str">
        <f t="shared" si="374"/>
        <v/>
      </c>
      <c r="FW184" s="109" t="str">
        <f t="shared" si="300"/>
        <v/>
      </c>
      <c r="FX184" s="110" t="str">
        <f t="shared" ref="FX184:FX200" si="442">IF($B184="","",FX183-FV184)</f>
        <v/>
      </c>
      <c r="FZ184" s="108" t="str">
        <f t="shared" si="301"/>
        <v/>
      </c>
      <c r="GA184" s="109" t="str">
        <f t="shared" si="375"/>
        <v/>
      </c>
      <c r="GB184" s="109" t="str">
        <f t="shared" si="302"/>
        <v/>
      </c>
      <c r="GC184" s="110" t="str">
        <f t="shared" ref="GC184:GC200" si="443">IF($B184="","",GC183-GA184)</f>
        <v/>
      </c>
      <c r="GE184" s="108" t="str">
        <f t="shared" si="376"/>
        <v/>
      </c>
      <c r="GF184" s="109" t="str">
        <f t="shared" si="377"/>
        <v/>
      </c>
      <c r="GG184" s="109" t="str">
        <f t="shared" si="378"/>
        <v/>
      </c>
      <c r="GH184" s="110" t="str">
        <f t="shared" ref="GH184:GH200" si="444">IF($B184="","",GH183-GF184)</f>
        <v/>
      </c>
      <c r="GL184" s="108" t="str">
        <f t="shared" si="303"/>
        <v/>
      </c>
      <c r="GM184" s="109" t="str">
        <f t="shared" si="304"/>
        <v/>
      </c>
      <c r="GN184" s="109" t="str">
        <f t="shared" si="305"/>
        <v/>
      </c>
      <c r="GO184" s="110" t="str">
        <f t="shared" si="306"/>
        <v/>
      </c>
      <c r="GP184" s="51"/>
      <c r="GQ184" s="108" t="str">
        <f t="shared" si="307"/>
        <v/>
      </c>
      <c r="GR184" s="109" t="str">
        <f t="shared" si="379"/>
        <v/>
      </c>
      <c r="GS184" s="109" t="str">
        <f t="shared" si="308"/>
        <v/>
      </c>
      <c r="GT184" s="110" t="str">
        <f t="shared" si="309"/>
        <v/>
      </c>
      <c r="GU184" s="51"/>
      <c r="GV184" s="108" t="str">
        <f t="shared" si="380"/>
        <v/>
      </c>
      <c r="GW184" s="109" t="str">
        <f t="shared" si="381"/>
        <v/>
      </c>
      <c r="GX184" s="109" t="str">
        <f t="shared" si="310"/>
        <v/>
      </c>
      <c r="GY184" s="110" t="str">
        <f t="shared" si="382"/>
        <v/>
      </c>
      <c r="GZ184" s="51"/>
      <c r="HA184" s="108" t="str">
        <f t="shared" si="311"/>
        <v/>
      </c>
      <c r="HB184" s="109" t="str">
        <f t="shared" si="383"/>
        <v/>
      </c>
      <c r="HC184" s="109" t="str">
        <f t="shared" si="312"/>
        <v/>
      </c>
      <c r="HD184" s="110" t="str">
        <f t="shared" si="417"/>
        <v/>
      </c>
      <c r="HE184" s="51"/>
      <c r="HF184" s="108" t="str">
        <f t="shared" si="384"/>
        <v/>
      </c>
      <c r="HG184" s="109" t="str">
        <f t="shared" si="385"/>
        <v/>
      </c>
      <c r="HH184" s="109" t="str">
        <f t="shared" si="313"/>
        <v/>
      </c>
      <c r="HI184" s="110" t="str">
        <f t="shared" si="386"/>
        <v/>
      </c>
      <c r="HJ184" s="51"/>
      <c r="HK184" s="108" t="str">
        <f t="shared" si="314"/>
        <v/>
      </c>
      <c r="HL184" s="109" t="str">
        <f t="shared" si="387"/>
        <v/>
      </c>
      <c r="HM184" s="109" t="str">
        <f t="shared" si="315"/>
        <v/>
      </c>
      <c r="HN184" s="110" t="str">
        <f t="shared" si="418"/>
        <v/>
      </c>
      <c r="HO184" s="51"/>
      <c r="HP184" s="108" t="str">
        <f t="shared" si="388"/>
        <v/>
      </c>
      <c r="HQ184" s="109" t="str">
        <f t="shared" si="389"/>
        <v/>
      </c>
      <c r="HR184" s="109" t="str">
        <f t="shared" si="316"/>
        <v/>
      </c>
      <c r="HS184" s="110" t="str">
        <f t="shared" si="390"/>
        <v/>
      </c>
      <c r="HT184" s="51"/>
      <c r="HU184" s="108" t="str">
        <f t="shared" si="317"/>
        <v/>
      </c>
      <c r="HV184" s="109" t="str">
        <f t="shared" si="391"/>
        <v/>
      </c>
      <c r="HW184" s="109" t="str">
        <f t="shared" si="318"/>
        <v/>
      </c>
      <c r="HX184" s="110" t="str">
        <f t="shared" si="419"/>
        <v/>
      </c>
      <c r="HY184" s="51"/>
      <c r="HZ184" s="108" t="str">
        <f t="shared" si="392"/>
        <v/>
      </c>
      <c r="IA184" s="109" t="str">
        <f t="shared" si="393"/>
        <v/>
      </c>
      <c r="IB184" s="109" t="str">
        <f t="shared" si="319"/>
        <v/>
      </c>
      <c r="IC184" s="110" t="str">
        <f t="shared" si="394"/>
        <v/>
      </c>
      <c r="ID184" s="51"/>
      <c r="IE184" s="108" t="str">
        <f t="shared" si="320"/>
        <v/>
      </c>
      <c r="IF184" s="109" t="str">
        <f t="shared" si="395"/>
        <v/>
      </c>
      <c r="IG184" s="109" t="str">
        <f t="shared" si="321"/>
        <v/>
      </c>
      <c r="IH184" s="110" t="str">
        <f t="shared" si="420"/>
        <v/>
      </c>
      <c r="II184" s="51"/>
      <c r="IJ184" s="108" t="str">
        <f t="shared" si="396"/>
        <v/>
      </c>
      <c r="IK184" s="109" t="str">
        <f t="shared" si="397"/>
        <v/>
      </c>
      <c r="IL184" s="109" t="str">
        <f t="shared" si="322"/>
        <v/>
      </c>
      <c r="IM184" s="110" t="str">
        <f t="shared" si="398"/>
        <v/>
      </c>
      <c r="IN184" s="51"/>
      <c r="IO184" s="108" t="str">
        <f t="shared" si="323"/>
        <v/>
      </c>
      <c r="IP184" s="109" t="str">
        <f t="shared" si="399"/>
        <v/>
      </c>
      <c r="IQ184" s="109" t="str">
        <f t="shared" si="324"/>
        <v/>
      </c>
      <c r="IR184" s="110" t="str">
        <f t="shared" si="421"/>
        <v/>
      </c>
      <c r="IS184" s="51"/>
      <c r="IT184" s="108" t="str">
        <f t="shared" si="400"/>
        <v/>
      </c>
      <c r="IU184" s="109" t="str">
        <f t="shared" si="401"/>
        <v/>
      </c>
      <c r="IV184" s="109" t="str">
        <f t="shared" si="325"/>
        <v/>
      </c>
      <c r="IW184" s="110" t="str">
        <f t="shared" si="402"/>
        <v/>
      </c>
      <c r="IX184" s="51"/>
      <c r="IY184" s="108" t="str">
        <f t="shared" si="326"/>
        <v/>
      </c>
      <c r="IZ184" s="109" t="str">
        <f t="shared" si="403"/>
        <v/>
      </c>
      <c r="JA184" s="109" t="str">
        <f t="shared" si="327"/>
        <v/>
      </c>
      <c r="JB184" s="110" t="str">
        <f t="shared" si="422"/>
        <v/>
      </c>
      <c r="JC184" s="51"/>
      <c r="JD184" s="108" t="str">
        <f t="shared" si="404"/>
        <v/>
      </c>
      <c r="JE184" s="109" t="str">
        <f t="shared" si="405"/>
        <v/>
      </c>
      <c r="JF184" s="109" t="str">
        <f t="shared" si="328"/>
        <v/>
      </c>
      <c r="JG184" s="110" t="str">
        <f t="shared" si="406"/>
        <v/>
      </c>
      <c r="JH184" s="51"/>
      <c r="JI184" s="108" t="str">
        <f t="shared" si="329"/>
        <v/>
      </c>
      <c r="JJ184" s="109" t="str">
        <f t="shared" si="407"/>
        <v/>
      </c>
      <c r="JK184" s="109" t="str">
        <f t="shared" si="330"/>
        <v/>
      </c>
      <c r="JL184" s="110" t="str">
        <f t="shared" si="423"/>
        <v/>
      </c>
      <c r="JM184" s="51"/>
      <c r="JN184" s="108" t="str">
        <f t="shared" si="408"/>
        <v/>
      </c>
      <c r="JO184" s="109" t="str">
        <f t="shared" si="409"/>
        <v/>
      </c>
      <c r="JP184" s="109" t="str">
        <f t="shared" si="331"/>
        <v/>
      </c>
      <c r="JQ184" s="110" t="str">
        <f t="shared" si="410"/>
        <v/>
      </c>
      <c r="JR184" s="51"/>
      <c r="JS184" s="108" t="str">
        <f t="shared" si="332"/>
        <v/>
      </c>
      <c r="JT184" s="109" t="str">
        <f t="shared" si="411"/>
        <v/>
      </c>
      <c r="JU184" s="109" t="str">
        <f t="shared" si="333"/>
        <v/>
      </c>
      <c r="JV184" s="110" t="str">
        <f t="shared" si="424"/>
        <v/>
      </c>
      <c r="JW184" s="51"/>
      <c r="JX184" s="108" t="str">
        <f t="shared" si="412"/>
        <v/>
      </c>
      <c r="JY184" s="109" t="str">
        <f t="shared" si="413"/>
        <v/>
      </c>
      <c r="JZ184" s="109" t="str">
        <f t="shared" si="334"/>
        <v/>
      </c>
      <c r="KA184" s="110" t="str">
        <f t="shared" si="335"/>
        <v/>
      </c>
    </row>
    <row r="185" spans="1:287" ht="12" customHeight="1">
      <c r="A185" s="105">
        <f t="array" ref="A185">MAX(IF($J$80:J184&gt;0,$C$80:C184,0))</f>
        <v>43536</v>
      </c>
      <c r="B185" s="81" t="str">
        <f t="shared" si="248"/>
        <v/>
      </c>
      <c r="C185" s="82">
        <f t="shared" si="414"/>
        <v>0</v>
      </c>
      <c r="D185" s="83" t="str">
        <f t="shared" si="249"/>
        <v/>
      </c>
      <c r="E185" s="83" t="str">
        <f t="shared" si="336"/>
        <v/>
      </c>
      <c r="F185" s="83" t="str">
        <f t="shared" si="250"/>
        <v/>
      </c>
      <c r="G185" s="83" t="str">
        <f t="shared" si="251"/>
        <v/>
      </c>
      <c r="H185" s="83" t="str">
        <f t="shared" si="252"/>
        <v/>
      </c>
      <c r="I185" s="105">
        <f t="array" ref="I185">MAX(IF($R$80:R184&gt;0,$L$80:L184,0))</f>
        <v>0</v>
      </c>
      <c r="J185" s="106"/>
      <c r="K185" s="2" t="str">
        <f t="shared" si="253"/>
        <v/>
      </c>
      <c r="L185" s="82">
        <f t="shared" si="415"/>
        <v>0</v>
      </c>
      <c r="M185" s="83" t="str">
        <f t="shared" si="337"/>
        <v/>
      </c>
      <c r="N185" s="83" t="str">
        <f t="shared" si="254"/>
        <v/>
      </c>
      <c r="O185" s="83" t="str">
        <f t="shared" si="255"/>
        <v/>
      </c>
      <c r="P185" s="83" t="str">
        <f t="shared" si="256"/>
        <v/>
      </c>
      <c r="Q185" s="83" t="str">
        <f t="shared" si="257"/>
        <v/>
      </c>
      <c r="R185" s="106"/>
      <c r="S185" s="1"/>
      <c r="U185" s="85" t="e">
        <f t="shared" si="244"/>
        <v>#NUM!</v>
      </c>
      <c r="V185" s="86" t="e">
        <f t="shared" si="338"/>
        <v>#NUM!</v>
      </c>
      <c r="W185" s="87" t="e">
        <f t="shared" si="258"/>
        <v>#NUM!</v>
      </c>
      <c r="X185" s="87" t="e">
        <f t="shared" si="259"/>
        <v>#NUM!</v>
      </c>
      <c r="Y185" s="87" t="e">
        <f t="shared" si="260"/>
        <v>#NUM!</v>
      </c>
      <c r="Z185" s="88" t="e">
        <f t="shared" si="245"/>
        <v>#NUM!</v>
      </c>
      <c r="AA185" t="s">
        <v>282</v>
      </c>
      <c r="AB185" s="89">
        <f t="shared" si="339"/>
        <v>0</v>
      </c>
      <c r="AC185" s="87">
        <f t="shared" si="340"/>
        <v>0</v>
      </c>
      <c r="AD185" s="87" t="str">
        <f t="shared" si="261"/>
        <v/>
      </c>
      <c r="AE185" s="87" t="str">
        <f t="shared" si="262"/>
        <v/>
      </c>
      <c r="AF185" s="86">
        <f t="shared" si="341"/>
        <v>0</v>
      </c>
      <c r="AG185" s="87">
        <f t="shared" si="246"/>
        <v>0</v>
      </c>
      <c r="AH185" s="87">
        <f t="shared" si="342"/>
        <v>0</v>
      </c>
      <c r="AI185" s="90"/>
      <c r="AJ185" s="87" t="e">
        <f t="shared" si="263"/>
        <v>#NUM!</v>
      </c>
      <c r="AK185" s="87" t="e">
        <f t="shared" si="343"/>
        <v>#NUM!</v>
      </c>
      <c r="AL185" s="87" t="e">
        <f t="shared" si="344"/>
        <v>#NUM!</v>
      </c>
      <c r="AM185" s="87" t="e">
        <f t="shared" si="345"/>
        <v>#NUM!</v>
      </c>
      <c r="AN185" s="86">
        <f t="shared" si="264"/>
        <v>0</v>
      </c>
      <c r="AO185" s="87">
        <f t="shared" si="265"/>
        <v>0</v>
      </c>
      <c r="AP185" s="88">
        <f t="shared" si="266"/>
        <v>0</v>
      </c>
      <c r="AR185" s="89">
        <f t="shared" si="267"/>
        <v>0</v>
      </c>
      <c r="AS185" s="87">
        <f t="shared" si="268"/>
        <v>0</v>
      </c>
      <c r="AT185" s="87" t="str">
        <f t="shared" si="269"/>
        <v/>
      </c>
      <c r="AU185" s="87" t="str">
        <f t="shared" si="270"/>
        <v/>
      </c>
      <c r="AV185" s="86">
        <f t="shared" si="346"/>
        <v>0</v>
      </c>
      <c r="AW185" s="87">
        <f t="shared" si="347"/>
        <v>0</v>
      </c>
      <c r="AX185" s="87">
        <f t="shared" si="348"/>
        <v>0</v>
      </c>
      <c r="AY185" s="93"/>
      <c r="AZ185" s="87">
        <f t="shared" si="425"/>
        <v>0</v>
      </c>
      <c r="BA185" s="87">
        <f t="shared" si="349"/>
        <v>0</v>
      </c>
      <c r="BB185" s="87">
        <f t="shared" si="350"/>
        <v>0</v>
      </c>
      <c r="BC185" s="87">
        <f t="shared" si="416"/>
        <v>0</v>
      </c>
      <c r="BD185" s="86" t="e">
        <f t="shared" si="271"/>
        <v>#NUM!</v>
      </c>
      <c r="BE185" s="87" t="e">
        <f t="shared" si="247"/>
        <v>#NUM!</v>
      </c>
      <c r="BF185" s="88">
        <f t="shared" si="351"/>
        <v>0</v>
      </c>
      <c r="BH185" s="87" t="e">
        <f t="shared" si="272"/>
        <v>#NUM!</v>
      </c>
      <c r="BK185" s="95">
        <v>42006</v>
      </c>
      <c r="BL185" s="96">
        <v>106</v>
      </c>
      <c r="CS185" s="108" t="str">
        <f t="shared" si="273"/>
        <v/>
      </c>
      <c r="CT185" s="109" t="str">
        <f t="shared" si="274"/>
        <v/>
      </c>
      <c r="CU185" s="109" t="str">
        <f t="shared" si="275"/>
        <v/>
      </c>
      <c r="CV185" s="110" t="str">
        <f t="shared" si="426"/>
        <v/>
      </c>
      <c r="CX185" s="108" t="str">
        <f t="shared" si="276"/>
        <v/>
      </c>
      <c r="CY185" s="109" t="str">
        <f t="shared" si="352"/>
        <v/>
      </c>
      <c r="CZ185" s="109" t="str">
        <f t="shared" si="277"/>
        <v/>
      </c>
      <c r="DA185" s="110" t="str">
        <f t="shared" si="427"/>
        <v/>
      </c>
      <c r="DC185" s="108" t="str">
        <f t="shared" si="353"/>
        <v/>
      </c>
      <c r="DD185" s="109" t="str">
        <f t="shared" si="354"/>
        <v/>
      </c>
      <c r="DE185" s="109" t="str">
        <f t="shared" si="278"/>
        <v/>
      </c>
      <c r="DF185" s="110" t="str">
        <f t="shared" si="428"/>
        <v/>
      </c>
      <c r="DH185" s="108" t="str">
        <f t="shared" si="279"/>
        <v/>
      </c>
      <c r="DI185" s="109" t="str">
        <f t="shared" si="280"/>
        <v/>
      </c>
      <c r="DJ185" s="109" t="str">
        <f t="shared" si="281"/>
        <v/>
      </c>
      <c r="DK185" s="110" t="str">
        <f t="shared" si="429"/>
        <v/>
      </c>
      <c r="DM185" s="108" t="str">
        <f t="shared" si="355"/>
        <v/>
      </c>
      <c r="DN185" s="109" t="str">
        <f t="shared" si="356"/>
        <v/>
      </c>
      <c r="DO185" s="109" t="str">
        <f t="shared" si="282"/>
        <v/>
      </c>
      <c r="DP185" s="110" t="str">
        <f t="shared" si="430"/>
        <v/>
      </c>
      <c r="DR185" s="108" t="str">
        <f t="shared" si="283"/>
        <v/>
      </c>
      <c r="DS185" s="109" t="str">
        <f t="shared" si="357"/>
        <v/>
      </c>
      <c r="DT185" s="109" t="str">
        <f t="shared" si="284"/>
        <v/>
      </c>
      <c r="DU185" s="110" t="str">
        <f t="shared" si="431"/>
        <v/>
      </c>
      <c r="DW185" s="108" t="str">
        <f t="shared" si="358"/>
        <v/>
      </c>
      <c r="DX185" s="109" t="str">
        <f t="shared" si="359"/>
        <v/>
      </c>
      <c r="DY185" s="109" t="str">
        <f t="shared" si="285"/>
        <v/>
      </c>
      <c r="DZ185" s="110" t="str">
        <f t="shared" si="432"/>
        <v/>
      </c>
      <c r="EB185" s="108" t="str">
        <f t="shared" si="286"/>
        <v/>
      </c>
      <c r="EC185" s="109" t="str">
        <f t="shared" si="360"/>
        <v/>
      </c>
      <c r="ED185" s="109" t="str">
        <f t="shared" si="287"/>
        <v/>
      </c>
      <c r="EE185" s="110" t="str">
        <f t="shared" si="433"/>
        <v/>
      </c>
      <c r="EG185" s="108" t="str">
        <f t="shared" si="361"/>
        <v/>
      </c>
      <c r="EH185" s="109" t="str">
        <f t="shared" si="362"/>
        <v/>
      </c>
      <c r="EI185" s="109" t="str">
        <f t="shared" si="288"/>
        <v/>
      </c>
      <c r="EJ185" s="110" t="str">
        <f t="shared" si="434"/>
        <v/>
      </c>
      <c r="EL185" s="108" t="str">
        <f t="shared" si="289"/>
        <v/>
      </c>
      <c r="EM185" s="109" t="str">
        <f t="shared" si="363"/>
        <v/>
      </c>
      <c r="EN185" s="109" t="str">
        <f t="shared" si="290"/>
        <v/>
      </c>
      <c r="EO185" s="110" t="str">
        <f t="shared" si="435"/>
        <v/>
      </c>
      <c r="EQ185" s="108" t="str">
        <f t="shared" si="364"/>
        <v/>
      </c>
      <c r="ER185" s="109" t="str">
        <f t="shared" si="365"/>
        <v/>
      </c>
      <c r="ES185" s="109" t="str">
        <f t="shared" si="291"/>
        <v/>
      </c>
      <c r="ET185" s="110" t="str">
        <f t="shared" si="436"/>
        <v/>
      </c>
      <c r="EV185" s="108" t="str">
        <f t="shared" si="292"/>
        <v/>
      </c>
      <c r="EW185" s="109" t="str">
        <f t="shared" si="366"/>
        <v/>
      </c>
      <c r="EX185" s="109" t="str">
        <f t="shared" si="293"/>
        <v/>
      </c>
      <c r="EY185" s="110" t="str">
        <f t="shared" si="437"/>
        <v/>
      </c>
      <c r="FA185" s="108" t="str">
        <f t="shared" si="367"/>
        <v/>
      </c>
      <c r="FB185" s="109" t="str">
        <f t="shared" si="368"/>
        <v/>
      </c>
      <c r="FC185" s="109" t="str">
        <f t="shared" si="294"/>
        <v/>
      </c>
      <c r="FD185" s="110" t="str">
        <f t="shared" si="438"/>
        <v/>
      </c>
      <c r="FF185" s="108" t="str">
        <f t="shared" si="295"/>
        <v/>
      </c>
      <c r="FG185" s="109" t="str">
        <f t="shared" si="369"/>
        <v/>
      </c>
      <c r="FH185" s="109" t="str">
        <f t="shared" si="296"/>
        <v/>
      </c>
      <c r="FI185" s="110" t="str">
        <f t="shared" si="439"/>
        <v/>
      </c>
      <c r="FK185" s="108" t="str">
        <f t="shared" si="370"/>
        <v/>
      </c>
      <c r="FL185" s="109" t="str">
        <f t="shared" si="371"/>
        <v/>
      </c>
      <c r="FM185" s="109" t="str">
        <f t="shared" si="297"/>
        <v/>
      </c>
      <c r="FN185" s="110" t="str">
        <f t="shared" si="440"/>
        <v/>
      </c>
      <c r="FP185" s="108" t="str">
        <f t="shared" si="298"/>
        <v/>
      </c>
      <c r="FQ185" s="109" t="str">
        <f t="shared" si="372"/>
        <v/>
      </c>
      <c r="FR185" s="109" t="str">
        <f t="shared" si="299"/>
        <v/>
      </c>
      <c r="FS185" s="110" t="str">
        <f t="shared" si="441"/>
        <v/>
      </c>
      <c r="FU185" s="108" t="str">
        <f t="shared" si="373"/>
        <v/>
      </c>
      <c r="FV185" s="109" t="str">
        <f t="shared" si="374"/>
        <v/>
      </c>
      <c r="FW185" s="109" t="str">
        <f t="shared" si="300"/>
        <v/>
      </c>
      <c r="FX185" s="110" t="str">
        <f t="shared" si="442"/>
        <v/>
      </c>
      <c r="FZ185" s="108" t="str">
        <f t="shared" si="301"/>
        <v/>
      </c>
      <c r="GA185" s="109" t="str">
        <f t="shared" si="375"/>
        <v/>
      </c>
      <c r="GB185" s="109" t="str">
        <f t="shared" si="302"/>
        <v/>
      </c>
      <c r="GC185" s="110" t="str">
        <f t="shared" si="443"/>
        <v/>
      </c>
      <c r="GE185" s="108" t="str">
        <f t="shared" si="376"/>
        <v/>
      </c>
      <c r="GF185" s="109" t="str">
        <f t="shared" si="377"/>
        <v/>
      </c>
      <c r="GG185" s="109" t="str">
        <f t="shared" si="378"/>
        <v/>
      </c>
      <c r="GH185" s="110" t="str">
        <f t="shared" si="444"/>
        <v/>
      </c>
      <c r="GL185" s="108" t="str">
        <f t="shared" si="303"/>
        <v/>
      </c>
      <c r="GM185" s="109" t="str">
        <f t="shared" si="304"/>
        <v/>
      </c>
      <c r="GN185" s="109" t="str">
        <f t="shared" si="305"/>
        <v/>
      </c>
      <c r="GO185" s="110" t="str">
        <f t="shared" si="306"/>
        <v/>
      </c>
      <c r="GP185" s="51"/>
      <c r="GQ185" s="108" t="str">
        <f t="shared" si="307"/>
        <v/>
      </c>
      <c r="GR185" s="109" t="str">
        <f t="shared" si="379"/>
        <v/>
      </c>
      <c r="GS185" s="109" t="str">
        <f t="shared" si="308"/>
        <v/>
      </c>
      <c r="GT185" s="110" t="str">
        <f t="shared" si="309"/>
        <v/>
      </c>
      <c r="GU185" s="51"/>
      <c r="GV185" s="108" t="str">
        <f t="shared" si="380"/>
        <v/>
      </c>
      <c r="GW185" s="109" t="str">
        <f t="shared" si="381"/>
        <v/>
      </c>
      <c r="GX185" s="109" t="str">
        <f t="shared" si="310"/>
        <v/>
      </c>
      <c r="GY185" s="110" t="str">
        <f t="shared" si="382"/>
        <v/>
      </c>
      <c r="GZ185" s="51"/>
      <c r="HA185" s="108" t="str">
        <f t="shared" si="311"/>
        <v/>
      </c>
      <c r="HB185" s="109" t="str">
        <f t="shared" si="383"/>
        <v/>
      </c>
      <c r="HC185" s="109" t="str">
        <f t="shared" si="312"/>
        <v/>
      </c>
      <c r="HD185" s="110" t="str">
        <f t="shared" si="417"/>
        <v/>
      </c>
      <c r="HE185" s="51"/>
      <c r="HF185" s="108" t="str">
        <f t="shared" si="384"/>
        <v/>
      </c>
      <c r="HG185" s="109" t="str">
        <f t="shared" si="385"/>
        <v/>
      </c>
      <c r="HH185" s="109" t="str">
        <f t="shared" si="313"/>
        <v/>
      </c>
      <c r="HI185" s="110" t="str">
        <f t="shared" si="386"/>
        <v/>
      </c>
      <c r="HJ185" s="51"/>
      <c r="HK185" s="108" t="str">
        <f t="shared" si="314"/>
        <v/>
      </c>
      <c r="HL185" s="109" t="str">
        <f t="shared" si="387"/>
        <v/>
      </c>
      <c r="HM185" s="109" t="str">
        <f t="shared" si="315"/>
        <v/>
      </c>
      <c r="HN185" s="110" t="str">
        <f t="shared" si="418"/>
        <v/>
      </c>
      <c r="HO185" s="51"/>
      <c r="HP185" s="108" t="str">
        <f t="shared" si="388"/>
        <v/>
      </c>
      <c r="HQ185" s="109" t="str">
        <f t="shared" si="389"/>
        <v/>
      </c>
      <c r="HR185" s="109" t="str">
        <f t="shared" si="316"/>
        <v/>
      </c>
      <c r="HS185" s="110" t="str">
        <f t="shared" si="390"/>
        <v/>
      </c>
      <c r="HT185" s="51"/>
      <c r="HU185" s="108" t="str">
        <f t="shared" si="317"/>
        <v/>
      </c>
      <c r="HV185" s="109" t="str">
        <f t="shared" si="391"/>
        <v/>
      </c>
      <c r="HW185" s="109" t="str">
        <f t="shared" si="318"/>
        <v/>
      </c>
      <c r="HX185" s="110" t="str">
        <f t="shared" si="419"/>
        <v/>
      </c>
      <c r="HY185" s="51"/>
      <c r="HZ185" s="108" t="str">
        <f t="shared" si="392"/>
        <v/>
      </c>
      <c r="IA185" s="109" t="str">
        <f t="shared" si="393"/>
        <v/>
      </c>
      <c r="IB185" s="109" t="str">
        <f t="shared" si="319"/>
        <v/>
      </c>
      <c r="IC185" s="110" t="str">
        <f t="shared" si="394"/>
        <v/>
      </c>
      <c r="ID185" s="51"/>
      <c r="IE185" s="108" t="str">
        <f t="shared" si="320"/>
        <v/>
      </c>
      <c r="IF185" s="109" t="str">
        <f t="shared" si="395"/>
        <v/>
      </c>
      <c r="IG185" s="109" t="str">
        <f t="shared" si="321"/>
        <v/>
      </c>
      <c r="IH185" s="110" t="str">
        <f t="shared" si="420"/>
        <v/>
      </c>
      <c r="II185" s="51"/>
      <c r="IJ185" s="108" t="str">
        <f t="shared" si="396"/>
        <v/>
      </c>
      <c r="IK185" s="109" t="str">
        <f t="shared" si="397"/>
        <v/>
      </c>
      <c r="IL185" s="109" t="str">
        <f t="shared" si="322"/>
        <v/>
      </c>
      <c r="IM185" s="110" t="str">
        <f t="shared" si="398"/>
        <v/>
      </c>
      <c r="IN185" s="51"/>
      <c r="IO185" s="108" t="str">
        <f t="shared" si="323"/>
        <v/>
      </c>
      <c r="IP185" s="109" t="str">
        <f t="shared" si="399"/>
        <v/>
      </c>
      <c r="IQ185" s="109" t="str">
        <f t="shared" si="324"/>
        <v/>
      </c>
      <c r="IR185" s="110" t="str">
        <f t="shared" si="421"/>
        <v/>
      </c>
      <c r="IS185" s="51"/>
      <c r="IT185" s="108" t="str">
        <f t="shared" si="400"/>
        <v/>
      </c>
      <c r="IU185" s="109" t="str">
        <f t="shared" si="401"/>
        <v/>
      </c>
      <c r="IV185" s="109" t="str">
        <f t="shared" si="325"/>
        <v/>
      </c>
      <c r="IW185" s="110" t="str">
        <f t="shared" si="402"/>
        <v/>
      </c>
      <c r="IX185" s="51"/>
      <c r="IY185" s="108" t="str">
        <f t="shared" si="326"/>
        <v/>
      </c>
      <c r="IZ185" s="109" t="str">
        <f t="shared" si="403"/>
        <v/>
      </c>
      <c r="JA185" s="109" t="str">
        <f t="shared" si="327"/>
        <v/>
      </c>
      <c r="JB185" s="110" t="str">
        <f t="shared" si="422"/>
        <v/>
      </c>
      <c r="JC185" s="51"/>
      <c r="JD185" s="108" t="str">
        <f t="shared" si="404"/>
        <v/>
      </c>
      <c r="JE185" s="109" t="str">
        <f t="shared" si="405"/>
        <v/>
      </c>
      <c r="JF185" s="109" t="str">
        <f t="shared" si="328"/>
        <v/>
      </c>
      <c r="JG185" s="110" t="str">
        <f t="shared" si="406"/>
        <v/>
      </c>
      <c r="JH185" s="51"/>
      <c r="JI185" s="108" t="str">
        <f t="shared" si="329"/>
        <v/>
      </c>
      <c r="JJ185" s="109" t="str">
        <f t="shared" si="407"/>
        <v/>
      </c>
      <c r="JK185" s="109" t="str">
        <f t="shared" si="330"/>
        <v/>
      </c>
      <c r="JL185" s="110" t="str">
        <f t="shared" si="423"/>
        <v/>
      </c>
      <c r="JM185" s="51"/>
      <c r="JN185" s="108" t="str">
        <f t="shared" si="408"/>
        <v/>
      </c>
      <c r="JO185" s="109" t="str">
        <f t="shared" si="409"/>
        <v/>
      </c>
      <c r="JP185" s="109" t="str">
        <f t="shared" si="331"/>
        <v/>
      </c>
      <c r="JQ185" s="110" t="str">
        <f t="shared" si="410"/>
        <v/>
      </c>
      <c r="JR185" s="51"/>
      <c r="JS185" s="108" t="str">
        <f t="shared" si="332"/>
        <v/>
      </c>
      <c r="JT185" s="109" t="str">
        <f t="shared" si="411"/>
        <v/>
      </c>
      <c r="JU185" s="109" t="str">
        <f t="shared" si="333"/>
        <v/>
      </c>
      <c r="JV185" s="110" t="str">
        <f t="shared" si="424"/>
        <v/>
      </c>
      <c r="JW185" s="51"/>
      <c r="JX185" s="108" t="str">
        <f t="shared" si="412"/>
        <v/>
      </c>
      <c r="JY185" s="109" t="str">
        <f t="shared" si="413"/>
        <v/>
      </c>
      <c r="JZ185" s="109" t="str">
        <f t="shared" si="334"/>
        <v/>
      </c>
      <c r="KA185" s="110" t="str">
        <f t="shared" si="335"/>
        <v/>
      </c>
    </row>
    <row r="186" spans="1:287" ht="12" customHeight="1">
      <c r="A186" s="105">
        <f t="array" ref="A186">MAX(IF($J$80:J185&gt;0,$C$80:C185,0))</f>
        <v>43536</v>
      </c>
      <c r="B186" s="81" t="str">
        <f t="shared" si="248"/>
        <v/>
      </c>
      <c r="C186" s="82">
        <f t="shared" si="414"/>
        <v>0</v>
      </c>
      <c r="D186" s="83" t="str">
        <f t="shared" si="249"/>
        <v/>
      </c>
      <c r="E186" s="83" t="str">
        <f t="shared" si="336"/>
        <v/>
      </c>
      <c r="F186" s="83" t="str">
        <f t="shared" si="250"/>
        <v/>
      </c>
      <c r="G186" s="83" t="str">
        <f t="shared" si="251"/>
        <v/>
      </c>
      <c r="H186" s="83" t="str">
        <f t="shared" si="252"/>
        <v/>
      </c>
      <c r="I186" s="105">
        <f t="array" ref="I186">MAX(IF($R$80:R185&gt;0,$L$80:L185,0))</f>
        <v>0</v>
      </c>
      <c r="J186" s="106"/>
      <c r="K186" s="2" t="str">
        <f t="shared" si="253"/>
        <v/>
      </c>
      <c r="L186" s="82">
        <f t="shared" si="415"/>
        <v>0</v>
      </c>
      <c r="M186" s="83" t="str">
        <f t="shared" si="337"/>
        <v/>
      </c>
      <c r="N186" s="83" t="str">
        <f t="shared" si="254"/>
        <v/>
      </c>
      <c r="O186" s="83" t="str">
        <f t="shared" si="255"/>
        <v/>
      </c>
      <c r="P186" s="83" t="str">
        <f t="shared" si="256"/>
        <v/>
      </c>
      <c r="Q186" s="83" t="str">
        <f t="shared" si="257"/>
        <v/>
      </c>
      <c r="R186" s="106"/>
      <c r="S186" s="1"/>
      <c r="U186" s="85" t="e">
        <f t="shared" si="244"/>
        <v>#NUM!</v>
      </c>
      <c r="V186" s="86" t="e">
        <f t="shared" si="338"/>
        <v>#NUM!</v>
      </c>
      <c r="W186" s="87" t="e">
        <f t="shared" si="258"/>
        <v>#NUM!</v>
      </c>
      <c r="X186" s="87" t="e">
        <f t="shared" si="259"/>
        <v>#NUM!</v>
      </c>
      <c r="Y186" s="87" t="e">
        <f t="shared" si="260"/>
        <v>#NUM!</v>
      </c>
      <c r="Z186" s="88" t="e">
        <f t="shared" si="245"/>
        <v>#NUM!</v>
      </c>
      <c r="AA186" t="s">
        <v>282</v>
      </c>
      <c r="AB186" s="89">
        <f t="shared" si="339"/>
        <v>0</v>
      </c>
      <c r="AC186" s="87">
        <f t="shared" si="340"/>
        <v>0</v>
      </c>
      <c r="AD186" s="87" t="str">
        <f t="shared" si="261"/>
        <v/>
      </c>
      <c r="AE186" s="87" t="str">
        <f t="shared" si="262"/>
        <v/>
      </c>
      <c r="AF186" s="86">
        <f t="shared" si="341"/>
        <v>0</v>
      </c>
      <c r="AG186" s="87">
        <f t="shared" si="246"/>
        <v>0</v>
      </c>
      <c r="AH186" s="87">
        <f t="shared" si="342"/>
        <v>0</v>
      </c>
      <c r="AI186" s="90"/>
      <c r="AJ186" s="87" t="e">
        <f t="shared" si="263"/>
        <v>#NUM!</v>
      </c>
      <c r="AK186" s="87" t="e">
        <f t="shared" si="343"/>
        <v>#NUM!</v>
      </c>
      <c r="AL186" s="87" t="e">
        <f t="shared" si="344"/>
        <v>#NUM!</v>
      </c>
      <c r="AM186" s="87" t="e">
        <f t="shared" si="345"/>
        <v>#NUM!</v>
      </c>
      <c r="AN186" s="86">
        <f t="shared" si="264"/>
        <v>0</v>
      </c>
      <c r="AO186" s="87">
        <f t="shared" si="265"/>
        <v>0</v>
      </c>
      <c r="AP186" s="88">
        <f t="shared" si="266"/>
        <v>0</v>
      </c>
      <c r="AR186" s="89">
        <f t="shared" si="267"/>
        <v>0</v>
      </c>
      <c r="AS186" s="87">
        <f t="shared" si="268"/>
        <v>0</v>
      </c>
      <c r="AT186" s="87" t="str">
        <f t="shared" si="269"/>
        <v/>
      </c>
      <c r="AU186" s="87" t="str">
        <f t="shared" si="270"/>
        <v/>
      </c>
      <c r="AV186" s="86">
        <f t="shared" si="346"/>
        <v>0</v>
      </c>
      <c r="AW186" s="87">
        <f t="shared" si="347"/>
        <v>0</v>
      </c>
      <c r="AX186" s="87">
        <f t="shared" si="348"/>
        <v>0</v>
      </c>
      <c r="AY186" s="93"/>
      <c r="AZ186" s="87">
        <f t="shared" si="425"/>
        <v>0</v>
      </c>
      <c r="BA186" s="87">
        <f t="shared" si="349"/>
        <v>0</v>
      </c>
      <c r="BB186" s="87">
        <f t="shared" si="350"/>
        <v>0</v>
      </c>
      <c r="BC186" s="87">
        <f t="shared" si="416"/>
        <v>0</v>
      </c>
      <c r="BD186" s="86" t="e">
        <f t="shared" si="271"/>
        <v>#NUM!</v>
      </c>
      <c r="BE186" s="87" t="e">
        <f t="shared" si="247"/>
        <v>#NUM!</v>
      </c>
      <c r="BF186" s="88">
        <f t="shared" si="351"/>
        <v>0</v>
      </c>
      <c r="BH186" s="87" t="e">
        <f t="shared" si="272"/>
        <v>#NUM!</v>
      </c>
      <c r="BK186" s="95">
        <v>42011</v>
      </c>
      <c r="BL186" s="96">
        <v>107</v>
      </c>
      <c r="CS186" s="108" t="str">
        <f t="shared" si="273"/>
        <v/>
      </c>
      <c r="CT186" s="109" t="str">
        <f t="shared" si="274"/>
        <v/>
      </c>
      <c r="CU186" s="109" t="str">
        <f t="shared" si="275"/>
        <v/>
      </c>
      <c r="CV186" s="110" t="str">
        <f t="shared" si="426"/>
        <v/>
      </c>
      <c r="CX186" s="108" t="str">
        <f t="shared" si="276"/>
        <v/>
      </c>
      <c r="CY186" s="109" t="str">
        <f t="shared" si="352"/>
        <v/>
      </c>
      <c r="CZ186" s="109" t="str">
        <f t="shared" si="277"/>
        <v/>
      </c>
      <c r="DA186" s="110" t="str">
        <f t="shared" si="427"/>
        <v/>
      </c>
      <c r="DC186" s="108" t="str">
        <f t="shared" si="353"/>
        <v/>
      </c>
      <c r="DD186" s="109" t="str">
        <f t="shared" si="354"/>
        <v/>
      </c>
      <c r="DE186" s="109" t="str">
        <f t="shared" si="278"/>
        <v/>
      </c>
      <c r="DF186" s="110" t="str">
        <f t="shared" si="428"/>
        <v/>
      </c>
      <c r="DH186" s="108" t="str">
        <f t="shared" si="279"/>
        <v/>
      </c>
      <c r="DI186" s="109" t="str">
        <f t="shared" si="280"/>
        <v/>
      </c>
      <c r="DJ186" s="109" t="str">
        <f t="shared" si="281"/>
        <v/>
      </c>
      <c r="DK186" s="110" t="str">
        <f t="shared" si="429"/>
        <v/>
      </c>
      <c r="DM186" s="108" t="str">
        <f t="shared" si="355"/>
        <v/>
      </c>
      <c r="DN186" s="109" t="str">
        <f t="shared" si="356"/>
        <v/>
      </c>
      <c r="DO186" s="109" t="str">
        <f t="shared" si="282"/>
        <v/>
      </c>
      <c r="DP186" s="110" t="str">
        <f t="shared" si="430"/>
        <v/>
      </c>
      <c r="DR186" s="108" t="str">
        <f t="shared" si="283"/>
        <v/>
      </c>
      <c r="DS186" s="109" t="str">
        <f t="shared" si="357"/>
        <v/>
      </c>
      <c r="DT186" s="109" t="str">
        <f t="shared" si="284"/>
        <v/>
      </c>
      <c r="DU186" s="110" t="str">
        <f t="shared" si="431"/>
        <v/>
      </c>
      <c r="DW186" s="108" t="str">
        <f t="shared" si="358"/>
        <v/>
      </c>
      <c r="DX186" s="109" t="str">
        <f t="shared" si="359"/>
        <v/>
      </c>
      <c r="DY186" s="109" t="str">
        <f t="shared" si="285"/>
        <v/>
      </c>
      <c r="DZ186" s="110" t="str">
        <f t="shared" si="432"/>
        <v/>
      </c>
      <c r="EB186" s="108" t="str">
        <f t="shared" si="286"/>
        <v/>
      </c>
      <c r="EC186" s="109" t="str">
        <f t="shared" si="360"/>
        <v/>
      </c>
      <c r="ED186" s="109" t="str">
        <f t="shared" si="287"/>
        <v/>
      </c>
      <c r="EE186" s="110" t="str">
        <f t="shared" si="433"/>
        <v/>
      </c>
      <c r="EG186" s="108" t="str">
        <f t="shared" si="361"/>
        <v/>
      </c>
      <c r="EH186" s="109" t="str">
        <f t="shared" si="362"/>
        <v/>
      </c>
      <c r="EI186" s="109" t="str">
        <f t="shared" si="288"/>
        <v/>
      </c>
      <c r="EJ186" s="110" t="str">
        <f t="shared" si="434"/>
        <v/>
      </c>
      <c r="EL186" s="108" t="str">
        <f t="shared" si="289"/>
        <v/>
      </c>
      <c r="EM186" s="109" t="str">
        <f t="shared" si="363"/>
        <v/>
      </c>
      <c r="EN186" s="109" t="str">
        <f t="shared" si="290"/>
        <v/>
      </c>
      <c r="EO186" s="110" t="str">
        <f t="shared" si="435"/>
        <v/>
      </c>
      <c r="EQ186" s="108" t="str">
        <f t="shared" si="364"/>
        <v/>
      </c>
      <c r="ER186" s="109" t="str">
        <f t="shared" si="365"/>
        <v/>
      </c>
      <c r="ES186" s="109" t="str">
        <f t="shared" si="291"/>
        <v/>
      </c>
      <c r="ET186" s="110" t="str">
        <f t="shared" si="436"/>
        <v/>
      </c>
      <c r="EV186" s="108" t="str">
        <f t="shared" si="292"/>
        <v/>
      </c>
      <c r="EW186" s="109" t="str">
        <f t="shared" si="366"/>
        <v/>
      </c>
      <c r="EX186" s="109" t="str">
        <f t="shared" si="293"/>
        <v/>
      </c>
      <c r="EY186" s="110" t="str">
        <f t="shared" si="437"/>
        <v/>
      </c>
      <c r="FA186" s="108" t="str">
        <f t="shared" si="367"/>
        <v/>
      </c>
      <c r="FB186" s="109" t="str">
        <f t="shared" si="368"/>
        <v/>
      </c>
      <c r="FC186" s="109" t="str">
        <f t="shared" si="294"/>
        <v/>
      </c>
      <c r="FD186" s="110" t="str">
        <f t="shared" si="438"/>
        <v/>
      </c>
      <c r="FF186" s="108" t="str">
        <f t="shared" si="295"/>
        <v/>
      </c>
      <c r="FG186" s="109" t="str">
        <f t="shared" si="369"/>
        <v/>
      </c>
      <c r="FH186" s="109" t="str">
        <f t="shared" si="296"/>
        <v/>
      </c>
      <c r="FI186" s="110" t="str">
        <f t="shared" si="439"/>
        <v/>
      </c>
      <c r="FK186" s="108" t="str">
        <f t="shared" si="370"/>
        <v/>
      </c>
      <c r="FL186" s="109" t="str">
        <f t="shared" si="371"/>
        <v/>
      </c>
      <c r="FM186" s="109" t="str">
        <f t="shared" si="297"/>
        <v/>
      </c>
      <c r="FN186" s="110" t="str">
        <f t="shared" si="440"/>
        <v/>
      </c>
      <c r="FP186" s="108" t="str">
        <f t="shared" si="298"/>
        <v/>
      </c>
      <c r="FQ186" s="109" t="str">
        <f t="shared" si="372"/>
        <v/>
      </c>
      <c r="FR186" s="109" t="str">
        <f t="shared" si="299"/>
        <v/>
      </c>
      <c r="FS186" s="110" t="str">
        <f t="shared" si="441"/>
        <v/>
      </c>
      <c r="FU186" s="108" t="str">
        <f t="shared" si="373"/>
        <v/>
      </c>
      <c r="FV186" s="109" t="str">
        <f t="shared" si="374"/>
        <v/>
      </c>
      <c r="FW186" s="109" t="str">
        <f t="shared" si="300"/>
        <v/>
      </c>
      <c r="FX186" s="110" t="str">
        <f t="shared" si="442"/>
        <v/>
      </c>
      <c r="FZ186" s="108" t="str">
        <f t="shared" si="301"/>
        <v/>
      </c>
      <c r="GA186" s="109" t="str">
        <f t="shared" si="375"/>
        <v/>
      </c>
      <c r="GB186" s="109" t="str">
        <f t="shared" si="302"/>
        <v/>
      </c>
      <c r="GC186" s="110" t="str">
        <f t="shared" si="443"/>
        <v/>
      </c>
      <c r="GE186" s="108" t="str">
        <f t="shared" si="376"/>
        <v/>
      </c>
      <c r="GF186" s="109" t="str">
        <f t="shared" si="377"/>
        <v/>
      </c>
      <c r="GG186" s="109" t="str">
        <f t="shared" si="378"/>
        <v/>
      </c>
      <c r="GH186" s="110" t="str">
        <f t="shared" si="444"/>
        <v/>
      </c>
      <c r="GL186" s="108" t="str">
        <f t="shared" si="303"/>
        <v/>
      </c>
      <c r="GM186" s="109" t="str">
        <f t="shared" si="304"/>
        <v/>
      </c>
      <c r="GN186" s="109" t="str">
        <f t="shared" si="305"/>
        <v/>
      </c>
      <c r="GO186" s="110" t="str">
        <f t="shared" si="306"/>
        <v/>
      </c>
      <c r="GP186" s="51"/>
      <c r="GQ186" s="108" t="str">
        <f t="shared" si="307"/>
        <v/>
      </c>
      <c r="GR186" s="109" t="str">
        <f t="shared" si="379"/>
        <v/>
      </c>
      <c r="GS186" s="109" t="str">
        <f t="shared" si="308"/>
        <v/>
      </c>
      <c r="GT186" s="110" t="str">
        <f t="shared" si="309"/>
        <v/>
      </c>
      <c r="GU186" s="51"/>
      <c r="GV186" s="108" t="str">
        <f t="shared" si="380"/>
        <v/>
      </c>
      <c r="GW186" s="109" t="str">
        <f t="shared" si="381"/>
        <v/>
      </c>
      <c r="GX186" s="109" t="str">
        <f t="shared" si="310"/>
        <v/>
      </c>
      <c r="GY186" s="110" t="str">
        <f t="shared" si="382"/>
        <v/>
      </c>
      <c r="GZ186" s="51"/>
      <c r="HA186" s="108" t="str">
        <f t="shared" si="311"/>
        <v/>
      </c>
      <c r="HB186" s="109" t="str">
        <f t="shared" si="383"/>
        <v/>
      </c>
      <c r="HC186" s="109" t="str">
        <f t="shared" si="312"/>
        <v/>
      </c>
      <c r="HD186" s="110" t="str">
        <f t="shared" si="417"/>
        <v/>
      </c>
      <c r="HE186" s="51"/>
      <c r="HF186" s="108" t="str">
        <f t="shared" si="384"/>
        <v/>
      </c>
      <c r="HG186" s="109" t="str">
        <f t="shared" si="385"/>
        <v/>
      </c>
      <c r="HH186" s="109" t="str">
        <f t="shared" si="313"/>
        <v/>
      </c>
      <c r="HI186" s="110" t="str">
        <f t="shared" si="386"/>
        <v/>
      </c>
      <c r="HJ186" s="51"/>
      <c r="HK186" s="108" t="str">
        <f t="shared" si="314"/>
        <v/>
      </c>
      <c r="HL186" s="109" t="str">
        <f t="shared" si="387"/>
        <v/>
      </c>
      <c r="HM186" s="109" t="str">
        <f t="shared" si="315"/>
        <v/>
      </c>
      <c r="HN186" s="110" t="str">
        <f t="shared" si="418"/>
        <v/>
      </c>
      <c r="HO186" s="51"/>
      <c r="HP186" s="108" t="str">
        <f t="shared" si="388"/>
        <v/>
      </c>
      <c r="HQ186" s="109" t="str">
        <f t="shared" si="389"/>
        <v/>
      </c>
      <c r="HR186" s="109" t="str">
        <f t="shared" si="316"/>
        <v/>
      </c>
      <c r="HS186" s="110" t="str">
        <f t="shared" si="390"/>
        <v/>
      </c>
      <c r="HT186" s="51"/>
      <c r="HU186" s="108" t="str">
        <f t="shared" si="317"/>
        <v/>
      </c>
      <c r="HV186" s="109" t="str">
        <f t="shared" si="391"/>
        <v/>
      </c>
      <c r="HW186" s="109" t="str">
        <f t="shared" si="318"/>
        <v/>
      </c>
      <c r="HX186" s="110" t="str">
        <f t="shared" si="419"/>
        <v/>
      </c>
      <c r="HY186" s="51"/>
      <c r="HZ186" s="108" t="str">
        <f t="shared" si="392"/>
        <v/>
      </c>
      <c r="IA186" s="109" t="str">
        <f t="shared" si="393"/>
        <v/>
      </c>
      <c r="IB186" s="109" t="str">
        <f t="shared" si="319"/>
        <v/>
      </c>
      <c r="IC186" s="110" t="str">
        <f t="shared" si="394"/>
        <v/>
      </c>
      <c r="ID186" s="51"/>
      <c r="IE186" s="108" t="str">
        <f t="shared" si="320"/>
        <v/>
      </c>
      <c r="IF186" s="109" t="str">
        <f t="shared" si="395"/>
        <v/>
      </c>
      <c r="IG186" s="109" t="str">
        <f t="shared" si="321"/>
        <v/>
      </c>
      <c r="IH186" s="110" t="str">
        <f t="shared" si="420"/>
        <v/>
      </c>
      <c r="II186" s="51"/>
      <c r="IJ186" s="108" t="str">
        <f t="shared" si="396"/>
        <v/>
      </c>
      <c r="IK186" s="109" t="str">
        <f t="shared" si="397"/>
        <v/>
      </c>
      <c r="IL186" s="109" t="str">
        <f t="shared" si="322"/>
        <v/>
      </c>
      <c r="IM186" s="110" t="str">
        <f t="shared" si="398"/>
        <v/>
      </c>
      <c r="IN186" s="51"/>
      <c r="IO186" s="108" t="str">
        <f t="shared" si="323"/>
        <v/>
      </c>
      <c r="IP186" s="109" t="str">
        <f t="shared" si="399"/>
        <v/>
      </c>
      <c r="IQ186" s="109" t="str">
        <f t="shared" si="324"/>
        <v/>
      </c>
      <c r="IR186" s="110" t="str">
        <f t="shared" si="421"/>
        <v/>
      </c>
      <c r="IS186" s="51"/>
      <c r="IT186" s="108" t="str">
        <f t="shared" si="400"/>
        <v/>
      </c>
      <c r="IU186" s="109" t="str">
        <f t="shared" si="401"/>
        <v/>
      </c>
      <c r="IV186" s="109" t="str">
        <f t="shared" si="325"/>
        <v/>
      </c>
      <c r="IW186" s="110" t="str">
        <f t="shared" si="402"/>
        <v/>
      </c>
      <c r="IX186" s="51"/>
      <c r="IY186" s="108" t="str">
        <f t="shared" si="326"/>
        <v/>
      </c>
      <c r="IZ186" s="109" t="str">
        <f t="shared" si="403"/>
        <v/>
      </c>
      <c r="JA186" s="109" t="str">
        <f t="shared" si="327"/>
        <v/>
      </c>
      <c r="JB186" s="110" t="str">
        <f t="shared" si="422"/>
        <v/>
      </c>
      <c r="JC186" s="51"/>
      <c r="JD186" s="108" t="str">
        <f t="shared" si="404"/>
        <v/>
      </c>
      <c r="JE186" s="109" t="str">
        <f t="shared" si="405"/>
        <v/>
      </c>
      <c r="JF186" s="109" t="str">
        <f t="shared" si="328"/>
        <v/>
      </c>
      <c r="JG186" s="110" t="str">
        <f t="shared" si="406"/>
        <v/>
      </c>
      <c r="JH186" s="51"/>
      <c r="JI186" s="108" t="str">
        <f t="shared" si="329"/>
        <v/>
      </c>
      <c r="JJ186" s="109" t="str">
        <f t="shared" si="407"/>
        <v/>
      </c>
      <c r="JK186" s="109" t="str">
        <f t="shared" si="330"/>
        <v/>
      </c>
      <c r="JL186" s="110" t="str">
        <f t="shared" si="423"/>
        <v/>
      </c>
      <c r="JM186" s="51"/>
      <c r="JN186" s="108" t="str">
        <f t="shared" si="408"/>
        <v/>
      </c>
      <c r="JO186" s="109" t="str">
        <f t="shared" si="409"/>
        <v/>
      </c>
      <c r="JP186" s="109" t="str">
        <f t="shared" si="331"/>
        <v/>
      </c>
      <c r="JQ186" s="110" t="str">
        <f t="shared" si="410"/>
        <v/>
      </c>
      <c r="JR186" s="51"/>
      <c r="JS186" s="108" t="str">
        <f t="shared" si="332"/>
        <v/>
      </c>
      <c r="JT186" s="109" t="str">
        <f t="shared" si="411"/>
        <v/>
      </c>
      <c r="JU186" s="109" t="str">
        <f t="shared" si="333"/>
        <v/>
      </c>
      <c r="JV186" s="110" t="str">
        <f t="shared" si="424"/>
        <v/>
      </c>
      <c r="JW186" s="51"/>
      <c r="JX186" s="108" t="str">
        <f t="shared" si="412"/>
        <v/>
      </c>
      <c r="JY186" s="109" t="str">
        <f t="shared" si="413"/>
        <v/>
      </c>
      <c r="JZ186" s="109" t="str">
        <f t="shared" si="334"/>
        <v/>
      </c>
      <c r="KA186" s="110" t="str">
        <f t="shared" si="335"/>
        <v/>
      </c>
    </row>
    <row r="187" spans="1:287" ht="12" customHeight="1">
      <c r="A187" s="105">
        <f t="array" ref="A187">MAX(IF($J$80:J186&gt;0,$C$80:C186,0))</f>
        <v>43536</v>
      </c>
      <c r="B187" s="81" t="str">
        <f t="shared" si="248"/>
        <v/>
      </c>
      <c r="C187" s="82">
        <f t="shared" si="414"/>
        <v>0</v>
      </c>
      <c r="D187" s="83" t="str">
        <f t="shared" si="249"/>
        <v/>
      </c>
      <c r="E187" s="83" t="str">
        <f t="shared" si="336"/>
        <v/>
      </c>
      <c r="F187" s="83" t="str">
        <f t="shared" si="250"/>
        <v/>
      </c>
      <c r="G187" s="83" t="str">
        <f t="shared" si="251"/>
        <v/>
      </c>
      <c r="H187" s="83" t="str">
        <f t="shared" si="252"/>
        <v/>
      </c>
      <c r="I187" s="105">
        <f t="array" ref="I187">MAX(IF($R$80:R186&gt;0,$L$80:L186,0))</f>
        <v>0</v>
      </c>
      <c r="J187" s="106"/>
      <c r="K187" s="2" t="str">
        <f t="shared" si="253"/>
        <v/>
      </c>
      <c r="L187" s="82">
        <f t="shared" si="415"/>
        <v>0</v>
      </c>
      <c r="M187" s="83" t="str">
        <f t="shared" si="337"/>
        <v/>
      </c>
      <c r="N187" s="83" t="str">
        <f t="shared" si="254"/>
        <v/>
      </c>
      <c r="O187" s="83" t="str">
        <f t="shared" si="255"/>
        <v/>
      </c>
      <c r="P187" s="83" t="str">
        <f t="shared" si="256"/>
        <v/>
      </c>
      <c r="Q187" s="83" t="str">
        <f t="shared" si="257"/>
        <v/>
      </c>
      <c r="R187" s="106"/>
      <c r="S187" s="1"/>
      <c r="U187" s="85" t="e">
        <f t="shared" si="244"/>
        <v>#NUM!</v>
      </c>
      <c r="V187" s="86" t="e">
        <f t="shared" si="338"/>
        <v>#NUM!</v>
      </c>
      <c r="W187" s="87" t="e">
        <f t="shared" si="258"/>
        <v>#NUM!</v>
      </c>
      <c r="X187" s="87" t="e">
        <f t="shared" si="259"/>
        <v>#NUM!</v>
      </c>
      <c r="Y187" s="87" t="e">
        <f t="shared" si="260"/>
        <v>#NUM!</v>
      </c>
      <c r="Z187" s="88" t="e">
        <f t="shared" si="245"/>
        <v>#NUM!</v>
      </c>
      <c r="AA187" t="s">
        <v>282</v>
      </c>
      <c r="AB187" s="89">
        <f t="shared" si="339"/>
        <v>0</v>
      </c>
      <c r="AC187" s="87">
        <f t="shared" si="340"/>
        <v>0</v>
      </c>
      <c r="AD187" s="87" t="str">
        <f t="shared" si="261"/>
        <v/>
      </c>
      <c r="AE187" s="87" t="str">
        <f t="shared" si="262"/>
        <v/>
      </c>
      <c r="AF187" s="86">
        <f t="shared" si="341"/>
        <v>0</v>
      </c>
      <c r="AG187" s="87">
        <f t="shared" si="246"/>
        <v>0</v>
      </c>
      <c r="AH187" s="87">
        <f t="shared" si="342"/>
        <v>0</v>
      </c>
      <c r="AI187" s="90"/>
      <c r="AJ187" s="87" t="e">
        <f t="shared" si="263"/>
        <v>#NUM!</v>
      </c>
      <c r="AK187" s="87" t="e">
        <f t="shared" si="343"/>
        <v>#NUM!</v>
      </c>
      <c r="AL187" s="87" t="e">
        <f t="shared" si="344"/>
        <v>#NUM!</v>
      </c>
      <c r="AM187" s="87" t="e">
        <f t="shared" si="345"/>
        <v>#NUM!</v>
      </c>
      <c r="AN187" s="86">
        <f t="shared" si="264"/>
        <v>0</v>
      </c>
      <c r="AO187" s="87">
        <f t="shared" si="265"/>
        <v>0</v>
      </c>
      <c r="AP187" s="88">
        <f t="shared" si="266"/>
        <v>0</v>
      </c>
      <c r="AR187" s="89">
        <f t="shared" si="267"/>
        <v>0</v>
      </c>
      <c r="AS187" s="87">
        <f t="shared" si="268"/>
        <v>0</v>
      </c>
      <c r="AT187" s="87" t="str">
        <f t="shared" si="269"/>
        <v/>
      </c>
      <c r="AU187" s="87" t="str">
        <f t="shared" si="270"/>
        <v/>
      </c>
      <c r="AV187" s="86">
        <f t="shared" si="346"/>
        <v>0</v>
      </c>
      <c r="AW187" s="87">
        <f t="shared" si="347"/>
        <v>0</v>
      </c>
      <c r="AX187" s="87">
        <f t="shared" si="348"/>
        <v>0</v>
      </c>
      <c r="AY187" s="93"/>
      <c r="AZ187" s="87">
        <f t="shared" si="425"/>
        <v>0</v>
      </c>
      <c r="BA187" s="87">
        <f t="shared" si="349"/>
        <v>0</v>
      </c>
      <c r="BB187" s="87">
        <f t="shared" si="350"/>
        <v>0</v>
      </c>
      <c r="BC187" s="87">
        <f t="shared" si="416"/>
        <v>0</v>
      </c>
      <c r="BD187" s="86" t="e">
        <f t="shared" si="271"/>
        <v>#NUM!</v>
      </c>
      <c r="BE187" s="87" t="e">
        <f t="shared" si="247"/>
        <v>#NUM!</v>
      </c>
      <c r="BF187" s="88">
        <f t="shared" si="351"/>
        <v>0</v>
      </c>
      <c r="BH187" s="87" t="e">
        <f t="shared" si="272"/>
        <v>#NUM!</v>
      </c>
      <c r="BK187" s="95">
        <v>42023</v>
      </c>
      <c r="BL187" s="96">
        <v>108</v>
      </c>
      <c r="CS187" s="108" t="str">
        <f t="shared" si="273"/>
        <v/>
      </c>
      <c r="CT187" s="109" t="str">
        <f t="shared" si="274"/>
        <v/>
      </c>
      <c r="CU187" s="109" t="str">
        <f t="shared" si="275"/>
        <v/>
      </c>
      <c r="CV187" s="110" t="str">
        <f t="shared" si="426"/>
        <v/>
      </c>
      <c r="CX187" s="108" t="str">
        <f t="shared" si="276"/>
        <v/>
      </c>
      <c r="CY187" s="109" t="str">
        <f t="shared" si="352"/>
        <v/>
      </c>
      <c r="CZ187" s="109" t="str">
        <f t="shared" si="277"/>
        <v/>
      </c>
      <c r="DA187" s="110" t="str">
        <f t="shared" si="427"/>
        <v/>
      </c>
      <c r="DC187" s="108" t="str">
        <f t="shared" si="353"/>
        <v/>
      </c>
      <c r="DD187" s="109" t="str">
        <f t="shared" si="354"/>
        <v/>
      </c>
      <c r="DE187" s="109" t="str">
        <f t="shared" si="278"/>
        <v/>
      </c>
      <c r="DF187" s="110" t="str">
        <f t="shared" si="428"/>
        <v/>
      </c>
      <c r="DH187" s="108" t="str">
        <f t="shared" si="279"/>
        <v/>
      </c>
      <c r="DI187" s="109" t="str">
        <f t="shared" si="280"/>
        <v/>
      </c>
      <c r="DJ187" s="109" t="str">
        <f t="shared" si="281"/>
        <v/>
      </c>
      <c r="DK187" s="110" t="str">
        <f t="shared" si="429"/>
        <v/>
      </c>
      <c r="DM187" s="108" t="str">
        <f t="shared" si="355"/>
        <v/>
      </c>
      <c r="DN187" s="109" t="str">
        <f t="shared" si="356"/>
        <v/>
      </c>
      <c r="DO187" s="109" t="str">
        <f t="shared" si="282"/>
        <v/>
      </c>
      <c r="DP187" s="110" t="str">
        <f t="shared" si="430"/>
        <v/>
      </c>
      <c r="DR187" s="108" t="str">
        <f t="shared" si="283"/>
        <v/>
      </c>
      <c r="DS187" s="109" t="str">
        <f t="shared" si="357"/>
        <v/>
      </c>
      <c r="DT187" s="109" t="str">
        <f t="shared" si="284"/>
        <v/>
      </c>
      <c r="DU187" s="110" t="str">
        <f t="shared" si="431"/>
        <v/>
      </c>
      <c r="DW187" s="108" t="str">
        <f t="shared" si="358"/>
        <v/>
      </c>
      <c r="DX187" s="109" t="str">
        <f t="shared" si="359"/>
        <v/>
      </c>
      <c r="DY187" s="109" t="str">
        <f t="shared" si="285"/>
        <v/>
      </c>
      <c r="DZ187" s="110" t="str">
        <f t="shared" si="432"/>
        <v/>
      </c>
      <c r="EB187" s="108" t="str">
        <f t="shared" si="286"/>
        <v/>
      </c>
      <c r="EC187" s="109" t="str">
        <f t="shared" si="360"/>
        <v/>
      </c>
      <c r="ED187" s="109" t="str">
        <f t="shared" si="287"/>
        <v/>
      </c>
      <c r="EE187" s="110" t="str">
        <f t="shared" si="433"/>
        <v/>
      </c>
      <c r="EG187" s="108" t="str">
        <f t="shared" si="361"/>
        <v/>
      </c>
      <c r="EH187" s="109" t="str">
        <f t="shared" si="362"/>
        <v/>
      </c>
      <c r="EI187" s="109" t="str">
        <f t="shared" si="288"/>
        <v/>
      </c>
      <c r="EJ187" s="110" t="str">
        <f t="shared" si="434"/>
        <v/>
      </c>
      <c r="EL187" s="108" t="str">
        <f t="shared" si="289"/>
        <v/>
      </c>
      <c r="EM187" s="109" t="str">
        <f t="shared" si="363"/>
        <v/>
      </c>
      <c r="EN187" s="109" t="str">
        <f t="shared" si="290"/>
        <v/>
      </c>
      <c r="EO187" s="110" t="str">
        <f t="shared" si="435"/>
        <v/>
      </c>
      <c r="EQ187" s="108" t="str">
        <f t="shared" si="364"/>
        <v/>
      </c>
      <c r="ER187" s="109" t="str">
        <f t="shared" si="365"/>
        <v/>
      </c>
      <c r="ES187" s="109" t="str">
        <f t="shared" si="291"/>
        <v/>
      </c>
      <c r="ET187" s="110" t="str">
        <f t="shared" si="436"/>
        <v/>
      </c>
      <c r="EV187" s="108" t="str">
        <f t="shared" si="292"/>
        <v/>
      </c>
      <c r="EW187" s="109" t="str">
        <f t="shared" si="366"/>
        <v/>
      </c>
      <c r="EX187" s="109" t="str">
        <f t="shared" si="293"/>
        <v/>
      </c>
      <c r="EY187" s="110" t="str">
        <f t="shared" si="437"/>
        <v/>
      </c>
      <c r="FA187" s="108" t="str">
        <f t="shared" si="367"/>
        <v/>
      </c>
      <c r="FB187" s="109" t="str">
        <f t="shared" si="368"/>
        <v/>
      </c>
      <c r="FC187" s="109" t="str">
        <f t="shared" si="294"/>
        <v/>
      </c>
      <c r="FD187" s="110" t="str">
        <f t="shared" si="438"/>
        <v/>
      </c>
      <c r="FF187" s="108" t="str">
        <f t="shared" si="295"/>
        <v/>
      </c>
      <c r="FG187" s="109" t="str">
        <f t="shared" si="369"/>
        <v/>
      </c>
      <c r="FH187" s="109" t="str">
        <f t="shared" si="296"/>
        <v/>
      </c>
      <c r="FI187" s="110" t="str">
        <f t="shared" si="439"/>
        <v/>
      </c>
      <c r="FK187" s="108" t="str">
        <f t="shared" si="370"/>
        <v/>
      </c>
      <c r="FL187" s="109" t="str">
        <f t="shared" si="371"/>
        <v/>
      </c>
      <c r="FM187" s="109" t="str">
        <f t="shared" si="297"/>
        <v/>
      </c>
      <c r="FN187" s="110" t="str">
        <f t="shared" si="440"/>
        <v/>
      </c>
      <c r="FP187" s="108" t="str">
        <f t="shared" si="298"/>
        <v/>
      </c>
      <c r="FQ187" s="109" t="str">
        <f t="shared" si="372"/>
        <v/>
      </c>
      <c r="FR187" s="109" t="str">
        <f t="shared" si="299"/>
        <v/>
      </c>
      <c r="FS187" s="110" t="str">
        <f t="shared" si="441"/>
        <v/>
      </c>
      <c r="FU187" s="108" t="str">
        <f t="shared" si="373"/>
        <v/>
      </c>
      <c r="FV187" s="109" t="str">
        <f t="shared" si="374"/>
        <v/>
      </c>
      <c r="FW187" s="109" t="str">
        <f t="shared" si="300"/>
        <v/>
      </c>
      <c r="FX187" s="110" t="str">
        <f t="shared" si="442"/>
        <v/>
      </c>
      <c r="FZ187" s="108" t="str">
        <f t="shared" si="301"/>
        <v/>
      </c>
      <c r="GA187" s="109" t="str">
        <f t="shared" si="375"/>
        <v/>
      </c>
      <c r="GB187" s="109" t="str">
        <f t="shared" si="302"/>
        <v/>
      </c>
      <c r="GC187" s="110" t="str">
        <f t="shared" si="443"/>
        <v/>
      </c>
      <c r="GE187" s="108" t="str">
        <f t="shared" si="376"/>
        <v/>
      </c>
      <c r="GF187" s="109" t="str">
        <f t="shared" si="377"/>
        <v/>
      </c>
      <c r="GG187" s="109" t="str">
        <f t="shared" si="378"/>
        <v/>
      </c>
      <c r="GH187" s="110" t="str">
        <f t="shared" si="444"/>
        <v/>
      </c>
      <c r="GL187" s="108" t="str">
        <f t="shared" si="303"/>
        <v/>
      </c>
      <c r="GM187" s="109" t="str">
        <f t="shared" si="304"/>
        <v/>
      </c>
      <c r="GN187" s="109" t="str">
        <f t="shared" si="305"/>
        <v/>
      </c>
      <c r="GO187" s="110" t="str">
        <f t="shared" si="306"/>
        <v/>
      </c>
      <c r="GP187" s="51"/>
      <c r="GQ187" s="108" t="str">
        <f t="shared" si="307"/>
        <v/>
      </c>
      <c r="GR187" s="109" t="str">
        <f t="shared" si="379"/>
        <v/>
      </c>
      <c r="GS187" s="109" t="str">
        <f t="shared" si="308"/>
        <v/>
      </c>
      <c r="GT187" s="110" t="str">
        <f t="shared" si="309"/>
        <v/>
      </c>
      <c r="GU187" s="51"/>
      <c r="GV187" s="108" t="str">
        <f t="shared" si="380"/>
        <v/>
      </c>
      <c r="GW187" s="109" t="str">
        <f t="shared" si="381"/>
        <v/>
      </c>
      <c r="GX187" s="109" t="str">
        <f t="shared" si="310"/>
        <v/>
      </c>
      <c r="GY187" s="110" t="str">
        <f t="shared" si="382"/>
        <v/>
      </c>
      <c r="GZ187" s="51"/>
      <c r="HA187" s="108" t="str">
        <f t="shared" si="311"/>
        <v/>
      </c>
      <c r="HB187" s="109" t="str">
        <f t="shared" si="383"/>
        <v/>
      </c>
      <c r="HC187" s="109" t="str">
        <f t="shared" si="312"/>
        <v/>
      </c>
      <c r="HD187" s="110" t="str">
        <f t="shared" si="417"/>
        <v/>
      </c>
      <c r="HE187" s="51"/>
      <c r="HF187" s="108" t="str">
        <f t="shared" si="384"/>
        <v/>
      </c>
      <c r="HG187" s="109" t="str">
        <f t="shared" si="385"/>
        <v/>
      </c>
      <c r="HH187" s="109" t="str">
        <f t="shared" si="313"/>
        <v/>
      </c>
      <c r="HI187" s="110" t="str">
        <f t="shared" si="386"/>
        <v/>
      </c>
      <c r="HJ187" s="51"/>
      <c r="HK187" s="108" t="str">
        <f t="shared" si="314"/>
        <v/>
      </c>
      <c r="HL187" s="109" t="str">
        <f t="shared" si="387"/>
        <v/>
      </c>
      <c r="HM187" s="109" t="str">
        <f t="shared" si="315"/>
        <v/>
      </c>
      <c r="HN187" s="110" t="str">
        <f t="shared" si="418"/>
        <v/>
      </c>
      <c r="HO187" s="51"/>
      <c r="HP187" s="108" t="str">
        <f t="shared" si="388"/>
        <v/>
      </c>
      <c r="HQ187" s="109" t="str">
        <f t="shared" si="389"/>
        <v/>
      </c>
      <c r="HR187" s="109" t="str">
        <f t="shared" si="316"/>
        <v/>
      </c>
      <c r="HS187" s="110" t="str">
        <f t="shared" si="390"/>
        <v/>
      </c>
      <c r="HT187" s="51"/>
      <c r="HU187" s="108" t="str">
        <f t="shared" si="317"/>
        <v/>
      </c>
      <c r="HV187" s="109" t="str">
        <f t="shared" si="391"/>
        <v/>
      </c>
      <c r="HW187" s="109" t="str">
        <f t="shared" si="318"/>
        <v/>
      </c>
      <c r="HX187" s="110" t="str">
        <f t="shared" si="419"/>
        <v/>
      </c>
      <c r="HY187" s="51"/>
      <c r="HZ187" s="108" t="str">
        <f t="shared" si="392"/>
        <v/>
      </c>
      <c r="IA187" s="109" t="str">
        <f t="shared" si="393"/>
        <v/>
      </c>
      <c r="IB187" s="109" t="str">
        <f t="shared" si="319"/>
        <v/>
      </c>
      <c r="IC187" s="110" t="str">
        <f t="shared" si="394"/>
        <v/>
      </c>
      <c r="ID187" s="51"/>
      <c r="IE187" s="108" t="str">
        <f t="shared" si="320"/>
        <v/>
      </c>
      <c r="IF187" s="109" t="str">
        <f t="shared" si="395"/>
        <v/>
      </c>
      <c r="IG187" s="109" t="str">
        <f t="shared" si="321"/>
        <v/>
      </c>
      <c r="IH187" s="110" t="str">
        <f t="shared" si="420"/>
        <v/>
      </c>
      <c r="II187" s="51"/>
      <c r="IJ187" s="108" t="str">
        <f t="shared" si="396"/>
        <v/>
      </c>
      <c r="IK187" s="109" t="str">
        <f t="shared" si="397"/>
        <v/>
      </c>
      <c r="IL187" s="109" t="str">
        <f t="shared" si="322"/>
        <v/>
      </c>
      <c r="IM187" s="110" t="str">
        <f t="shared" si="398"/>
        <v/>
      </c>
      <c r="IN187" s="51"/>
      <c r="IO187" s="108" t="str">
        <f t="shared" si="323"/>
        <v/>
      </c>
      <c r="IP187" s="109" t="str">
        <f t="shared" si="399"/>
        <v/>
      </c>
      <c r="IQ187" s="109" t="str">
        <f t="shared" si="324"/>
        <v/>
      </c>
      <c r="IR187" s="110" t="str">
        <f t="shared" si="421"/>
        <v/>
      </c>
      <c r="IS187" s="51"/>
      <c r="IT187" s="108" t="str">
        <f t="shared" si="400"/>
        <v/>
      </c>
      <c r="IU187" s="109" t="str">
        <f t="shared" si="401"/>
        <v/>
      </c>
      <c r="IV187" s="109" t="str">
        <f t="shared" si="325"/>
        <v/>
      </c>
      <c r="IW187" s="110" t="str">
        <f t="shared" si="402"/>
        <v/>
      </c>
      <c r="IX187" s="51"/>
      <c r="IY187" s="108" t="str">
        <f t="shared" si="326"/>
        <v/>
      </c>
      <c r="IZ187" s="109" t="str">
        <f t="shared" si="403"/>
        <v/>
      </c>
      <c r="JA187" s="109" t="str">
        <f t="shared" si="327"/>
        <v/>
      </c>
      <c r="JB187" s="110" t="str">
        <f t="shared" si="422"/>
        <v/>
      </c>
      <c r="JC187" s="51"/>
      <c r="JD187" s="108" t="str">
        <f t="shared" si="404"/>
        <v/>
      </c>
      <c r="JE187" s="109" t="str">
        <f t="shared" si="405"/>
        <v/>
      </c>
      <c r="JF187" s="109" t="str">
        <f t="shared" si="328"/>
        <v/>
      </c>
      <c r="JG187" s="110" t="str">
        <f t="shared" si="406"/>
        <v/>
      </c>
      <c r="JH187" s="51"/>
      <c r="JI187" s="108" t="str">
        <f t="shared" si="329"/>
        <v/>
      </c>
      <c r="JJ187" s="109" t="str">
        <f t="shared" si="407"/>
        <v/>
      </c>
      <c r="JK187" s="109" t="str">
        <f t="shared" si="330"/>
        <v/>
      </c>
      <c r="JL187" s="110" t="str">
        <f t="shared" si="423"/>
        <v/>
      </c>
      <c r="JM187" s="51"/>
      <c r="JN187" s="108" t="str">
        <f t="shared" si="408"/>
        <v/>
      </c>
      <c r="JO187" s="109" t="str">
        <f t="shared" si="409"/>
        <v/>
      </c>
      <c r="JP187" s="109" t="str">
        <f t="shared" si="331"/>
        <v/>
      </c>
      <c r="JQ187" s="110" t="str">
        <f t="shared" si="410"/>
        <v/>
      </c>
      <c r="JR187" s="51"/>
      <c r="JS187" s="108" t="str">
        <f t="shared" si="332"/>
        <v/>
      </c>
      <c r="JT187" s="109" t="str">
        <f t="shared" si="411"/>
        <v/>
      </c>
      <c r="JU187" s="109" t="str">
        <f t="shared" si="333"/>
        <v/>
      </c>
      <c r="JV187" s="110" t="str">
        <f t="shared" si="424"/>
        <v/>
      </c>
      <c r="JW187" s="51"/>
      <c r="JX187" s="108" t="str">
        <f t="shared" si="412"/>
        <v/>
      </c>
      <c r="JY187" s="109" t="str">
        <f t="shared" si="413"/>
        <v/>
      </c>
      <c r="JZ187" s="109" t="str">
        <f t="shared" si="334"/>
        <v/>
      </c>
      <c r="KA187" s="110" t="str">
        <f t="shared" si="335"/>
        <v/>
      </c>
    </row>
    <row r="188" spans="1:287" ht="12" customHeight="1">
      <c r="A188" s="105">
        <f t="array" ref="A188">MAX(IF($J$80:J187&gt;0,$C$80:C187,0))</f>
        <v>43536</v>
      </c>
      <c r="B188" s="81" t="str">
        <f t="shared" si="248"/>
        <v/>
      </c>
      <c r="C188" s="82">
        <f t="shared" si="414"/>
        <v>0</v>
      </c>
      <c r="D188" s="83" t="str">
        <f t="shared" si="249"/>
        <v/>
      </c>
      <c r="E188" s="83" t="str">
        <f t="shared" si="336"/>
        <v/>
      </c>
      <c r="F188" s="83" t="str">
        <f t="shared" si="250"/>
        <v/>
      </c>
      <c r="G188" s="83" t="str">
        <f t="shared" si="251"/>
        <v/>
      </c>
      <c r="H188" s="83" t="str">
        <f t="shared" si="252"/>
        <v/>
      </c>
      <c r="I188" s="105">
        <f t="array" ref="I188">MAX(IF($R$80:R187&gt;0,$L$80:L187,0))</f>
        <v>0</v>
      </c>
      <c r="J188" s="106"/>
      <c r="K188" s="2" t="str">
        <f t="shared" si="253"/>
        <v/>
      </c>
      <c r="L188" s="82">
        <f t="shared" si="415"/>
        <v>0</v>
      </c>
      <c r="M188" s="83" t="str">
        <f t="shared" si="337"/>
        <v/>
      </c>
      <c r="N188" s="83" t="str">
        <f t="shared" si="254"/>
        <v/>
      </c>
      <c r="O188" s="83" t="str">
        <f t="shared" si="255"/>
        <v/>
      </c>
      <c r="P188" s="83" t="str">
        <f t="shared" si="256"/>
        <v/>
      </c>
      <c r="Q188" s="83" t="str">
        <f t="shared" si="257"/>
        <v/>
      </c>
      <c r="R188" s="106"/>
      <c r="S188" s="1"/>
      <c r="U188" s="85" t="e">
        <f t="shared" si="244"/>
        <v>#NUM!</v>
      </c>
      <c r="V188" s="86" t="e">
        <f t="shared" si="338"/>
        <v>#NUM!</v>
      </c>
      <c r="W188" s="87" t="e">
        <f t="shared" si="258"/>
        <v>#NUM!</v>
      </c>
      <c r="X188" s="87" t="e">
        <f t="shared" si="259"/>
        <v>#NUM!</v>
      </c>
      <c r="Y188" s="87" t="e">
        <f t="shared" si="260"/>
        <v>#NUM!</v>
      </c>
      <c r="Z188" s="88" t="e">
        <f t="shared" si="245"/>
        <v>#NUM!</v>
      </c>
      <c r="AA188" t="s">
        <v>282</v>
      </c>
      <c r="AB188" s="89">
        <f t="shared" si="339"/>
        <v>0</v>
      </c>
      <c r="AC188" s="87">
        <f t="shared" si="340"/>
        <v>0</v>
      </c>
      <c r="AD188" s="87" t="str">
        <f t="shared" si="261"/>
        <v/>
      </c>
      <c r="AE188" s="87" t="str">
        <f t="shared" si="262"/>
        <v/>
      </c>
      <c r="AF188" s="86">
        <f t="shared" si="341"/>
        <v>0</v>
      </c>
      <c r="AG188" s="87">
        <f t="shared" si="246"/>
        <v>0</v>
      </c>
      <c r="AH188" s="87">
        <f t="shared" si="342"/>
        <v>0</v>
      </c>
      <c r="AI188" s="90"/>
      <c r="AJ188" s="87" t="e">
        <f t="shared" si="263"/>
        <v>#NUM!</v>
      </c>
      <c r="AK188" s="87" t="e">
        <f t="shared" si="343"/>
        <v>#NUM!</v>
      </c>
      <c r="AL188" s="87" t="e">
        <f t="shared" si="344"/>
        <v>#NUM!</v>
      </c>
      <c r="AM188" s="87" t="e">
        <f t="shared" si="345"/>
        <v>#NUM!</v>
      </c>
      <c r="AN188" s="86">
        <f t="shared" si="264"/>
        <v>0</v>
      </c>
      <c r="AO188" s="87">
        <f t="shared" si="265"/>
        <v>0</v>
      </c>
      <c r="AP188" s="88">
        <f t="shared" si="266"/>
        <v>0</v>
      </c>
      <c r="AR188" s="89">
        <f t="shared" si="267"/>
        <v>0</v>
      </c>
      <c r="AS188" s="87">
        <f t="shared" si="268"/>
        <v>0</v>
      </c>
      <c r="AT188" s="87" t="str">
        <f t="shared" si="269"/>
        <v/>
      </c>
      <c r="AU188" s="87" t="str">
        <f t="shared" si="270"/>
        <v/>
      </c>
      <c r="AV188" s="86">
        <f t="shared" si="346"/>
        <v>0</v>
      </c>
      <c r="AW188" s="87">
        <f t="shared" si="347"/>
        <v>0</v>
      </c>
      <c r="AX188" s="87">
        <f t="shared" si="348"/>
        <v>0</v>
      </c>
      <c r="AY188" s="93"/>
      <c r="AZ188" s="87">
        <f t="shared" si="425"/>
        <v>0</v>
      </c>
      <c r="BA188" s="87">
        <f t="shared" si="349"/>
        <v>0</v>
      </c>
      <c r="BB188" s="87">
        <f t="shared" si="350"/>
        <v>0</v>
      </c>
      <c r="BC188" s="87">
        <f t="shared" si="416"/>
        <v>0</v>
      </c>
      <c r="BD188" s="86" t="e">
        <f t="shared" si="271"/>
        <v>#NUM!</v>
      </c>
      <c r="BE188" s="87" t="e">
        <f t="shared" si="247"/>
        <v>#NUM!</v>
      </c>
      <c r="BF188" s="88">
        <f t="shared" si="351"/>
        <v>0</v>
      </c>
      <c r="BH188" s="87" t="e">
        <f t="shared" si="272"/>
        <v>#NUM!</v>
      </c>
      <c r="BK188" s="95">
        <v>42066</v>
      </c>
      <c r="BL188" s="96">
        <v>109</v>
      </c>
      <c r="CS188" s="108" t="str">
        <f t="shared" si="273"/>
        <v/>
      </c>
      <c r="CT188" s="109" t="str">
        <f t="shared" si="274"/>
        <v/>
      </c>
      <c r="CU188" s="109" t="str">
        <f t="shared" si="275"/>
        <v/>
      </c>
      <c r="CV188" s="110" t="str">
        <f t="shared" si="426"/>
        <v/>
      </c>
      <c r="CX188" s="108" t="str">
        <f t="shared" si="276"/>
        <v/>
      </c>
      <c r="CY188" s="109" t="str">
        <f t="shared" si="352"/>
        <v/>
      </c>
      <c r="CZ188" s="109" t="str">
        <f t="shared" si="277"/>
        <v/>
      </c>
      <c r="DA188" s="110" t="str">
        <f t="shared" si="427"/>
        <v/>
      </c>
      <c r="DC188" s="108" t="str">
        <f t="shared" si="353"/>
        <v/>
      </c>
      <c r="DD188" s="109" t="str">
        <f t="shared" si="354"/>
        <v/>
      </c>
      <c r="DE188" s="109" t="str">
        <f t="shared" si="278"/>
        <v/>
      </c>
      <c r="DF188" s="110" t="str">
        <f t="shared" si="428"/>
        <v/>
      </c>
      <c r="DH188" s="108" t="str">
        <f t="shared" si="279"/>
        <v/>
      </c>
      <c r="DI188" s="109" t="str">
        <f t="shared" si="280"/>
        <v/>
      </c>
      <c r="DJ188" s="109" t="str">
        <f t="shared" si="281"/>
        <v/>
      </c>
      <c r="DK188" s="110" t="str">
        <f t="shared" si="429"/>
        <v/>
      </c>
      <c r="DM188" s="108" t="str">
        <f t="shared" si="355"/>
        <v/>
      </c>
      <c r="DN188" s="109" t="str">
        <f t="shared" si="356"/>
        <v/>
      </c>
      <c r="DO188" s="109" t="str">
        <f t="shared" si="282"/>
        <v/>
      </c>
      <c r="DP188" s="110" t="str">
        <f t="shared" si="430"/>
        <v/>
      </c>
      <c r="DR188" s="108" t="str">
        <f t="shared" si="283"/>
        <v/>
      </c>
      <c r="DS188" s="109" t="str">
        <f t="shared" si="357"/>
        <v/>
      </c>
      <c r="DT188" s="109" t="str">
        <f t="shared" si="284"/>
        <v/>
      </c>
      <c r="DU188" s="110" t="str">
        <f t="shared" si="431"/>
        <v/>
      </c>
      <c r="DW188" s="108" t="str">
        <f t="shared" si="358"/>
        <v/>
      </c>
      <c r="DX188" s="109" t="str">
        <f t="shared" si="359"/>
        <v/>
      </c>
      <c r="DY188" s="109" t="str">
        <f t="shared" si="285"/>
        <v/>
      </c>
      <c r="DZ188" s="110" t="str">
        <f t="shared" si="432"/>
        <v/>
      </c>
      <c r="EB188" s="108" t="str">
        <f t="shared" si="286"/>
        <v/>
      </c>
      <c r="EC188" s="109" t="str">
        <f t="shared" si="360"/>
        <v/>
      </c>
      <c r="ED188" s="109" t="str">
        <f t="shared" si="287"/>
        <v/>
      </c>
      <c r="EE188" s="110" t="str">
        <f t="shared" si="433"/>
        <v/>
      </c>
      <c r="EG188" s="108" t="str">
        <f t="shared" si="361"/>
        <v/>
      </c>
      <c r="EH188" s="109" t="str">
        <f t="shared" si="362"/>
        <v/>
      </c>
      <c r="EI188" s="109" t="str">
        <f t="shared" si="288"/>
        <v/>
      </c>
      <c r="EJ188" s="110" t="str">
        <f t="shared" si="434"/>
        <v/>
      </c>
      <c r="EL188" s="108" t="str">
        <f t="shared" si="289"/>
        <v/>
      </c>
      <c r="EM188" s="109" t="str">
        <f t="shared" si="363"/>
        <v/>
      </c>
      <c r="EN188" s="109" t="str">
        <f t="shared" si="290"/>
        <v/>
      </c>
      <c r="EO188" s="110" t="str">
        <f t="shared" si="435"/>
        <v/>
      </c>
      <c r="EQ188" s="108" t="str">
        <f t="shared" si="364"/>
        <v/>
      </c>
      <c r="ER188" s="109" t="str">
        <f t="shared" si="365"/>
        <v/>
      </c>
      <c r="ES188" s="109" t="str">
        <f t="shared" si="291"/>
        <v/>
      </c>
      <c r="ET188" s="110" t="str">
        <f t="shared" si="436"/>
        <v/>
      </c>
      <c r="EV188" s="108" t="str">
        <f t="shared" si="292"/>
        <v/>
      </c>
      <c r="EW188" s="109" t="str">
        <f t="shared" si="366"/>
        <v/>
      </c>
      <c r="EX188" s="109" t="str">
        <f t="shared" si="293"/>
        <v/>
      </c>
      <c r="EY188" s="110" t="str">
        <f t="shared" si="437"/>
        <v/>
      </c>
      <c r="FA188" s="108" t="str">
        <f t="shared" si="367"/>
        <v/>
      </c>
      <c r="FB188" s="109" t="str">
        <f t="shared" si="368"/>
        <v/>
      </c>
      <c r="FC188" s="109" t="str">
        <f t="shared" si="294"/>
        <v/>
      </c>
      <c r="FD188" s="110" t="str">
        <f t="shared" si="438"/>
        <v/>
      </c>
      <c r="FF188" s="108" t="str">
        <f t="shared" si="295"/>
        <v/>
      </c>
      <c r="FG188" s="109" t="str">
        <f t="shared" si="369"/>
        <v/>
      </c>
      <c r="FH188" s="109" t="str">
        <f t="shared" si="296"/>
        <v/>
      </c>
      <c r="FI188" s="110" t="str">
        <f t="shared" si="439"/>
        <v/>
      </c>
      <c r="FK188" s="108" t="str">
        <f t="shared" si="370"/>
        <v/>
      </c>
      <c r="FL188" s="109" t="str">
        <f t="shared" si="371"/>
        <v/>
      </c>
      <c r="FM188" s="109" t="str">
        <f t="shared" si="297"/>
        <v/>
      </c>
      <c r="FN188" s="110" t="str">
        <f t="shared" si="440"/>
        <v/>
      </c>
      <c r="FP188" s="108" t="str">
        <f t="shared" si="298"/>
        <v/>
      </c>
      <c r="FQ188" s="109" t="str">
        <f t="shared" si="372"/>
        <v/>
      </c>
      <c r="FR188" s="109" t="str">
        <f t="shared" si="299"/>
        <v/>
      </c>
      <c r="FS188" s="110" t="str">
        <f t="shared" si="441"/>
        <v/>
      </c>
      <c r="FU188" s="108" t="str">
        <f t="shared" si="373"/>
        <v/>
      </c>
      <c r="FV188" s="109" t="str">
        <f t="shared" si="374"/>
        <v/>
      </c>
      <c r="FW188" s="109" t="str">
        <f t="shared" si="300"/>
        <v/>
      </c>
      <c r="FX188" s="110" t="str">
        <f t="shared" si="442"/>
        <v/>
      </c>
      <c r="FZ188" s="108" t="str">
        <f t="shared" si="301"/>
        <v/>
      </c>
      <c r="GA188" s="109" t="str">
        <f t="shared" si="375"/>
        <v/>
      </c>
      <c r="GB188" s="109" t="str">
        <f t="shared" si="302"/>
        <v/>
      </c>
      <c r="GC188" s="110" t="str">
        <f t="shared" si="443"/>
        <v/>
      </c>
      <c r="GE188" s="108" t="str">
        <f t="shared" si="376"/>
        <v/>
      </c>
      <c r="GF188" s="109" t="str">
        <f t="shared" si="377"/>
        <v/>
      </c>
      <c r="GG188" s="109" t="str">
        <f t="shared" si="378"/>
        <v/>
      </c>
      <c r="GH188" s="110" t="str">
        <f t="shared" si="444"/>
        <v/>
      </c>
      <c r="GL188" s="108" t="str">
        <f t="shared" si="303"/>
        <v/>
      </c>
      <c r="GM188" s="109" t="str">
        <f t="shared" si="304"/>
        <v/>
      </c>
      <c r="GN188" s="109" t="str">
        <f t="shared" si="305"/>
        <v/>
      </c>
      <c r="GO188" s="110" t="str">
        <f t="shared" si="306"/>
        <v/>
      </c>
      <c r="GP188" s="51"/>
      <c r="GQ188" s="108" t="str">
        <f t="shared" si="307"/>
        <v/>
      </c>
      <c r="GR188" s="109" t="str">
        <f t="shared" si="379"/>
        <v/>
      </c>
      <c r="GS188" s="109" t="str">
        <f t="shared" si="308"/>
        <v/>
      </c>
      <c r="GT188" s="110" t="str">
        <f t="shared" si="309"/>
        <v/>
      </c>
      <c r="GU188" s="51"/>
      <c r="GV188" s="108" t="str">
        <f t="shared" si="380"/>
        <v/>
      </c>
      <c r="GW188" s="109" t="str">
        <f t="shared" si="381"/>
        <v/>
      </c>
      <c r="GX188" s="109" t="str">
        <f t="shared" si="310"/>
        <v/>
      </c>
      <c r="GY188" s="110" t="str">
        <f t="shared" si="382"/>
        <v/>
      </c>
      <c r="GZ188" s="51"/>
      <c r="HA188" s="108" t="str">
        <f t="shared" si="311"/>
        <v/>
      </c>
      <c r="HB188" s="109" t="str">
        <f t="shared" si="383"/>
        <v/>
      </c>
      <c r="HC188" s="109" t="str">
        <f t="shared" si="312"/>
        <v/>
      </c>
      <c r="HD188" s="110" t="str">
        <f t="shared" si="417"/>
        <v/>
      </c>
      <c r="HE188" s="51"/>
      <c r="HF188" s="108" t="str">
        <f t="shared" si="384"/>
        <v/>
      </c>
      <c r="HG188" s="109" t="str">
        <f t="shared" si="385"/>
        <v/>
      </c>
      <c r="HH188" s="109" t="str">
        <f t="shared" si="313"/>
        <v/>
      </c>
      <c r="HI188" s="110" t="str">
        <f t="shared" si="386"/>
        <v/>
      </c>
      <c r="HJ188" s="51"/>
      <c r="HK188" s="108" t="str">
        <f t="shared" si="314"/>
        <v/>
      </c>
      <c r="HL188" s="109" t="str">
        <f t="shared" si="387"/>
        <v/>
      </c>
      <c r="HM188" s="109" t="str">
        <f t="shared" si="315"/>
        <v/>
      </c>
      <c r="HN188" s="110" t="str">
        <f t="shared" si="418"/>
        <v/>
      </c>
      <c r="HO188" s="51"/>
      <c r="HP188" s="108" t="str">
        <f t="shared" si="388"/>
        <v/>
      </c>
      <c r="HQ188" s="109" t="str">
        <f t="shared" si="389"/>
        <v/>
      </c>
      <c r="HR188" s="109" t="str">
        <f t="shared" si="316"/>
        <v/>
      </c>
      <c r="HS188" s="110" t="str">
        <f t="shared" si="390"/>
        <v/>
      </c>
      <c r="HT188" s="51"/>
      <c r="HU188" s="108" t="str">
        <f t="shared" si="317"/>
        <v/>
      </c>
      <c r="HV188" s="109" t="str">
        <f t="shared" si="391"/>
        <v/>
      </c>
      <c r="HW188" s="109" t="str">
        <f t="shared" si="318"/>
        <v/>
      </c>
      <c r="HX188" s="110" t="str">
        <f t="shared" si="419"/>
        <v/>
      </c>
      <c r="HY188" s="51"/>
      <c r="HZ188" s="108" t="str">
        <f t="shared" si="392"/>
        <v/>
      </c>
      <c r="IA188" s="109" t="str">
        <f t="shared" si="393"/>
        <v/>
      </c>
      <c r="IB188" s="109" t="str">
        <f t="shared" si="319"/>
        <v/>
      </c>
      <c r="IC188" s="110" t="str">
        <f t="shared" si="394"/>
        <v/>
      </c>
      <c r="ID188" s="51"/>
      <c r="IE188" s="108" t="str">
        <f t="shared" si="320"/>
        <v/>
      </c>
      <c r="IF188" s="109" t="str">
        <f t="shared" si="395"/>
        <v/>
      </c>
      <c r="IG188" s="109" t="str">
        <f t="shared" si="321"/>
        <v/>
      </c>
      <c r="IH188" s="110" t="str">
        <f t="shared" si="420"/>
        <v/>
      </c>
      <c r="II188" s="51"/>
      <c r="IJ188" s="108" t="str">
        <f t="shared" si="396"/>
        <v/>
      </c>
      <c r="IK188" s="109" t="str">
        <f t="shared" si="397"/>
        <v/>
      </c>
      <c r="IL188" s="109" t="str">
        <f t="shared" si="322"/>
        <v/>
      </c>
      <c r="IM188" s="110" t="str">
        <f t="shared" si="398"/>
        <v/>
      </c>
      <c r="IN188" s="51"/>
      <c r="IO188" s="108" t="str">
        <f t="shared" si="323"/>
        <v/>
      </c>
      <c r="IP188" s="109" t="str">
        <f t="shared" si="399"/>
        <v/>
      </c>
      <c r="IQ188" s="109" t="str">
        <f t="shared" si="324"/>
        <v/>
      </c>
      <c r="IR188" s="110" t="str">
        <f t="shared" si="421"/>
        <v/>
      </c>
      <c r="IS188" s="51"/>
      <c r="IT188" s="108" t="str">
        <f t="shared" si="400"/>
        <v/>
      </c>
      <c r="IU188" s="109" t="str">
        <f t="shared" si="401"/>
        <v/>
      </c>
      <c r="IV188" s="109" t="str">
        <f t="shared" si="325"/>
        <v/>
      </c>
      <c r="IW188" s="110" t="str">
        <f t="shared" si="402"/>
        <v/>
      </c>
      <c r="IX188" s="51"/>
      <c r="IY188" s="108" t="str">
        <f t="shared" si="326"/>
        <v/>
      </c>
      <c r="IZ188" s="109" t="str">
        <f t="shared" si="403"/>
        <v/>
      </c>
      <c r="JA188" s="109" t="str">
        <f t="shared" si="327"/>
        <v/>
      </c>
      <c r="JB188" s="110" t="str">
        <f t="shared" si="422"/>
        <v/>
      </c>
      <c r="JC188" s="51"/>
      <c r="JD188" s="108" t="str">
        <f t="shared" si="404"/>
        <v/>
      </c>
      <c r="JE188" s="109" t="str">
        <f t="shared" si="405"/>
        <v/>
      </c>
      <c r="JF188" s="109" t="str">
        <f t="shared" si="328"/>
        <v/>
      </c>
      <c r="JG188" s="110" t="str">
        <f t="shared" si="406"/>
        <v/>
      </c>
      <c r="JH188" s="51"/>
      <c r="JI188" s="108" t="str">
        <f t="shared" si="329"/>
        <v/>
      </c>
      <c r="JJ188" s="109" t="str">
        <f t="shared" si="407"/>
        <v/>
      </c>
      <c r="JK188" s="109" t="str">
        <f t="shared" si="330"/>
        <v/>
      </c>
      <c r="JL188" s="110" t="str">
        <f t="shared" si="423"/>
        <v/>
      </c>
      <c r="JM188" s="51"/>
      <c r="JN188" s="108" t="str">
        <f t="shared" si="408"/>
        <v/>
      </c>
      <c r="JO188" s="109" t="str">
        <f t="shared" si="409"/>
        <v/>
      </c>
      <c r="JP188" s="109" t="str">
        <f t="shared" si="331"/>
        <v/>
      </c>
      <c r="JQ188" s="110" t="str">
        <f t="shared" si="410"/>
        <v/>
      </c>
      <c r="JR188" s="51"/>
      <c r="JS188" s="108" t="str">
        <f t="shared" si="332"/>
        <v/>
      </c>
      <c r="JT188" s="109" t="str">
        <f t="shared" si="411"/>
        <v/>
      </c>
      <c r="JU188" s="109" t="str">
        <f t="shared" si="333"/>
        <v/>
      </c>
      <c r="JV188" s="110" t="str">
        <f t="shared" si="424"/>
        <v/>
      </c>
      <c r="JW188" s="51"/>
      <c r="JX188" s="108" t="str">
        <f t="shared" si="412"/>
        <v/>
      </c>
      <c r="JY188" s="109" t="str">
        <f t="shared" si="413"/>
        <v/>
      </c>
      <c r="JZ188" s="109" t="str">
        <f t="shared" si="334"/>
        <v/>
      </c>
      <c r="KA188" s="110" t="str">
        <f t="shared" si="335"/>
        <v/>
      </c>
    </row>
    <row r="189" spans="1:287" ht="12" customHeight="1">
      <c r="A189" s="105">
        <f t="array" ref="A189">MAX(IF($J$80:J188&gt;0,$C$80:C188,0))</f>
        <v>43536</v>
      </c>
      <c r="B189" s="81" t="str">
        <f t="shared" si="248"/>
        <v/>
      </c>
      <c r="C189" s="82">
        <f t="shared" si="414"/>
        <v>0</v>
      </c>
      <c r="D189" s="83" t="str">
        <f t="shared" si="249"/>
        <v/>
      </c>
      <c r="E189" s="83" t="str">
        <f t="shared" si="336"/>
        <v/>
      </c>
      <c r="F189" s="83" t="str">
        <f t="shared" si="250"/>
        <v/>
      </c>
      <c r="G189" s="83" t="str">
        <f t="shared" si="251"/>
        <v/>
      </c>
      <c r="H189" s="83" t="str">
        <f t="shared" si="252"/>
        <v/>
      </c>
      <c r="I189" s="105">
        <f t="array" ref="I189">MAX(IF($R$80:R188&gt;0,$L$80:L188,0))</f>
        <v>0</v>
      </c>
      <c r="J189" s="106"/>
      <c r="K189" s="2" t="str">
        <f t="shared" si="253"/>
        <v/>
      </c>
      <c r="L189" s="82">
        <f t="shared" si="415"/>
        <v>0</v>
      </c>
      <c r="M189" s="83" t="str">
        <f t="shared" si="337"/>
        <v/>
      </c>
      <c r="N189" s="83" t="str">
        <f t="shared" si="254"/>
        <v/>
      </c>
      <c r="O189" s="83" t="str">
        <f t="shared" si="255"/>
        <v/>
      </c>
      <c r="P189" s="83" t="str">
        <f t="shared" si="256"/>
        <v/>
      </c>
      <c r="Q189" s="83" t="str">
        <f t="shared" si="257"/>
        <v/>
      </c>
      <c r="R189" s="106"/>
      <c r="S189" s="1"/>
      <c r="U189" s="85" t="e">
        <f t="shared" si="244"/>
        <v>#NUM!</v>
      </c>
      <c r="V189" s="86" t="e">
        <f t="shared" si="338"/>
        <v>#NUM!</v>
      </c>
      <c r="W189" s="87" t="e">
        <f t="shared" si="258"/>
        <v>#NUM!</v>
      </c>
      <c r="X189" s="87" t="e">
        <f t="shared" si="259"/>
        <v>#NUM!</v>
      </c>
      <c r="Y189" s="87" t="e">
        <f t="shared" si="260"/>
        <v>#NUM!</v>
      </c>
      <c r="Z189" s="88" t="e">
        <f t="shared" si="245"/>
        <v>#NUM!</v>
      </c>
      <c r="AA189" t="s">
        <v>282</v>
      </c>
      <c r="AB189" s="89">
        <f t="shared" si="339"/>
        <v>0</v>
      </c>
      <c r="AC189" s="87">
        <f t="shared" si="340"/>
        <v>0</v>
      </c>
      <c r="AD189" s="87" t="str">
        <f t="shared" si="261"/>
        <v/>
      </c>
      <c r="AE189" s="87" t="str">
        <f t="shared" si="262"/>
        <v/>
      </c>
      <c r="AF189" s="86">
        <f t="shared" si="341"/>
        <v>0</v>
      </c>
      <c r="AG189" s="87">
        <f t="shared" si="246"/>
        <v>0</v>
      </c>
      <c r="AH189" s="87">
        <f t="shared" si="342"/>
        <v>0</v>
      </c>
      <c r="AI189" s="90"/>
      <c r="AJ189" s="87" t="e">
        <f t="shared" si="263"/>
        <v>#NUM!</v>
      </c>
      <c r="AK189" s="87" t="e">
        <f t="shared" si="343"/>
        <v>#NUM!</v>
      </c>
      <c r="AL189" s="87" t="e">
        <f t="shared" si="344"/>
        <v>#NUM!</v>
      </c>
      <c r="AM189" s="87" t="e">
        <f t="shared" si="345"/>
        <v>#NUM!</v>
      </c>
      <c r="AN189" s="86">
        <f t="shared" si="264"/>
        <v>0</v>
      </c>
      <c r="AO189" s="87">
        <f t="shared" si="265"/>
        <v>0</v>
      </c>
      <c r="AP189" s="88">
        <f t="shared" si="266"/>
        <v>0</v>
      </c>
      <c r="AR189" s="89">
        <f t="shared" si="267"/>
        <v>0</v>
      </c>
      <c r="AS189" s="87">
        <f t="shared" si="268"/>
        <v>0</v>
      </c>
      <c r="AT189" s="87" t="str">
        <f t="shared" si="269"/>
        <v/>
      </c>
      <c r="AU189" s="87" t="str">
        <f t="shared" si="270"/>
        <v/>
      </c>
      <c r="AV189" s="86">
        <f t="shared" si="346"/>
        <v>0</v>
      </c>
      <c r="AW189" s="87">
        <f t="shared" si="347"/>
        <v>0</v>
      </c>
      <c r="AX189" s="87">
        <f t="shared" si="348"/>
        <v>0</v>
      </c>
      <c r="AY189" s="93"/>
      <c r="AZ189" s="87">
        <f t="shared" si="425"/>
        <v>0</v>
      </c>
      <c r="BA189" s="87">
        <f t="shared" si="349"/>
        <v>0</v>
      </c>
      <c r="BB189" s="87">
        <f t="shared" si="350"/>
        <v>0</v>
      </c>
      <c r="BC189" s="87">
        <f t="shared" si="416"/>
        <v>0</v>
      </c>
      <c r="BD189" s="86" t="e">
        <f t="shared" si="271"/>
        <v>#NUM!</v>
      </c>
      <c r="BE189" s="87" t="e">
        <f t="shared" si="247"/>
        <v>#NUM!</v>
      </c>
      <c r="BF189" s="88">
        <f t="shared" si="351"/>
        <v>0</v>
      </c>
      <c r="BH189" s="87" t="e">
        <f t="shared" si="272"/>
        <v>#NUM!</v>
      </c>
      <c r="BK189" s="95">
        <v>42071</v>
      </c>
      <c r="BL189" s="96">
        <v>110</v>
      </c>
      <c r="CS189" s="108" t="str">
        <f t="shared" si="273"/>
        <v/>
      </c>
      <c r="CT189" s="109" t="str">
        <f t="shared" si="274"/>
        <v/>
      </c>
      <c r="CU189" s="109" t="str">
        <f t="shared" si="275"/>
        <v/>
      </c>
      <c r="CV189" s="110" t="str">
        <f t="shared" si="426"/>
        <v/>
      </c>
      <c r="CX189" s="108" t="str">
        <f t="shared" si="276"/>
        <v/>
      </c>
      <c r="CY189" s="109" t="str">
        <f t="shared" si="352"/>
        <v/>
      </c>
      <c r="CZ189" s="109" t="str">
        <f t="shared" si="277"/>
        <v/>
      </c>
      <c r="DA189" s="110" t="str">
        <f t="shared" si="427"/>
        <v/>
      </c>
      <c r="DC189" s="108" t="str">
        <f t="shared" si="353"/>
        <v/>
      </c>
      <c r="DD189" s="109" t="str">
        <f t="shared" si="354"/>
        <v/>
      </c>
      <c r="DE189" s="109" t="str">
        <f t="shared" si="278"/>
        <v/>
      </c>
      <c r="DF189" s="110" t="str">
        <f t="shared" si="428"/>
        <v/>
      </c>
      <c r="DH189" s="108" t="str">
        <f t="shared" si="279"/>
        <v/>
      </c>
      <c r="DI189" s="109" t="str">
        <f t="shared" si="280"/>
        <v/>
      </c>
      <c r="DJ189" s="109" t="str">
        <f t="shared" si="281"/>
        <v/>
      </c>
      <c r="DK189" s="110" t="str">
        <f t="shared" si="429"/>
        <v/>
      </c>
      <c r="DM189" s="108" t="str">
        <f t="shared" si="355"/>
        <v/>
      </c>
      <c r="DN189" s="109" t="str">
        <f t="shared" si="356"/>
        <v/>
      </c>
      <c r="DO189" s="109" t="str">
        <f t="shared" si="282"/>
        <v/>
      </c>
      <c r="DP189" s="110" t="str">
        <f t="shared" si="430"/>
        <v/>
      </c>
      <c r="DR189" s="108" t="str">
        <f t="shared" si="283"/>
        <v/>
      </c>
      <c r="DS189" s="109" t="str">
        <f t="shared" si="357"/>
        <v/>
      </c>
      <c r="DT189" s="109" t="str">
        <f t="shared" si="284"/>
        <v/>
      </c>
      <c r="DU189" s="110" t="str">
        <f t="shared" si="431"/>
        <v/>
      </c>
      <c r="DW189" s="108" t="str">
        <f t="shared" si="358"/>
        <v/>
      </c>
      <c r="DX189" s="109" t="str">
        <f t="shared" si="359"/>
        <v/>
      </c>
      <c r="DY189" s="109" t="str">
        <f t="shared" si="285"/>
        <v/>
      </c>
      <c r="DZ189" s="110" t="str">
        <f t="shared" si="432"/>
        <v/>
      </c>
      <c r="EB189" s="108" t="str">
        <f t="shared" si="286"/>
        <v/>
      </c>
      <c r="EC189" s="109" t="str">
        <f t="shared" si="360"/>
        <v/>
      </c>
      <c r="ED189" s="109" t="str">
        <f t="shared" si="287"/>
        <v/>
      </c>
      <c r="EE189" s="110" t="str">
        <f t="shared" si="433"/>
        <v/>
      </c>
      <c r="EG189" s="108" t="str">
        <f t="shared" si="361"/>
        <v/>
      </c>
      <c r="EH189" s="109" t="str">
        <f t="shared" si="362"/>
        <v/>
      </c>
      <c r="EI189" s="109" t="str">
        <f t="shared" si="288"/>
        <v/>
      </c>
      <c r="EJ189" s="110" t="str">
        <f t="shared" si="434"/>
        <v/>
      </c>
      <c r="EL189" s="108" t="str">
        <f t="shared" si="289"/>
        <v/>
      </c>
      <c r="EM189" s="109" t="str">
        <f t="shared" si="363"/>
        <v/>
      </c>
      <c r="EN189" s="109" t="str">
        <f t="shared" si="290"/>
        <v/>
      </c>
      <c r="EO189" s="110" t="str">
        <f t="shared" si="435"/>
        <v/>
      </c>
      <c r="EQ189" s="108" t="str">
        <f t="shared" si="364"/>
        <v/>
      </c>
      <c r="ER189" s="109" t="str">
        <f t="shared" si="365"/>
        <v/>
      </c>
      <c r="ES189" s="109" t="str">
        <f t="shared" si="291"/>
        <v/>
      </c>
      <c r="ET189" s="110" t="str">
        <f t="shared" si="436"/>
        <v/>
      </c>
      <c r="EV189" s="108" t="str">
        <f t="shared" si="292"/>
        <v/>
      </c>
      <c r="EW189" s="109" t="str">
        <f t="shared" si="366"/>
        <v/>
      </c>
      <c r="EX189" s="109" t="str">
        <f t="shared" si="293"/>
        <v/>
      </c>
      <c r="EY189" s="110" t="str">
        <f t="shared" si="437"/>
        <v/>
      </c>
      <c r="FA189" s="108" t="str">
        <f t="shared" si="367"/>
        <v/>
      </c>
      <c r="FB189" s="109" t="str">
        <f t="shared" si="368"/>
        <v/>
      </c>
      <c r="FC189" s="109" t="str">
        <f t="shared" si="294"/>
        <v/>
      </c>
      <c r="FD189" s="110" t="str">
        <f t="shared" si="438"/>
        <v/>
      </c>
      <c r="FF189" s="108" t="str">
        <f t="shared" si="295"/>
        <v/>
      </c>
      <c r="FG189" s="109" t="str">
        <f t="shared" si="369"/>
        <v/>
      </c>
      <c r="FH189" s="109" t="str">
        <f t="shared" si="296"/>
        <v/>
      </c>
      <c r="FI189" s="110" t="str">
        <f t="shared" si="439"/>
        <v/>
      </c>
      <c r="FK189" s="108" t="str">
        <f t="shared" si="370"/>
        <v/>
      </c>
      <c r="FL189" s="109" t="str">
        <f t="shared" si="371"/>
        <v/>
      </c>
      <c r="FM189" s="109" t="str">
        <f t="shared" si="297"/>
        <v/>
      </c>
      <c r="FN189" s="110" t="str">
        <f t="shared" si="440"/>
        <v/>
      </c>
      <c r="FP189" s="108" t="str">
        <f t="shared" si="298"/>
        <v/>
      </c>
      <c r="FQ189" s="109" t="str">
        <f t="shared" si="372"/>
        <v/>
      </c>
      <c r="FR189" s="109" t="str">
        <f t="shared" si="299"/>
        <v/>
      </c>
      <c r="FS189" s="110" t="str">
        <f t="shared" si="441"/>
        <v/>
      </c>
      <c r="FU189" s="108" t="str">
        <f t="shared" si="373"/>
        <v/>
      </c>
      <c r="FV189" s="109" t="str">
        <f t="shared" si="374"/>
        <v/>
      </c>
      <c r="FW189" s="109" t="str">
        <f t="shared" si="300"/>
        <v/>
      </c>
      <c r="FX189" s="110" t="str">
        <f t="shared" si="442"/>
        <v/>
      </c>
      <c r="FZ189" s="108" t="str">
        <f t="shared" si="301"/>
        <v/>
      </c>
      <c r="GA189" s="109" t="str">
        <f t="shared" si="375"/>
        <v/>
      </c>
      <c r="GB189" s="109" t="str">
        <f t="shared" si="302"/>
        <v/>
      </c>
      <c r="GC189" s="110" t="str">
        <f t="shared" si="443"/>
        <v/>
      </c>
      <c r="GE189" s="108" t="str">
        <f t="shared" si="376"/>
        <v/>
      </c>
      <c r="GF189" s="109" t="str">
        <f t="shared" si="377"/>
        <v/>
      </c>
      <c r="GG189" s="109" t="str">
        <f t="shared" si="378"/>
        <v/>
      </c>
      <c r="GH189" s="110" t="str">
        <f t="shared" si="444"/>
        <v/>
      </c>
      <c r="GL189" s="108" t="str">
        <f t="shared" si="303"/>
        <v/>
      </c>
      <c r="GM189" s="109" t="str">
        <f t="shared" si="304"/>
        <v/>
      </c>
      <c r="GN189" s="109" t="str">
        <f t="shared" si="305"/>
        <v/>
      </c>
      <c r="GO189" s="110" t="str">
        <f t="shared" si="306"/>
        <v/>
      </c>
      <c r="GP189" s="51"/>
      <c r="GQ189" s="108" t="str">
        <f t="shared" si="307"/>
        <v/>
      </c>
      <c r="GR189" s="109" t="str">
        <f t="shared" si="379"/>
        <v/>
      </c>
      <c r="GS189" s="109" t="str">
        <f t="shared" si="308"/>
        <v/>
      </c>
      <c r="GT189" s="110" t="str">
        <f t="shared" si="309"/>
        <v/>
      </c>
      <c r="GU189" s="51"/>
      <c r="GV189" s="108" t="str">
        <f t="shared" si="380"/>
        <v/>
      </c>
      <c r="GW189" s="109" t="str">
        <f t="shared" si="381"/>
        <v/>
      </c>
      <c r="GX189" s="109" t="str">
        <f t="shared" si="310"/>
        <v/>
      </c>
      <c r="GY189" s="110" t="str">
        <f t="shared" si="382"/>
        <v/>
      </c>
      <c r="GZ189" s="51"/>
      <c r="HA189" s="108" t="str">
        <f t="shared" si="311"/>
        <v/>
      </c>
      <c r="HB189" s="109" t="str">
        <f t="shared" si="383"/>
        <v/>
      </c>
      <c r="HC189" s="109" t="str">
        <f t="shared" si="312"/>
        <v/>
      </c>
      <c r="HD189" s="110" t="str">
        <f t="shared" si="417"/>
        <v/>
      </c>
      <c r="HE189" s="51"/>
      <c r="HF189" s="108" t="str">
        <f t="shared" si="384"/>
        <v/>
      </c>
      <c r="HG189" s="109" t="str">
        <f t="shared" si="385"/>
        <v/>
      </c>
      <c r="HH189" s="109" t="str">
        <f t="shared" si="313"/>
        <v/>
      </c>
      <c r="HI189" s="110" t="str">
        <f t="shared" si="386"/>
        <v/>
      </c>
      <c r="HJ189" s="51"/>
      <c r="HK189" s="108" t="str">
        <f t="shared" si="314"/>
        <v/>
      </c>
      <c r="HL189" s="109" t="str">
        <f t="shared" si="387"/>
        <v/>
      </c>
      <c r="HM189" s="109" t="str">
        <f t="shared" si="315"/>
        <v/>
      </c>
      <c r="HN189" s="110" t="str">
        <f t="shared" si="418"/>
        <v/>
      </c>
      <c r="HO189" s="51"/>
      <c r="HP189" s="108" t="str">
        <f t="shared" si="388"/>
        <v/>
      </c>
      <c r="HQ189" s="109" t="str">
        <f t="shared" si="389"/>
        <v/>
      </c>
      <c r="HR189" s="109" t="str">
        <f t="shared" si="316"/>
        <v/>
      </c>
      <c r="HS189" s="110" t="str">
        <f t="shared" si="390"/>
        <v/>
      </c>
      <c r="HT189" s="51"/>
      <c r="HU189" s="108" t="str">
        <f t="shared" si="317"/>
        <v/>
      </c>
      <c r="HV189" s="109" t="str">
        <f t="shared" si="391"/>
        <v/>
      </c>
      <c r="HW189" s="109" t="str">
        <f t="shared" si="318"/>
        <v/>
      </c>
      <c r="HX189" s="110" t="str">
        <f t="shared" si="419"/>
        <v/>
      </c>
      <c r="HY189" s="51"/>
      <c r="HZ189" s="108" t="str">
        <f t="shared" si="392"/>
        <v/>
      </c>
      <c r="IA189" s="109" t="str">
        <f t="shared" si="393"/>
        <v/>
      </c>
      <c r="IB189" s="109" t="str">
        <f t="shared" si="319"/>
        <v/>
      </c>
      <c r="IC189" s="110" t="str">
        <f t="shared" si="394"/>
        <v/>
      </c>
      <c r="ID189" s="51"/>
      <c r="IE189" s="108" t="str">
        <f t="shared" si="320"/>
        <v/>
      </c>
      <c r="IF189" s="109" t="str">
        <f t="shared" si="395"/>
        <v/>
      </c>
      <c r="IG189" s="109" t="str">
        <f t="shared" si="321"/>
        <v/>
      </c>
      <c r="IH189" s="110" t="str">
        <f t="shared" si="420"/>
        <v/>
      </c>
      <c r="II189" s="51"/>
      <c r="IJ189" s="108" t="str">
        <f t="shared" si="396"/>
        <v/>
      </c>
      <c r="IK189" s="109" t="str">
        <f t="shared" si="397"/>
        <v/>
      </c>
      <c r="IL189" s="109" t="str">
        <f t="shared" si="322"/>
        <v/>
      </c>
      <c r="IM189" s="110" t="str">
        <f t="shared" si="398"/>
        <v/>
      </c>
      <c r="IN189" s="51"/>
      <c r="IO189" s="108" t="str">
        <f t="shared" si="323"/>
        <v/>
      </c>
      <c r="IP189" s="109" t="str">
        <f t="shared" si="399"/>
        <v/>
      </c>
      <c r="IQ189" s="109" t="str">
        <f t="shared" si="324"/>
        <v/>
      </c>
      <c r="IR189" s="110" t="str">
        <f t="shared" si="421"/>
        <v/>
      </c>
      <c r="IS189" s="51"/>
      <c r="IT189" s="108" t="str">
        <f t="shared" si="400"/>
        <v/>
      </c>
      <c r="IU189" s="109" t="str">
        <f t="shared" si="401"/>
        <v/>
      </c>
      <c r="IV189" s="109" t="str">
        <f t="shared" si="325"/>
        <v/>
      </c>
      <c r="IW189" s="110" t="str">
        <f t="shared" si="402"/>
        <v/>
      </c>
      <c r="IX189" s="51"/>
      <c r="IY189" s="108" t="str">
        <f t="shared" si="326"/>
        <v/>
      </c>
      <c r="IZ189" s="109" t="str">
        <f t="shared" si="403"/>
        <v/>
      </c>
      <c r="JA189" s="109" t="str">
        <f t="shared" si="327"/>
        <v/>
      </c>
      <c r="JB189" s="110" t="str">
        <f t="shared" si="422"/>
        <v/>
      </c>
      <c r="JC189" s="51"/>
      <c r="JD189" s="108" t="str">
        <f t="shared" si="404"/>
        <v/>
      </c>
      <c r="JE189" s="109" t="str">
        <f t="shared" si="405"/>
        <v/>
      </c>
      <c r="JF189" s="109" t="str">
        <f t="shared" si="328"/>
        <v/>
      </c>
      <c r="JG189" s="110" t="str">
        <f t="shared" si="406"/>
        <v/>
      </c>
      <c r="JH189" s="51"/>
      <c r="JI189" s="108" t="str">
        <f t="shared" si="329"/>
        <v/>
      </c>
      <c r="JJ189" s="109" t="str">
        <f t="shared" si="407"/>
        <v/>
      </c>
      <c r="JK189" s="109" t="str">
        <f t="shared" si="330"/>
        <v/>
      </c>
      <c r="JL189" s="110" t="str">
        <f t="shared" si="423"/>
        <v/>
      </c>
      <c r="JM189" s="51"/>
      <c r="JN189" s="108" t="str">
        <f t="shared" si="408"/>
        <v/>
      </c>
      <c r="JO189" s="109" t="str">
        <f t="shared" si="409"/>
        <v/>
      </c>
      <c r="JP189" s="109" t="str">
        <f t="shared" si="331"/>
        <v/>
      </c>
      <c r="JQ189" s="110" t="str">
        <f t="shared" si="410"/>
        <v/>
      </c>
      <c r="JR189" s="51"/>
      <c r="JS189" s="108" t="str">
        <f t="shared" si="332"/>
        <v/>
      </c>
      <c r="JT189" s="109" t="str">
        <f t="shared" si="411"/>
        <v/>
      </c>
      <c r="JU189" s="109" t="str">
        <f t="shared" si="333"/>
        <v/>
      </c>
      <c r="JV189" s="110" t="str">
        <f t="shared" si="424"/>
        <v/>
      </c>
      <c r="JW189" s="51"/>
      <c r="JX189" s="108" t="str">
        <f t="shared" si="412"/>
        <v/>
      </c>
      <c r="JY189" s="109" t="str">
        <f t="shared" si="413"/>
        <v/>
      </c>
      <c r="JZ189" s="109" t="str">
        <f t="shared" si="334"/>
        <v/>
      </c>
      <c r="KA189" s="110" t="str">
        <f t="shared" si="335"/>
        <v/>
      </c>
    </row>
    <row r="190" spans="1:287" ht="12" customHeight="1">
      <c r="A190" s="105">
        <f t="array" ref="A190">MAX(IF($J$80:J189&gt;0,$C$80:C189,0))</f>
        <v>43536</v>
      </c>
      <c r="B190" s="81" t="str">
        <f t="shared" si="248"/>
        <v/>
      </c>
      <c r="C190" s="82">
        <f t="shared" si="414"/>
        <v>0</v>
      </c>
      <c r="D190" s="83" t="str">
        <f t="shared" si="249"/>
        <v/>
      </c>
      <c r="E190" s="83" t="str">
        <f t="shared" si="336"/>
        <v/>
      </c>
      <c r="F190" s="83" t="str">
        <f t="shared" si="250"/>
        <v/>
      </c>
      <c r="G190" s="83" t="str">
        <f t="shared" si="251"/>
        <v/>
      </c>
      <c r="H190" s="83" t="str">
        <f t="shared" si="252"/>
        <v/>
      </c>
      <c r="I190" s="105">
        <f t="array" ref="I190">MAX(IF($R$80:R189&gt;0,$L$80:L189,0))</f>
        <v>0</v>
      </c>
      <c r="J190" s="106"/>
      <c r="K190" s="2" t="str">
        <f t="shared" si="253"/>
        <v/>
      </c>
      <c r="L190" s="82">
        <f t="shared" si="415"/>
        <v>0</v>
      </c>
      <c r="M190" s="83" t="str">
        <f t="shared" si="337"/>
        <v/>
      </c>
      <c r="N190" s="83" t="str">
        <f t="shared" si="254"/>
        <v/>
      </c>
      <c r="O190" s="83" t="str">
        <f t="shared" si="255"/>
        <v/>
      </c>
      <c r="P190" s="83" t="str">
        <f t="shared" si="256"/>
        <v/>
      </c>
      <c r="Q190" s="83" t="str">
        <f t="shared" si="257"/>
        <v/>
      </c>
      <c r="R190" s="106"/>
      <c r="S190" s="1"/>
      <c r="U190" s="85" t="e">
        <f t="shared" si="244"/>
        <v>#NUM!</v>
      </c>
      <c r="V190" s="86" t="e">
        <f t="shared" si="338"/>
        <v>#NUM!</v>
      </c>
      <c r="W190" s="87" t="e">
        <f t="shared" si="258"/>
        <v>#NUM!</v>
      </c>
      <c r="X190" s="87" t="e">
        <f t="shared" si="259"/>
        <v>#NUM!</v>
      </c>
      <c r="Y190" s="87" t="e">
        <f t="shared" si="260"/>
        <v>#NUM!</v>
      </c>
      <c r="Z190" s="88" t="e">
        <f t="shared" si="245"/>
        <v>#NUM!</v>
      </c>
      <c r="AA190" t="s">
        <v>282</v>
      </c>
      <c r="AB190" s="89">
        <f t="shared" si="339"/>
        <v>0</v>
      </c>
      <c r="AC190" s="87">
        <f t="shared" si="340"/>
        <v>0</v>
      </c>
      <c r="AD190" s="87" t="str">
        <f t="shared" si="261"/>
        <v/>
      </c>
      <c r="AE190" s="87" t="str">
        <f t="shared" si="262"/>
        <v/>
      </c>
      <c r="AF190" s="86">
        <f t="shared" si="341"/>
        <v>0</v>
      </c>
      <c r="AG190" s="87">
        <f t="shared" si="246"/>
        <v>0</v>
      </c>
      <c r="AH190" s="87">
        <f t="shared" si="342"/>
        <v>0</v>
      </c>
      <c r="AI190" s="90"/>
      <c r="AJ190" s="87" t="e">
        <f t="shared" si="263"/>
        <v>#NUM!</v>
      </c>
      <c r="AK190" s="87" t="e">
        <f t="shared" si="343"/>
        <v>#NUM!</v>
      </c>
      <c r="AL190" s="87" t="e">
        <f t="shared" si="344"/>
        <v>#NUM!</v>
      </c>
      <c r="AM190" s="87" t="e">
        <f t="shared" si="345"/>
        <v>#NUM!</v>
      </c>
      <c r="AN190" s="86">
        <f t="shared" si="264"/>
        <v>0</v>
      </c>
      <c r="AO190" s="87">
        <f t="shared" si="265"/>
        <v>0</v>
      </c>
      <c r="AP190" s="88">
        <f t="shared" si="266"/>
        <v>0</v>
      </c>
      <c r="AR190" s="89">
        <f t="shared" si="267"/>
        <v>0</v>
      </c>
      <c r="AS190" s="87">
        <f t="shared" si="268"/>
        <v>0</v>
      </c>
      <c r="AT190" s="87" t="str">
        <f t="shared" si="269"/>
        <v/>
      </c>
      <c r="AU190" s="87" t="str">
        <f t="shared" si="270"/>
        <v/>
      </c>
      <c r="AV190" s="86">
        <f t="shared" si="346"/>
        <v>0</v>
      </c>
      <c r="AW190" s="87">
        <f t="shared" si="347"/>
        <v>0</v>
      </c>
      <c r="AX190" s="87">
        <f t="shared" si="348"/>
        <v>0</v>
      </c>
      <c r="AY190" s="93"/>
      <c r="AZ190" s="87">
        <f t="shared" si="425"/>
        <v>0</v>
      </c>
      <c r="BA190" s="87">
        <f t="shared" si="349"/>
        <v>0</v>
      </c>
      <c r="BB190" s="87">
        <f t="shared" si="350"/>
        <v>0</v>
      </c>
      <c r="BC190" s="87">
        <f t="shared" si="416"/>
        <v>0</v>
      </c>
      <c r="BD190" s="86" t="e">
        <f t="shared" si="271"/>
        <v>#NUM!</v>
      </c>
      <c r="BE190" s="87" t="e">
        <f t="shared" si="247"/>
        <v>#NUM!</v>
      </c>
      <c r="BF190" s="88">
        <f t="shared" si="351"/>
        <v>0</v>
      </c>
      <c r="BH190" s="87" t="e">
        <f t="shared" si="272"/>
        <v>#NUM!</v>
      </c>
      <c r="BK190" s="95">
        <v>42103</v>
      </c>
      <c r="BL190" s="96">
        <v>111</v>
      </c>
      <c r="CS190" s="108" t="str">
        <f t="shared" si="273"/>
        <v/>
      </c>
      <c r="CT190" s="109" t="str">
        <f t="shared" si="274"/>
        <v/>
      </c>
      <c r="CU190" s="109" t="str">
        <f t="shared" si="275"/>
        <v/>
      </c>
      <c r="CV190" s="110" t="str">
        <f t="shared" si="426"/>
        <v/>
      </c>
      <c r="CX190" s="108" t="str">
        <f t="shared" si="276"/>
        <v/>
      </c>
      <c r="CY190" s="109" t="str">
        <f t="shared" si="352"/>
        <v/>
      </c>
      <c r="CZ190" s="109" t="str">
        <f t="shared" si="277"/>
        <v/>
      </c>
      <c r="DA190" s="110" t="str">
        <f t="shared" si="427"/>
        <v/>
      </c>
      <c r="DC190" s="108" t="str">
        <f t="shared" si="353"/>
        <v/>
      </c>
      <c r="DD190" s="109" t="str">
        <f t="shared" si="354"/>
        <v/>
      </c>
      <c r="DE190" s="109" t="str">
        <f t="shared" si="278"/>
        <v/>
      </c>
      <c r="DF190" s="110" t="str">
        <f t="shared" si="428"/>
        <v/>
      </c>
      <c r="DH190" s="108" t="str">
        <f t="shared" si="279"/>
        <v/>
      </c>
      <c r="DI190" s="109" t="str">
        <f t="shared" si="280"/>
        <v/>
      </c>
      <c r="DJ190" s="109" t="str">
        <f t="shared" si="281"/>
        <v/>
      </c>
      <c r="DK190" s="110" t="str">
        <f t="shared" si="429"/>
        <v/>
      </c>
      <c r="DM190" s="108" t="str">
        <f t="shared" si="355"/>
        <v/>
      </c>
      <c r="DN190" s="109" t="str">
        <f t="shared" si="356"/>
        <v/>
      </c>
      <c r="DO190" s="109" t="str">
        <f t="shared" si="282"/>
        <v/>
      </c>
      <c r="DP190" s="110" t="str">
        <f t="shared" si="430"/>
        <v/>
      </c>
      <c r="DR190" s="108" t="str">
        <f t="shared" si="283"/>
        <v/>
      </c>
      <c r="DS190" s="109" t="str">
        <f t="shared" si="357"/>
        <v/>
      </c>
      <c r="DT190" s="109" t="str">
        <f t="shared" si="284"/>
        <v/>
      </c>
      <c r="DU190" s="110" t="str">
        <f t="shared" si="431"/>
        <v/>
      </c>
      <c r="DW190" s="108" t="str">
        <f t="shared" si="358"/>
        <v/>
      </c>
      <c r="DX190" s="109" t="str">
        <f t="shared" si="359"/>
        <v/>
      </c>
      <c r="DY190" s="109" t="str">
        <f t="shared" si="285"/>
        <v/>
      </c>
      <c r="DZ190" s="110" t="str">
        <f t="shared" si="432"/>
        <v/>
      </c>
      <c r="EB190" s="108" t="str">
        <f t="shared" si="286"/>
        <v/>
      </c>
      <c r="EC190" s="109" t="str">
        <f t="shared" si="360"/>
        <v/>
      </c>
      <c r="ED190" s="109" t="str">
        <f t="shared" si="287"/>
        <v/>
      </c>
      <c r="EE190" s="110" t="str">
        <f t="shared" si="433"/>
        <v/>
      </c>
      <c r="EG190" s="108" t="str">
        <f t="shared" si="361"/>
        <v/>
      </c>
      <c r="EH190" s="109" t="str">
        <f t="shared" si="362"/>
        <v/>
      </c>
      <c r="EI190" s="109" t="str">
        <f t="shared" si="288"/>
        <v/>
      </c>
      <c r="EJ190" s="110" t="str">
        <f t="shared" si="434"/>
        <v/>
      </c>
      <c r="EL190" s="108" t="str">
        <f t="shared" si="289"/>
        <v/>
      </c>
      <c r="EM190" s="109" t="str">
        <f t="shared" si="363"/>
        <v/>
      </c>
      <c r="EN190" s="109" t="str">
        <f t="shared" si="290"/>
        <v/>
      </c>
      <c r="EO190" s="110" t="str">
        <f t="shared" si="435"/>
        <v/>
      </c>
      <c r="EQ190" s="108" t="str">
        <f t="shared" si="364"/>
        <v/>
      </c>
      <c r="ER190" s="109" t="str">
        <f t="shared" si="365"/>
        <v/>
      </c>
      <c r="ES190" s="109" t="str">
        <f t="shared" si="291"/>
        <v/>
      </c>
      <c r="ET190" s="110" t="str">
        <f t="shared" si="436"/>
        <v/>
      </c>
      <c r="EV190" s="108" t="str">
        <f t="shared" si="292"/>
        <v/>
      </c>
      <c r="EW190" s="109" t="str">
        <f t="shared" si="366"/>
        <v/>
      </c>
      <c r="EX190" s="109" t="str">
        <f t="shared" si="293"/>
        <v/>
      </c>
      <c r="EY190" s="110" t="str">
        <f t="shared" si="437"/>
        <v/>
      </c>
      <c r="FA190" s="108" t="str">
        <f t="shared" si="367"/>
        <v/>
      </c>
      <c r="FB190" s="109" t="str">
        <f t="shared" si="368"/>
        <v/>
      </c>
      <c r="FC190" s="109" t="str">
        <f t="shared" si="294"/>
        <v/>
      </c>
      <c r="FD190" s="110" t="str">
        <f t="shared" si="438"/>
        <v/>
      </c>
      <c r="FF190" s="108" t="str">
        <f t="shared" si="295"/>
        <v/>
      </c>
      <c r="FG190" s="109" t="str">
        <f t="shared" si="369"/>
        <v/>
      </c>
      <c r="FH190" s="109" t="str">
        <f t="shared" si="296"/>
        <v/>
      </c>
      <c r="FI190" s="110" t="str">
        <f t="shared" si="439"/>
        <v/>
      </c>
      <c r="FK190" s="108" t="str">
        <f t="shared" si="370"/>
        <v/>
      </c>
      <c r="FL190" s="109" t="str">
        <f t="shared" si="371"/>
        <v/>
      </c>
      <c r="FM190" s="109" t="str">
        <f t="shared" si="297"/>
        <v/>
      </c>
      <c r="FN190" s="110" t="str">
        <f t="shared" si="440"/>
        <v/>
      </c>
      <c r="FP190" s="108" t="str">
        <f t="shared" si="298"/>
        <v/>
      </c>
      <c r="FQ190" s="109" t="str">
        <f t="shared" si="372"/>
        <v/>
      </c>
      <c r="FR190" s="109" t="str">
        <f t="shared" si="299"/>
        <v/>
      </c>
      <c r="FS190" s="110" t="str">
        <f t="shared" si="441"/>
        <v/>
      </c>
      <c r="FU190" s="108" t="str">
        <f t="shared" si="373"/>
        <v/>
      </c>
      <c r="FV190" s="109" t="str">
        <f t="shared" si="374"/>
        <v/>
      </c>
      <c r="FW190" s="109" t="str">
        <f t="shared" si="300"/>
        <v/>
      </c>
      <c r="FX190" s="110" t="str">
        <f t="shared" si="442"/>
        <v/>
      </c>
      <c r="FZ190" s="108" t="str">
        <f t="shared" si="301"/>
        <v/>
      </c>
      <c r="GA190" s="109" t="str">
        <f t="shared" si="375"/>
        <v/>
      </c>
      <c r="GB190" s="109" t="str">
        <f t="shared" si="302"/>
        <v/>
      </c>
      <c r="GC190" s="110" t="str">
        <f t="shared" si="443"/>
        <v/>
      </c>
      <c r="GE190" s="108" t="str">
        <f t="shared" si="376"/>
        <v/>
      </c>
      <c r="GF190" s="109" t="str">
        <f t="shared" si="377"/>
        <v/>
      </c>
      <c r="GG190" s="109" t="str">
        <f t="shared" si="378"/>
        <v/>
      </c>
      <c r="GH190" s="110" t="str">
        <f t="shared" si="444"/>
        <v/>
      </c>
      <c r="GL190" s="108" t="str">
        <f t="shared" si="303"/>
        <v/>
      </c>
      <c r="GM190" s="109" t="str">
        <f t="shared" si="304"/>
        <v/>
      </c>
      <c r="GN190" s="109" t="str">
        <f t="shared" si="305"/>
        <v/>
      </c>
      <c r="GO190" s="110" t="str">
        <f t="shared" si="306"/>
        <v/>
      </c>
      <c r="GP190" s="51"/>
      <c r="GQ190" s="108" t="str">
        <f t="shared" si="307"/>
        <v/>
      </c>
      <c r="GR190" s="109" t="str">
        <f t="shared" si="379"/>
        <v/>
      </c>
      <c r="GS190" s="109" t="str">
        <f t="shared" si="308"/>
        <v/>
      </c>
      <c r="GT190" s="110" t="str">
        <f t="shared" si="309"/>
        <v/>
      </c>
      <c r="GU190" s="51"/>
      <c r="GV190" s="108" t="str">
        <f t="shared" si="380"/>
        <v/>
      </c>
      <c r="GW190" s="109" t="str">
        <f t="shared" si="381"/>
        <v/>
      </c>
      <c r="GX190" s="109" t="str">
        <f t="shared" si="310"/>
        <v/>
      </c>
      <c r="GY190" s="110" t="str">
        <f t="shared" si="382"/>
        <v/>
      </c>
      <c r="GZ190" s="51"/>
      <c r="HA190" s="108" t="str">
        <f t="shared" si="311"/>
        <v/>
      </c>
      <c r="HB190" s="109" t="str">
        <f t="shared" si="383"/>
        <v/>
      </c>
      <c r="HC190" s="109" t="str">
        <f t="shared" si="312"/>
        <v/>
      </c>
      <c r="HD190" s="110" t="str">
        <f t="shared" si="417"/>
        <v/>
      </c>
      <c r="HE190" s="51"/>
      <c r="HF190" s="108" t="str">
        <f t="shared" si="384"/>
        <v/>
      </c>
      <c r="HG190" s="109" t="str">
        <f t="shared" si="385"/>
        <v/>
      </c>
      <c r="HH190" s="109" t="str">
        <f t="shared" si="313"/>
        <v/>
      </c>
      <c r="HI190" s="110" t="str">
        <f t="shared" si="386"/>
        <v/>
      </c>
      <c r="HJ190" s="51"/>
      <c r="HK190" s="108" t="str">
        <f t="shared" si="314"/>
        <v/>
      </c>
      <c r="HL190" s="109" t="str">
        <f t="shared" si="387"/>
        <v/>
      </c>
      <c r="HM190" s="109" t="str">
        <f t="shared" si="315"/>
        <v/>
      </c>
      <c r="HN190" s="110" t="str">
        <f t="shared" si="418"/>
        <v/>
      </c>
      <c r="HO190" s="51"/>
      <c r="HP190" s="108" t="str">
        <f t="shared" si="388"/>
        <v/>
      </c>
      <c r="HQ190" s="109" t="str">
        <f t="shared" si="389"/>
        <v/>
      </c>
      <c r="HR190" s="109" t="str">
        <f t="shared" si="316"/>
        <v/>
      </c>
      <c r="HS190" s="110" t="str">
        <f t="shared" si="390"/>
        <v/>
      </c>
      <c r="HT190" s="51"/>
      <c r="HU190" s="108" t="str">
        <f t="shared" si="317"/>
        <v/>
      </c>
      <c r="HV190" s="109" t="str">
        <f t="shared" si="391"/>
        <v/>
      </c>
      <c r="HW190" s="109" t="str">
        <f t="shared" si="318"/>
        <v/>
      </c>
      <c r="HX190" s="110" t="str">
        <f t="shared" si="419"/>
        <v/>
      </c>
      <c r="HY190" s="51"/>
      <c r="HZ190" s="108" t="str">
        <f t="shared" si="392"/>
        <v/>
      </c>
      <c r="IA190" s="109" t="str">
        <f t="shared" si="393"/>
        <v/>
      </c>
      <c r="IB190" s="109" t="str">
        <f t="shared" si="319"/>
        <v/>
      </c>
      <c r="IC190" s="110" t="str">
        <f t="shared" si="394"/>
        <v/>
      </c>
      <c r="ID190" s="51"/>
      <c r="IE190" s="108" t="str">
        <f t="shared" si="320"/>
        <v/>
      </c>
      <c r="IF190" s="109" t="str">
        <f t="shared" si="395"/>
        <v/>
      </c>
      <c r="IG190" s="109" t="str">
        <f t="shared" si="321"/>
        <v/>
      </c>
      <c r="IH190" s="110" t="str">
        <f t="shared" si="420"/>
        <v/>
      </c>
      <c r="II190" s="51"/>
      <c r="IJ190" s="108" t="str">
        <f t="shared" si="396"/>
        <v/>
      </c>
      <c r="IK190" s="109" t="str">
        <f t="shared" si="397"/>
        <v/>
      </c>
      <c r="IL190" s="109" t="str">
        <f t="shared" si="322"/>
        <v/>
      </c>
      <c r="IM190" s="110" t="str">
        <f t="shared" si="398"/>
        <v/>
      </c>
      <c r="IN190" s="51"/>
      <c r="IO190" s="108" t="str">
        <f t="shared" si="323"/>
        <v/>
      </c>
      <c r="IP190" s="109" t="str">
        <f t="shared" si="399"/>
        <v/>
      </c>
      <c r="IQ190" s="109" t="str">
        <f t="shared" si="324"/>
        <v/>
      </c>
      <c r="IR190" s="110" t="str">
        <f t="shared" si="421"/>
        <v/>
      </c>
      <c r="IS190" s="51"/>
      <c r="IT190" s="108" t="str">
        <f t="shared" si="400"/>
        <v/>
      </c>
      <c r="IU190" s="109" t="str">
        <f t="shared" si="401"/>
        <v/>
      </c>
      <c r="IV190" s="109" t="str">
        <f t="shared" si="325"/>
        <v/>
      </c>
      <c r="IW190" s="110" t="str">
        <f t="shared" si="402"/>
        <v/>
      </c>
      <c r="IX190" s="51"/>
      <c r="IY190" s="108" t="str">
        <f t="shared" si="326"/>
        <v/>
      </c>
      <c r="IZ190" s="109" t="str">
        <f t="shared" si="403"/>
        <v/>
      </c>
      <c r="JA190" s="109" t="str">
        <f t="shared" si="327"/>
        <v/>
      </c>
      <c r="JB190" s="110" t="str">
        <f t="shared" si="422"/>
        <v/>
      </c>
      <c r="JC190" s="51"/>
      <c r="JD190" s="108" t="str">
        <f t="shared" si="404"/>
        <v/>
      </c>
      <c r="JE190" s="109" t="str">
        <f t="shared" si="405"/>
        <v/>
      </c>
      <c r="JF190" s="109" t="str">
        <f t="shared" si="328"/>
        <v/>
      </c>
      <c r="JG190" s="110" t="str">
        <f t="shared" si="406"/>
        <v/>
      </c>
      <c r="JH190" s="51"/>
      <c r="JI190" s="108" t="str">
        <f t="shared" si="329"/>
        <v/>
      </c>
      <c r="JJ190" s="109" t="str">
        <f t="shared" si="407"/>
        <v/>
      </c>
      <c r="JK190" s="109" t="str">
        <f t="shared" si="330"/>
        <v/>
      </c>
      <c r="JL190" s="110" t="str">
        <f t="shared" si="423"/>
        <v/>
      </c>
      <c r="JM190" s="51"/>
      <c r="JN190" s="108" t="str">
        <f t="shared" si="408"/>
        <v/>
      </c>
      <c r="JO190" s="109" t="str">
        <f t="shared" si="409"/>
        <v/>
      </c>
      <c r="JP190" s="109" t="str">
        <f t="shared" si="331"/>
        <v/>
      </c>
      <c r="JQ190" s="110" t="str">
        <f t="shared" si="410"/>
        <v/>
      </c>
      <c r="JR190" s="51"/>
      <c r="JS190" s="108" t="str">
        <f t="shared" si="332"/>
        <v/>
      </c>
      <c r="JT190" s="109" t="str">
        <f t="shared" si="411"/>
        <v/>
      </c>
      <c r="JU190" s="109" t="str">
        <f t="shared" si="333"/>
        <v/>
      </c>
      <c r="JV190" s="110" t="str">
        <f t="shared" si="424"/>
        <v/>
      </c>
      <c r="JW190" s="51"/>
      <c r="JX190" s="108" t="str">
        <f t="shared" si="412"/>
        <v/>
      </c>
      <c r="JY190" s="109" t="str">
        <f t="shared" si="413"/>
        <v/>
      </c>
      <c r="JZ190" s="109" t="str">
        <f t="shared" si="334"/>
        <v/>
      </c>
      <c r="KA190" s="110" t="str">
        <f t="shared" si="335"/>
        <v/>
      </c>
    </row>
    <row r="191" spans="1:287" ht="12" customHeight="1">
      <c r="A191" s="105">
        <f t="array" ref="A191">MAX(IF($J$80:J190&gt;0,$C$80:C190,0))</f>
        <v>43536</v>
      </c>
      <c r="B191" s="81" t="str">
        <f t="shared" si="248"/>
        <v/>
      </c>
      <c r="C191" s="82">
        <f t="shared" si="414"/>
        <v>0</v>
      </c>
      <c r="D191" s="83" t="str">
        <f t="shared" si="249"/>
        <v/>
      </c>
      <c r="E191" s="83" t="str">
        <f t="shared" si="336"/>
        <v/>
      </c>
      <c r="F191" s="83" t="str">
        <f t="shared" si="250"/>
        <v/>
      </c>
      <c r="G191" s="83" t="str">
        <f t="shared" si="251"/>
        <v/>
      </c>
      <c r="H191" s="83" t="str">
        <f t="shared" si="252"/>
        <v/>
      </c>
      <c r="I191" s="105">
        <f t="array" ref="I191">MAX(IF($R$80:R190&gt;0,$L$80:L190,0))</f>
        <v>0</v>
      </c>
      <c r="J191" s="106"/>
      <c r="K191" s="2" t="str">
        <f t="shared" si="253"/>
        <v/>
      </c>
      <c r="L191" s="82">
        <f t="shared" si="415"/>
        <v>0</v>
      </c>
      <c r="M191" s="83" t="str">
        <f t="shared" si="337"/>
        <v/>
      </c>
      <c r="N191" s="83" t="str">
        <f t="shared" si="254"/>
        <v/>
      </c>
      <c r="O191" s="83" t="str">
        <f t="shared" si="255"/>
        <v/>
      </c>
      <c r="P191" s="83" t="str">
        <f t="shared" si="256"/>
        <v/>
      </c>
      <c r="Q191" s="83" t="str">
        <f t="shared" si="257"/>
        <v/>
      </c>
      <c r="R191" s="106"/>
      <c r="S191" s="1"/>
      <c r="U191" s="85" t="e">
        <f t="shared" si="244"/>
        <v>#NUM!</v>
      </c>
      <c r="V191" s="86" t="e">
        <f t="shared" si="338"/>
        <v>#NUM!</v>
      </c>
      <c r="W191" s="87" t="e">
        <f t="shared" si="258"/>
        <v>#NUM!</v>
      </c>
      <c r="X191" s="87" t="e">
        <f t="shared" si="259"/>
        <v>#NUM!</v>
      </c>
      <c r="Y191" s="87" t="e">
        <f t="shared" si="260"/>
        <v>#NUM!</v>
      </c>
      <c r="Z191" s="88" t="e">
        <f t="shared" si="245"/>
        <v>#NUM!</v>
      </c>
      <c r="AA191" t="s">
        <v>282</v>
      </c>
      <c r="AB191" s="89">
        <f t="shared" si="339"/>
        <v>0</v>
      </c>
      <c r="AC191" s="87">
        <f t="shared" si="340"/>
        <v>0</v>
      </c>
      <c r="AD191" s="87" t="str">
        <f t="shared" si="261"/>
        <v/>
      </c>
      <c r="AE191" s="87" t="str">
        <f t="shared" si="262"/>
        <v/>
      </c>
      <c r="AF191" s="86">
        <f t="shared" si="341"/>
        <v>0</v>
      </c>
      <c r="AG191" s="87">
        <f t="shared" si="246"/>
        <v>0</v>
      </c>
      <c r="AH191" s="87">
        <f t="shared" si="342"/>
        <v>0</v>
      </c>
      <c r="AI191" s="90"/>
      <c r="AJ191" s="87" t="e">
        <f t="shared" si="263"/>
        <v>#NUM!</v>
      </c>
      <c r="AK191" s="87" t="e">
        <f t="shared" si="343"/>
        <v>#NUM!</v>
      </c>
      <c r="AL191" s="87" t="e">
        <f t="shared" si="344"/>
        <v>#NUM!</v>
      </c>
      <c r="AM191" s="87" t="e">
        <f t="shared" si="345"/>
        <v>#NUM!</v>
      </c>
      <c r="AN191" s="86">
        <f t="shared" si="264"/>
        <v>0</v>
      </c>
      <c r="AO191" s="87">
        <f t="shared" si="265"/>
        <v>0</v>
      </c>
      <c r="AP191" s="88">
        <f t="shared" si="266"/>
        <v>0</v>
      </c>
      <c r="AR191" s="89">
        <f t="shared" si="267"/>
        <v>0</v>
      </c>
      <c r="AS191" s="87">
        <f t="shared" si="268"/>
        <v>0</v>
      </c>
      <c r="AT191" s="87" t="str">
        <f t="shared" si="269"/>
        <v/>
      </c>
      <c r="AU191" s="87" t="str">
        <f t="shared" si="270"/>
        <v/>
      </c>
      <c r="AV191" s="86">
        <f t="shared" si="346"/>
        <v>0</v>
      </c>
      <c r="AW191" s="87">
        <f t="shared" si="347"/>
        <v>0</v>
      </c>
      <c r="AX191" s="87">
        <f t="shared" si="348"/>
        <v>0</v>
      </c>
      <c r="AY191" s="93"/>
      <c r="AZ191" s="87">
        <f t="shared" si="425"/>
        <v>0</v>
      </c>
      <c r="BA191" s="87">
        <f t="shared" si="349"/>
        <v>0</v>
      </c>
      <c r="BB191" s="87">
        <f t="shared" si="350"/>
        <v>0</v>
      </c>
      <c r="BC191" s="87">
        <f t="shared" si="416"/>
        <v>0</v>
      </c>
      <c r="BD191" s="86" t="e">
        <f t="shared" si="271"/>
        <v>#NUM!</v>
      </c>
      <c r="BE191" s="87" t="e">
        <f t="shared" si="247"/>
        <v>#NUM!</v>
      </c>
      <c r="BF191" s="88">
        <f t="shared" si="351"/>
        <v>0</v>
      </c>
      <c r="BH191" s="87" t="e">
        <f t="shared" si="272"/>
        <v>#NUM!</v>
      </c>
      <c r="BK191" s="95">
        <v>42104</v>
      </c>
      <c r="BL191" s="96">
        <v>112</v>
      </c>
      <c r="CS191" s="108" t="str">
        <f t="shared" si="273"/>
        <v/>
      </c>
      <c r="CT191" s="109" t="str">
        <f t="shared" si="274"/>
        <v/>
      </c>
      <c r="CU191" s="109" t="str">
        <f t="shared" si="275"/>
        <v/>
      </c>
      <c r="CV191" s="110" t="str">
        <f t="shared" si="426"/>
        <v/>
      </c>
      <c r="CX191" s="108" t="str">
        <f t="shared" si="276"/>
        <v/>
      </c>
      <c r="CY191" s="109" t="str">
        <f t="shared" si="352"/>
        <v/>
      </c>
      <c r="CZ191" s="109" t="str">
        <f t="shared" si="277"/>
        <v/>
      </c>
      <c r="DA191" s="110" t="str">
        <f t="shared" si="427"/>
        <v/>
      </c>
      <c r="DC191" s="108" t="str">
        <f t="shared" si="353"/>
        <v/>
      </c>
      <c r="DD191" s="109" t="str">
        <f t="shared" si="354"/>
        <v/>
      </c>
      <c r="DE191" s="109" t="str">
        <f t="shared" si="278"/>
        <v/>
      </c>
      <c r="DF191" s="110" t="str">
        <f t="shared" si="428"/>
        <v/>
      </c>
      <c r="DH191" s="108" t="str">
        <f t="shared" si="279"/>
        <v/>
      </c>
      <c r="DI191" s="109" t="str">
        <f t="shared" si="280"/>
        <v/>
      </c>
      <c r="DJ191" s="109" t="str">
        <f t="shared" si="281"/>
        <v/>
      </c>
      <c r="DK191" s="110" t="str">
        <f t="shared" si="429"/>
        <v/>
      </c>
      <c r="DM191" s="108" t="str">
        <f t="shared" si="355"/>
        <v/>
      </c>
      <c r="DN191" s="109" t="str">
        <f t="shared" si="356"/>
        <v/>
      </c>
      <c r="DO191" s="109" t="str">
        <f t="shared" si="282"/>
        <v/>
      </c>
      <c r="DP191" s="110" t="str">
        <f t="shared" si="430"/>
        <v/>
      </c>
      <c r="DR191" s="108" t="str">
        <f t="shared" si="283"/>
        <v/>
      </c>
      <c r="DS191" s="109" t="str">
        <f t="shared" si="357"/>
        <v/>
      </c>
      <c r="DT191" s="109" t="str">
        <f t="shared" si="284"/>
        <v/>
      </c>
      <c r="DU191" s="110" t="str">
        <f t="shared" si="431"/>
        <v/>
      </c>
      <c r="DW191" s="108" t="str">
        <f t="shared" si="358"/>
        <v/>
      </c>
      <c r="DX191" s="109" t="str">
        <f t="shared" si="359"/>
        <v/>
      </c>
      <c r="DY191" s="109" t="str">
        <f t="shared" si="285"/>
        <v/>
      </c>
      <c r="DZ191" s="110" t="str">
        <f t="shared" si="432"/>
        <v/>
      </c>
      <c r="EB191" s="108" t="str">
        <f t="shared" si="286"/>
        <v/>
      </c>
      <c r="EC191" s="109" t="str">
        <f t="shared" si="360"/>
        <v/>
      </c>
      <c r="ED191" s="109" t="str">
        <f t="shared" si="287"/>
        <v/>
      </c>
      <c r="EE191" s="110" t="str">
        <f t="shared" si="433"/>
        <v/>
      </c>
      <c r="EG191" s="108" t="str">
        <f t="shared" si="361"/>
        <v/>
      </c>
      <c r="EH191" s="109" t="str">
        <f t="shared" si="362"/>
        <v/>
      </c>
      <c r="EI191" s="109" t="str">
        <f t="shared" si="288"/>
        <v/>
      </c>
      <c r="EJ191" s="110" t="str">
        <f t="shared" si="434"/>
        <v/>
      </c>
      <c r="EL191" s="108" t="str">
        <f t="shared" si="289"/>
        <v/>
      </c>
      <c r="EM191" s="109" t="str">
        <f t="shared" si="363"/>
        <v/>
      </c>
      <c r="EN191" s="109" t="str">
        <f t="shared" si="290"/>
        <v/>
      </c>
      <c r="EO191" s="110" t="str">
        <f t="shared" si="435"/>
        <v/>
      </c>
      <c r="EQ191" s="108" t="str">
        <f t="shared" si="364"/>
        <v/>
      </c>
      <c r="ER191" s="109" t="str">
        <f t="shared" si="365"/>
        <v/>
      </c>
      <c r="ES191" s="109" t="str">
        <f t="shared" si="291"/>
        <v/>
      </c>
      <c r="ET191" s="110" t="str">
        <f t="shared" si="436"/>
        <v/>
      </c>
      <c r="EV191" s="108" t="str">
        <f t="shared" si="292"/>
        <v/>
      </c>
      <c r="EW191" s="109" t="str">
        <f t="shared" si="366"/>
        <v/>
      </c>
      <c r="EX191" s="109" t="str">
        <f t="shared" si="293"/>
        <v/>
      </c>
      <c r="EY191" s="110" t="str">
        <f t="shared" si="437"/>
        <v/>
      </c>
      <c r="FA191" s="108" t="str">
        <f t="shared" si="367"/>
        <v/>
      </c>
      <c r="FB191" s="109" t="str">
        <f t="shared" si="368"/>
        <v/>
      </c>
      <c r="FC191" s="109" t="str">
        <f t="shared" si="294"/>
        <v/>
      </c>
      <c r="FD191" s="110" t="str">
        <f t="shared" si="438"/>
        <v/>
      </c>
      <c r="FF191" s="108" t="str">
        <f t="shared" si="295"/>
        <v/>
      </c>
      <c r="FG191" s="109" t="str">
        <f t="shared" si="369"/>
        <v/>
      </c>
      <c r="FH191" s="109" t="str">
        <f t="shared" si="296"/>
        <v/>
      </c>
      <c r="FI191" s="110" t="str">
        <f t="shared" si="439"/>
        <v/>
      </c>
      <c r="FK191" s="108" t="str">
        <f t="shared" si="370"/>
        <v/>
      </c>
      <c r="FL191" s="109" t="str">
        <f t="shared" si="371"/>
        <v/>
      </c>
      <c r="FM191" s="109" t="str">
        <f t="shared" si="297"/>
        <v/>
      </c>
      <c r="FN191" s="110" t="str">
        <f t="shared" si="440"/>
        <v/>
      </c>
      <c r="FP191" s="108" t="str">
        <f t="shared" si="298"/>
        <v/>
      </c>
      <c r="FQ191" s="109" t="str">
        <f t="shared" si="372"/>
        <v/>
      </c>
      <c r="FR191" s="109" t="str">
        <f t="shared" si="299"/>
        <v/>
      </c>
      <c r="FS191" s="110" t="str">
        <f t="shared" si="441"/>
        <v/>
      </c>
      <c r="FU191" s="108" t="str">
        <f t="shared" si="373"/>
        <v/>
      </c>
      <c r="FV191" s="109" t="str">
        <f t="shared" si="374"/>
        <v/>
      </c>
      <c r="FW191" s="109" t="str">
        <f t="shared" si="300"/>
        <v/>
      </c>
      <c r="FX191" s="110" t="str">
        <f t="shared" si="442"/>
        <v/>
      </c>
      <c r="FZ191" s="108" t="str">
        <f t="shared" si="301"/>
        <v/>
      </c>
      <c r="GA191" s="109" t="str">
        <f t="shared" si="375"/>
        <v/>
      </c>
      <c r="GB191" s="109" t="str">
        <f t="shared" si="302"/>
        <v/>
      </c>
      <c r="GC191" s="110" t="str">
        <f t="shared" si="443"/>
        <v/>
      </c>
      <c r="GE191" s="108" t="str">
        <f t="shared" si="376"/>
        <v/>
      </c>
      <c r="GF191" s="109" t="str">
        <f t="shared" si="377"/>
        <v/>
      </c>
      <c r="GG191" s="109" t="str">
        <f t="shared" si="378"/>
        <v/>
      </c>
      <c r="GH191" s="110" t="str">
        <f t="shared" si="444"/>
        <v/>
      </c>
      <c r="GL191" s="108" t="str">
        <f t="shared" si="303"/>
        <v/>
      </c>
      <c r="GM191" s="109" t="str">
        <f t="shared" si="304"/>
        <v/>
      </c>
      <c r="GN191" s="109" t="str">
        <f t="shared" si="305"/>
        <v/>
      </c>
      <c r="GO191" s="110" t="str">
        <f t="shared" si="306"/>
        <v/>
      </c>
      <c r="GP191" s="51"/>
      <c r="GQ191" s="108" t="str">
        <f t="shared" si="307"/>
        <v/>
      </c>
      <c r="GR191" s="109" t="str">
        <f t="shared" si="379"/>
        <v/>
      </c>
      <c r="GS191" s="109" t="str">
        <f t="shared" si="308"/>
        <v/>
      </c>
      <c r="GT191" s="110" t="str">
        <f t="shared" si="309"/>
        <v/>
      </c>
      <c r="GU191" s="51"/>
      <c r="GV191" s="108" t="str">
        <f t="shared" si="380"/>
        <v/>
      </c>
      <c r="GW191" s="109" t="str">
        <f t="shared" si="381"/>
        <v/>
      </c>
      <c r="GX191" s="109" t="str">
        <f t="shared" si="310"/>
        <v/>
      </c>
      <c r="GY191" s="110" t="str">
        <f t="shared" si="382"/>
        <v/>
      </c>
      <c r="GZ191" s="51"/>
      <c r="HA191" s="108" t="str">
        <f t="shared" si="311"/>
        <v/>
      </c>
      <c r="HB191" s="109" t="str">
        <f t="shared" si="383"/>
        <v/>
      </c>
      <c r="HC191" s="109" t="str">
        <f t="shared" si="312"/>
        <v/>
      </c>
      <c r="HD191" s="110" t="str">
        <f t="shared" si="417"/>
        <v/>
      </c>
      <c r="HE191" s="51"/>
      <c r="HF191" s="108" t="str">
        <f t="shared" si="384"/>
        <v/>
      </c>
      <c r="HG191" s="109" t="str">
        <f t="shared" si="385"/>
        <v/>
      </c>
      <c r="HH191" s="109" t="str">
        <f t="shared" si="313"/>
        <v/>
      </c>
      <c r="HI191" s="110" t="str">
        <f t="shared" si="386"/>
        <v/>
      </c>
      <c r="HJ191" s="51"/>
      <c r="HK191" s="108" t="str">
        <f t="shared" si="314"/>
        <v/>
      </c>
      <c r="HL191" s="109" t="str">
        <f t="shared" si="387"/>
        <v/>
      </c>
      <c r="HM191" s="109" t="str">
        <f t="shared" si="315"/>
        <v/>
      </c>
      <c r="HN191" s="110" t="str">
        <f t="shared" si="418"/>
        <v/>
      </c>
      <c r="HO191" s="51"/>
      <c r="HP191" s="108" t="str">
        <f t="shared" si="388"/>
        <v/>
      </c>
      <c r="HQ191" s="109" t="str">
        <f t="shared" si="389"/>
        <v/>
      </c>
      <c r="HR191" s="109" t="str">
        <f t="shared" si="316"/>
        <v/>
      </c>
      <c r="HS191" s="110" t="str">
        <f t="shared" si="390"/>
        <v/>
      </c>
      <c r="HT191" s="51"/>
      <c r="HU191" s="108" t="str">
        <f t="shared" si="317"/>
        <v/>
      </c>
      <c r="HV191" s="109" t="str">
        <f t="shared" si="391"/>
        <v/>
      </c>
      <c r="HW191" s="109" t="str">
        <f t="shared" si="318"/>
        <v/>
      </c>
      <c r="HX191" s="110" t="str">
        <f t="shared" si="419"/>
        <v/>
      </c>
      <c r="HY191" s="51"/>
      <c r="HZ191" s="108" t="str">
        <f t="shared" si="392"/>
        <v/>
      </c>
      <c r="IA191" s="109" t="str">
        <f t="shared" si="393"/>
        <v/>
      </c>
      <c r="IB191" s="109" t="str">
        <f t="shared" si="319"/>
        <v/>
      </c>
      <c r="IC191" s="110" t="str">
        <f t="shared" si="394"/>
        <v/>
      </c>
      <c r="ID191" s="51"/>
      <c r="IE191" s="108" t="str">
        <f t="shared" si="320"/>
        <v/>
      </c>
      <c r="IF191" s="109" t="str">
        <f t="shared" si="395"/>
        <v/>
      </c>
      <c r="IG191" s="109" t="str">
        <f t="shared" si="321"/>
        <v/>
      </c>
      <c r="IH191" s="110" t="str">
        <f t="shared" si="420"/>
        <v/>
      </c>
      <c r="II191" s="51"/>
      <c r="IJ191" s="108" t="str">
        <f t="shared" si="396"/>
        <v/>
      </c>
      <c r="IK191" s="109" t="str">
        <f t="shared" si="397"/>
        <v/>
      </c>
      <c r="IL191" s="109" t="str">
        <f t="shared" si="322"/>
        <v/>
      </c>
      <c r="IM191" s="110" t="str">
        <f t="shared" si="398"/>
        <v/>
      </c>
      <c r="IN191" s="51"/>
      <c r="IO191" s="108" t="str">
        <f t="shared" si="323"/>
        <v/>
      </c>
      <c r="IP191" s="109" t="str">
        <f t="shared" si="399"/>
        <v/>
      </c>
      <c r="IQ191" s="109" t="str">
        <f t="shared" si="324"/>
        <v/>
      </c>
      <c r="IR191" s="110" t="str">
        <f t="shared" si="421"/>
        <v/>
      </c>
      <c r="IS191" s="51"/>
      <c r="IT191" s="108" t="str">
        <f t="shared" si="400"/>
        <v/>
      </c>
      <c r="IU191" s="109" t="str">
        <f t="shared" si="401"/>
        <v/>
      </c>
      <c r="IV191" s="109" t="str">
        <f t="shared" si="325"/>
        <v/>
      </c>
      <c r="IW191" s="110" t="str">
        <f t="shared" si="402"/>
        <v/>
      </c>
      <c r="IX191" s="51"/>
      <c r="IY191" s="108" t="str">
        <f t="shared" si="326"/>
        <v/>
      </c>
      <c r="IZ191" s="109" t="str">
        <f t="shared" si="403"/>
        <v/>
      </c>
      <c r="JA191" s="109" t="str">
        <f t="shared" si="327"/>
        <v/>
      </c>
      <c r="JB191" s="110" t="str">
        <f t="shared" si="422"/>
        <v/>
      </c>
      <c r="JC191" s="51"/>
      <c r="JD191" s="108" t="str">
        <f t="shared" si="404"/>
        <v/>
      </c>
      <c r="JE191" s="109" t="str">
        <f t="shared" si="405"/>
        <v/>
      </c>
      <c r="JF191" s="109" t="str">
        <f t="shared" si="328"/>
        <v/>
      </c>
      <c r="JG191" s="110" t="str">
        <f t="shared" si="406"/>
        <v/>
      </c>
      <c r="JH191" s="51"/>
      <c r="JI191" s="108" t="str">
        <f t="shared" si="329"/>
        <v/>
      </c>
      <c r="JJ191" s="109" t="str">
        <f t="shared" si="407"/>
        <v/>
      </c>
      <c r="JK191" s="109" t="str">
        <f t="shared" si="330"/>
        <v/>
      </c>
      <c r="JL191" s="110" t="str">
        <f t="shared" si="423"/>
        <v/>
      </c>
      <c r="JM191" s="51"/>
      <c r="JN191" s="108" t="str">
        <f t="shared" si="408"/>
        <v/>
      </c>
      <c r="JO191" s="109" t="str">
        <f t="shared" si="409"/>
        <v/>
      </c>
      <c r="JP191" s="109" t="str">
        <f t="shared" si="331"/>
        <v/>
      </c>
      <c r="JQ191" s="110" t="str">
        <f t="shared" si="410"/>
        <v/>
      </c>
      <c r="JR191" s="51"/>
      <c r="JS191" s="108" t="str">
        <f t="shared" si="332"/>
        <v/>
      </c>
      <c r="JT191" s="109" t="str">
        <f t="shared" si="411"/>
        <v/>
      </c>
      <c r="JU191" s="109" t="str">
        <f t="shared" si="333"/>
        <v/>
      </c>
      <c r="JV191" s="110" t="str">
        <f t="shared" si="424"/>
        <v/>
      </c>
      <c r="JW191" s="51"/>
      <c r="JX191" s="108" t="str">
        <f t="shared" si="412"/>
        <v/>
      </c>
      <c r="JY191" s="109" t="str">
        <f t="shared" si="413"/>
        <v/>
      </c>
      <c r="JZ191" s="109" t="str">
        <f t="shared" si="334"/>
        <v/>
      </c>
      <c r="KA191" s="110" t="str">
        <f t="shared" si="335"/>
        <v/>
      </c>
    </row>
    <row r="192" spans="1:287" ht="12" customHeight="1">
      <c r="A192" s="105">
        <f t="array" ref="A192">MAX(IF($J$80:J191&gt;0,$C$80:C191,0))</f>
        <v>43536</v>
      </c>
      <c r="B192" s="81" t="str">
        <f t="shared" si="248"/>
        <v/>
      </c>
      <c r="C192" s="82">
        <f t="shared" si="414"/>
        <v>0</v>
      </c>
      <c r="D192" s="83" t="str">
        <f t="shared" si="249"/>
        <v/>
      </c>
      <c r="E192" s="83" t="str">
        <f t="shared" si="336"/>
        <v/>
      </c>
      <c r="F192" s="83" t="str">
        <f t="shared" si="250"/>
        <v/>
      </c>
      <c r="G192" s="83" t="str">
        <f t="shared" si="251"/>
        <v/>
      </c>
      <c r="H192" s="83" t="str">
        <f t="shared" si="252"/>
        <v/>
      </c>
      <c r="I192" s="105">
        <f t="array" ref="I192">MAX(IF($R$80:R191&gt;0,$L$80:L191,0))</f>
        <v>0</v>
      </c>
      <c r="J192" s="106"/>
      <c r="K192" s="2" t="str">
        <f t="shared" si="253"/>
        <v/>
      </c>
      <c r="L192" s="82">
        <f t="shared" si="415"/>
        <v>0</v>
      </c>
      <c r="M192" s="83" t="str">
        <f t="shared" si="337"/>
        <v/>
      </c>
      <c r="N192" s="83" t="str">
        <f t="shared" si="254"/>
        <v/>
      </c>
      <c r="O192" s="83" t="str">
        <f t="shared" si="255"/>
        <v/>
      </c>
      <c r="P192" s="83" t="str">
        <f t="shared" si="256"/>
        <v/>
      </c>
      <c r="Q192" s="83" t="str">
        <f t="shared" si="257"/>
        <v/>
      </c>
      <c r="R192" s="106"/>
      <c r="S192" s="1"/>
      <c r="U192" s="85" t="e">
        <f t="shared" si="244"/>
        <v>#NUM!</v>
      </c>
      <c r="V192" s="86" t="e">
        <f t="shared" si="338"/>
        <v>#NUM!</v>
      </c>
      <c r="W192" s="87" t="e">
        <f t="shared" si="258"/>
        <v>#NUM!</v>
      </c>
      <c r="X192" s="87" t="e">
        <f t="shared" si="259"/>
        <v>#NUM!</v>
      </c>
      <c r="Y192" s="87" t="e">
        <f t="shared" si="260"/>
        <v>#NUM!</v>
      </c>
      <c r="Z192" s="88" t="e">
        <f t="shared" si="245"/>
        <v>#NUM!</v>
      </c>
      <c r="AA192" t="s">
        <v>282</v>
      </c>
      <c r="AB192" s="89">
        <f t="shared" si="339"/>
        <v>0</v>
      </c>
      <c r="AC192" s="87">
        <f t="shared" si="340"/>
        <v>0</v>
      </c>
      <c r="AD192" s="87" t="str">
        <f t="shared" si="261"/>
        <v/>
      </c>
      <c r="AE192" s="87" t="str">
        <f t="shared" si="262"/>
        <v/>
      </c>
      <c r="AF192" s="86">
        <f t="shared" si="341"/>
        <v>0</v>
      </c>
      <c r="AG192" s="87">
        <f t="shared" si="246"/>
        <v>0</v>
      </c>
      <c r="AH192" s="87">
        <f t="shared" si="342"/>
        <v>0</v>
      </c>
      <c r="AI192" s="90"/>
      <c r="AJ192" s="87" t="e">
        <f t="shared" si="263"/>
        <v>#NUM!</v>
      </c>
      <c r="AK192" s="87" t="e">
        <f t="shared" si="343"/>
        <v>#NUM!</v>
      </c>
      <c r="AL192" s="87" t="e">
        <f t="shared" si="344"/>
        <v>#NUM!</v>
      </c>
      <c r="AM192" s="87" t="e">
        <f t="shared" si="345"/>
        <v>#NUM!</v>
      </c>
      <c r="AN192" s="86">
        <f t="shared" si="264"/>
        <v>0</v>
      </c>
      <c r="AO192" s="87">
        <f t="shared" si="265"/>
        <v>0</v>
      </c>
      <c r="AP192" s="88">
        <f t="shared" si="266"/>
        <v>0</v>
      </c>
      <c r="AR192" s="89">
        <f t="shared" si="267"/>
        <v>0</v>
      </c>
      <c r="AS192" s="87">
        <f t="shared" si="268"/>
        <v>0</v>
      </c>
      <c r="AT192" s="87" t="str">
        <f t="shared" si="269"/>
        <v/>
      </c>
      <c r="AU192" s="87" t="str">
        <f t="shared" si="270"/>
        <v/>
      </c>
      <c r="AV192" s="86">
        <f t="shared" si="346"/>
        <v>0</v>
      </c>
      <c r="AW192" s="87">
        <f t="shared" si="347"/>
        <v>0</v>
      </c>
      <c r="AX192" s="87">
        <f t="shared" si="348"/>
        <v>0</v>
      </c>
      <c r="AY192" s="93"/>
      <c r="AZ192" s="87">
        <f t="shared" si="425"/>
        <v>0</v>
      </c>
      <c r="BA192" s="87">
        <f t="shared" si="349"/>
        <v>0</v>
      </c>
      <c r="BB192" s="87">
        <f t="shared" si="350"/>
        <v>0</v>
      </c>
      <c r="BC192" s="87">
        <f t="shared" si="416"/>
        <v>0</v>
      </c>
      <c r="BD192" s="86" t="e">
        <f t="shared" si="271"/>
        <v>#NUM!</v>
      </c>
      <c r="BE192" s="87" t="e">
        <f t="shared" si="247"/>
        <v>#NUM!</v>
      </c>
      <c r="BF192" s="88">
        <f t="shared" si="351"/>
        <v>0</v>
      </c>
      <c r="BH192" s="87" t="e">
        <f t="shared" si="272"/>
        <v>#NUM!</v>
      </c>
      <c r="BK192" s="95">
        <v>42107</v>
      </c>
      <c r="BL192" s="96">
        <v>113</v>
      </c>
      <c r="CS192" s="108" t="str">
        <f t="shared" si="273"/>
        <v/>
      </c>
      <c r="CT192" s="109" t="str">
        <f t="shared" si="274"/>
        <v/>
      </c>
      <c r="CU192" s="109" t="str">
        <f t="shared" si="275"/>
        <v/>
      </c>
      <c r="CV192" s="110" t="str">
        <f t="shared" si="426"/>
        <v/>
      </c>
      <c r="CX192" s="108" t="str">
        <f t="shared" si="276"/>
        <v/>
      </c>
      <c r="CY192" s="109" t="str">
        <f t="shared" si="352"/>
        <v/>
      </c>
      <c r="CZ192" s="109" t="str">
        <f t="shared" si="277"/>
        <v/>
      </c>
      <c r="DA192" s="110" t="str">
        <f t="shared" si="427"/>
        <v/>
      </c>
      <c r="DC192" s="108" t="str">
        <f t="shared" si="353"/>
        <v/>
      </c>
      <c r="DD192" s="109" t="str">
        <f t="shared" si="354"/>
        <v/>
      </c>
      <c r="DE192" s="109" t="str">
        <f t="shared" si="278"/>
        <v/>
      </c>
      <c r="DF192" s="110" t="str">
        <f t="shared" si="428"/>
        <v/>
      </c>
      <c r="DH192" s="108" t="str">
        <f t="shared" si="279"/>
        <v/>
      </c>
      <c r="DI192" s="109" t="str">
        <f t="shared" si="280"/>
        <v/>
      </c>
      <c r="DJ192" s="109" t="str">
        <f t="shared" si="281"/>
        <v/>
      </c>
      <c r="DK192" s="110" t="str">
        <f t="shared" si="429"/>
        <v/>
      </c>
      <c r="DM192" s="108" t="str">
        <f t="shared" si="355"/>
        <v/>
      </c>
      <c r="DN192" s="109" t="str">
        <f t="shared" si="356"/>
        <v/>
      </c>
      <c r="DO192" s="109" t="str">
        <f t="shared" si="282"/>
        <v/>
      </c>
      <c r="DP192" s="110" t="str">
        <f t="shared" si="430"/>
        <v/>
      </c>
      <c r="DR192" s="108" t="str">
        <f t="shared" si="283"/>
        <v/>
      </c>
      <c r="DS192" s="109" t="str">
        <f t="shared" si="357"/>
        <v/>
      </c>
      <c r="DT192" s="109" t="str">
        <f t="shared" si="284"/>
        <v/>
      </c>
      <c r="DU192" s="110" t="str">
        <f t="shared" si="431"/>
        <v/>
      </c>
      <c r="DW192" s="108" t="str">
        <f t="shared" si="358"/>
        <v/>
      </c>
      <c r="DX192" s="109" t="str">
        <f t="shared" si="359"/>
        <v/>
      </c>
      <c r="DY192" s="109" t="str">
        <f t="shared" si="285"/>
        <v/>
      </c>
      <c r="DZ192" s="110" t="str">
        <f t="shared" si="432"/>
        <v/>
      </c>
      <c r="EB192" s="108" t="str">
        <f t="shared" si="286"/>
        <v/>
      </c>
      <c r="EC192" s="109" t="str">
        <f t="shared" si="360"/>
        <v/>
      </c>
      <c r="ED192" s="109" t="str">
        <f t="shared" si="287"/>
        <v/>
      </c>
      <c r="EE192" s="110" t="str">
        <f t="shared" si="433"/>
        <v/>
      </c>
      <c r="EG192" s="108" t="str">
        <f t="shared" si="361"/>
        <v/>
      </c>
      <c r="EH192" s="109" t="str">
        <f t="shared" si="362"/>
        <v/>
      </c>
      <c r="EI192" s="109" t="str">
        <f t="shared" si="288"/>
        <v/>
      </c>
      <c r="EJ192" s="110" t="str">
        <f t="shared" si="434"/>
        <v/>
      </c>
      <c r="EL192" s="108" t="str">
        <f t="shared" si="289"/>
        <v/>
      </c>
      <c r="EM192" s="109" t="str">
        <f t="shared" si="363"/>
        <v/>
      </c>
      <c r="EN192" s="109" t="str">
        <f t="shared" si="290"/>
        <v/>
      </c>
      <c r="EO192" s="110" t="str">
        <f t="shared" si="435"/>
        <v/>
      </c>
      <c r="EQ192" s="108" t="str">
        <f t="shared" si="364"/>
        <v/>
      </c>
      <c r="ER192" s="109" t="str">
        <f t="shared" si="365"/>
        <v/>
      </c>
      <c r="ES192" s="109" t="str">
        <f t="shared" si="291"/>
        <v/>
      </c>
      <c r="ET192" s="110" t="str">
        <f t="shared" si="436"/>
        <v/>
      </c>
      <c r="EV192" s="108" t="str">
        <f t="shared" si="292"/>
        <v/>
      </c>
      <c r="EW192" s="109" t="str">
        <f t="shared" si="366"/>
        <v/>
      </c>
      <c r="EX192" s="109" t="str">
        <f t="shared" si="293"/>
        <v/>
      </c>
      <c r="EY192" s="110" t="str">
        <f t="shared" si="437"/>
        <v/>
      </c>
      <c r="FA192" s="108" t="str">
        <f t="shared" si="367"/>
        <v/>
      </c>
      <c r="FB192" s="109" t="str">
        <f t="shared" si="368"/>
        <v/>
      </c>
      <c r="FC192" s="109" t="str">
        <f t="shared" si="294"/>
        <v/>
      </c>
      <c r="FD192" s="110" t="str">
        <f t="shared" si="438"/>
        <v/>
      </c>
      <c r="FF192" s="108" t="str">
        <f t="shared" si="295"/>
        <v/>
      </c>
      <c r="FG192" s="109" t="str">
        <f t="shared" si="369"/>
        <v/>
      </c>
      <c r="FH192" s="109" t="str">
        <f t="shared" si="296"/>
        <v/>
      </c>
      <c r="FI192" s="110" t="str">
        <f t="shared" si="439"/>
        <v/>
      </c>
      <c r="FK192" s="108" t="str">
        <f t="shared" si="370"/>
        <v/>
      </c>
      <c r="FL192" s="109" t="str">
        <f t="shared" si="371"/>
        <v/>
      </c>
      <c r="FM192" s="109" t="str">
        <f t="shared" si="297"/>
        <v/>
      </c>
      <c r="FN192" s="110" t="str">
        <f t="shared" si="440"/>
        <v/>
      </c>
      <c r="FP192" s="108" t="str">
        <f t="shared" si="298"/>
        <v/>
      </c>
      <c r="FQ192" s="109" t="str">
        <f t="shared" si="372"/>
        <v/>
      </c>
      <c r="FR192" s="109" t="str">
        <f t="shared" si="299"/>
        <v/>
      </c>
      <c r="FS192" s="110" t="str">
        <f t="shared" si="441"/>
        <v/>
      </c>
      <c r="FU192" s="108" t="str">
        <f t="shared" si="373"/>
        <v/>
      </c>
      <c r="FV192" s="109" t="str">
        <f t="shared" si="374"/>
        <v/>
      </c>
      <c r="FW192" s="109" t="str">
        <f t="shared" si="300"/>
        <v/>
      </c>
      <c r="FX192" s="110" t="str">
        <f t="shared" si="442"/>
        <v/>
      </c>
      <c r="FZ192" s="108" t="str">
        <f t="shared" si="301"/>
        <v/>
      </c>
      <c r="GA192" s="109" t="str">
        <f t="shared" si="375"/>
        <v/>
      </c>
      <c r="GB192" s="109" t="str">
        <f t="shared" si="302"/>
        <v/>
      </c>
      <c r="GC192" s="110" t="str">
        <f t="shared" si="443"/>
        <v/>
      </c>
      <c r="GE192" s="108" t="str">
        <f t="shared" si="376"/>
        <v/>
      </c>
      <c r="GF192" s="109" t="str">
        <f t="shared" si="377"/>
        <v/>
      </c>
      <c r="GG192" s="109" t="str">
        <f t="shared" si="378"/>
        <v/>
      </c>
      <c r="GH192" s="110" t="str">
        <f t="shared" si="444"/>
        <v/>
      </c>
      <c r="GL192" s="108" t="str">
        <f t="shared" si="303"/>
        <v/>
      </c>
      <c r="GM192" s="109" t="str">
        <f t="shared" si="304"/>
        <v/>
      </c>
      <c r="GN192" s="109" t="str">
        <f t="shared" si="305"/>
        <v/>
      </c>
      <c r="GO192" s="110" t="str">
        <f t="shared" si="306"/>
        <v/>
      </c>
      <c r="GP192" s="51"/>
      <c r="GQ192" s="108" t="str">
        <f t="shared" si="307"/>
        <v/>
      </c>
      <c r="GR192" s="109" t="str">
        <f t="shared" si="379"/>
        <v/>
      </c>
      <c r="GS192" s="109" t="str">
        <f t="shared" si="308"/>
        <v/>
      </c>
      <c r="GT192" s="110" t="str">
        <f t="shared" si="309"/>
        <v/>
      </c>
      <c r="GU192" s="51"/>
      <c r="GV192" s="108" t="str">
        <f t="shared" si="380"/>
        <v/>
      </c>
      <c r="GW192" s="109" t="str">
        <f t="shared" si="381"/>
        <v/>
      </c>
      <c r="GX192" s="109" t="str">
        <f t="shared" si="310"/>
        <v/>
      </c>
      <c r="GY192" s="110" t="str">
        <f t="shared" si="382"/>
        <v/>
      </c>
      <c r="GZ192" s="51"/>
      <c r="HA192" s="108" t="str">
        <f t="shared" si="311"/>
        <v/>
      </c>
      <c r="HB192" s="109" t="str">
        <f t="shared" si="383"/>
        <v/>
      </c>
      <c r="HC192" s="109" t="str">
        <f t="shared" si="312"/>
        <v/>
      </c>
      <c r="HD192" s="110" t="str">
        <f t="shared" si="417"/>
        <v/>
      </c>
      <c r="HE192" s="51"/>
      <c r="HF192" s="108" t="str">
        <f t="shared" si="384"/>
        <v/>
      </c>
      <c r="HG192" s="109" t="str">
        <f t="shared" si="385"/>
        <v/>
      </c>
      <c r="HH192" s="109" t="str">
        <f t="shared" si="313"/>
        <v/>
      </c>
      <c r="HI192" s="110" t="str">
        <f t="shared" si="386"/>
        <v/>
      </c>
      <c r="HJ192" s="51"/>
      <c r="HK192" s="108" t="str">
        <f t="shared" si="314"/>
        <v/>
      </c>
      <c r="HL192" s="109" t="str">
        <f t="shared" si="387"/>
        <v/>
      </c>
      <c r="HM192" s="109" t="str">
        <f t="shared" si="315"/>
        <v/>
      </c>
      <c r="HN192" s="110" t="str">
        <f t="shared" si="418"/>
        <v/>
      </c>
      <c r="HO192" s="51"/>
      <c r="HP192" s="108" t="str">
        <f t="shared" si="388"/>
        <v/>
      </c>
      <c r="HQ192" s="109" t="str">
        <f t="shared" si="389"/>
        <v/>
      </c>
      <c r="HR192" s="109" t="str">
        <f t="shared" si="316"/>
        <v/>
      </c>
      <c r="HS192" s="110" t="str">
        <f t="shared" si="390"/>
        <v/>
      </c>
      <c r="HT192" s="51"/>
      <c r="HU192" s="108" t="str">
        <f t="shared" si="317"/>
        <v/>
      </c>
      <c r="HV192" s="109" t="str">
        <f t="shared" si="391"/>
        <v/>
      </c>
      <c r="HW192" s="109" t="str">
        <f t="shared" si="318"/>
        <v/>
      </c>
      <c r="HX192" s="110" t="str">
        <f t="shared" si="419"/>
        <v/>
      </c>
      <c r="HY192" s="51"/>
      <c r="HZ192" s="108" t="str">
        <f t="shared" si="392"/>
        <v/>
      </c>
      <c r="IA192" s="109" t="str">
        <f t="shared" si="393"/>
        <v/>
      </c>
      <c r="IB192" s="109" t="str">
        <f t="shared" si="319"/>
        <v/>
      </c>
      <c r="IC192" s="110" t="str">
        <f t="shared" si="394"/>
        <v/>
      </c>
      <c r="ID192" s="51"/>
      <c r="IE192" s="108" t="str">
        <f t="shared" si="320"/>
        <v/>
      </c>
      <c r="IF192" s="109" t="str">
        <f t="shared" si="395"/>
        <v/>
      </c>
      <c r="IG192" s="109" t="str">
        <f t="shared" si="321"/>
        <v/>
      </c>
      <c r="IH192" s="110" t="str">
        <f t="shared" si="420"/>
        <v/>
      </c>
      <c r="II192" s="51"/>
      <c r="IJ192" s="108" t="str">
        <f t="shared" si="396"/>
        <v/>
      </c>
      <c r="IK192" s="109" t="str">
        <f t="shared" si="397"/>
        <v/>
      </c>
      <c r="IL192" s="109" t="str">
        <f t="shared" si="322"/>
        <v/>
      </c>
      <c r="IM192" s="110" t="str">
        <f t="shared" si="398"/>
        <v/>
      </c>
      <c r="IN192" s="51"/>
      <c r="IO192" s="108" t="str">
        <f t="shared" si="323"/>
        <v/>
      </c>
      <c r="IP192" s="109" t="str">
        <f t="shared" si="399"/>
        <v/>
      </c>
      <c r="IQ192" s="109" t="str">
        <f t="shared" si="324"/>
        <v/>
      </c>
      <c r="IR192" s="110" t="str">
        <f t="shared" si="421"/>
        <v/>
      </c>
      <c r="IS192" s="51"/>
      <c r="IT192" s="108" t="str">
        <f t="shared" si="400"/>
        <v/>
      </c>
      <c r="IU192" s="109" t="str">
        <f t="shared" si="401"/>
        <v/>
      </c>
      <c r="IV192" s="109" t="str">
        <f t="shared" si="325"/>
        <v/>
      </c>
      <c r="IW192" s="110" t="str">
        <f t="shared" si="402"/>
        <v/>
      </c>
      <c r="IX192" s="51"/>
      <c r="IY192" s="108" t="str">
        <f t="shared" si="326"/>
        <v/>
      </c>
      <c r="IZ192" s="109" t="str">
        <f t="shared" si="403"/>
        <v/>
      </c>
      <c r="JA192" s="109" t="str">
        <f t="shared" si="327"/>
        <v/>
      </c>
      <c r="JB192" s="110" t="str">
        <f t="shared" si="422"/>
        <v/>
      </c>
      <c r="JC192" s="51"/>
      <c r="JD192" s="108" t="str">
        <f t="shared" si="404"/>
        <v/>
      </c>
      <c r="JE192" s="109" t="str">
        <f t="shared" si="405"/>
        <v/>
      </c>
      <c r="JF192" s="109" t="str">
        <f t="shared" si="328"/>
        <v/>
      </c>
      <c r="JG192" s="110" t="str">
        <f t="shared" si="406"/>
        <v/>
      </c>
      <c r="JH192" s="51"/>
      <c r="JI192" s="108" t="str">
        <f t="shared" si="329"/>
        <v/>
      </c>
      <c r="JJ192" s="109" t="str">
        <f t="shared" si="407"/>
        <v/>
      </c>
      <c r="JK192" s="109" t="str">
        <f t="shared" si="330"/>
        <v/>
      </c>
      <c r="JL192" s="110" t="str">
        <f t="shared" si="423"/>
        <v/>
      </c>
      <c r="JM192" s="51"/>
      <c r="JN192" s="108" t="str">
        <f t="shared" si="408"/>
        <v/>
      </c>
      <c r="JO192" s="109" t="str">
        <f t="shared" si="409"/>
        <v/>
      </c>
      <c r="JP192" s="109" t="str">
        <f t="shared" si="331"/>
        <v/>
      </c>
      <c r="JQ192" s="110" t="str">
        <f t="shared" si="410"/>
        <v/>
      </c>
      <c r="JR192" s="51"/>
      <c r="JS192" s="108" t="str">
        <f t="shared" si="332"/>
        <v/>
      </c>
      <c r="JT192" s="109" t="str">
        <f t="shared" si="411"/>
        <v/>
      </c>
      <c r="JU192" s="109" t="str">
        <f t="shared" si="333"/>
        <v/>
      </c>
      <c r="JV192" s="110" t="str">
        <f t="shared" si="424"/>
        <v/>
      </c>
      <c r="JW192" s="51"/>
      <c r="JX192" s="108" t="str">
        <f t="shared" si="412"/>
        <v/>
      </c>
      <c r="JY192" s="109" t="str">
        <f t="shared" si="413"/>
        <v/>
      </c>
      <c r="JZ192" s="109" t="str">
        <f t="shared" si="334"/>
        <v/>
      </c>
      <c r="KA192" s="110" t="str">
        <f t="shared" si="335"/>
        <v/>
      </c>
    </row>
    <row r="193" spans="1:287" ht="12" customHeight="1">
      <c r="A193" s="105">
        <f t="array" ref="A193">MAX(IF($J$80:J192&gt;0,$C$80:C192,0))</f>
        <v>43536</v>
      </c>
      <c r="B193" s="81" t="str">
        <f t="shared" si="248"/>
        <v/>
      </c>
      <c r="C193" s="82">
        <f t="shared" si="414"/>
        <v>0</v>
      </c>
      <c r="D193" s="83" t="str">
        <f t="shared" si="249"/>
        <v/>
      </c>
      <c r="E193" s="83" t="str">
        <f t="shared" si="336"/>
        <v/>
      </c>
      <c r="F193" s="83" t="str">
        <f t="shared" si="250"/>
        <v/>
      </c>
      <c r="G193" s="83" t="str">
        <f t="shared" si="251"/>
        <v/>
      </c>
      <c r="H193" s="83" t="str">
        <f t="shared" si="252"/>
        <v/>
      </c>
      <c r="I193" s="105">
        <f t="array" ref="I193">MAX(IF($R$80:R192&gt;0,$L$80:L192,0))</f>
        <v>0</v>
      </c>
      <c r="J193" s="106"/>
      <c r="K193" s="2" t="str">
        <f t="shared" si="253"/>
        <v/>
      </c>
      <c r="L193" s="82">
        <f t="shared" si="415"/>
        <v>0</v>
      </c>
      <c r="M193" s="83" t="str">
        <f t="shared" si="337"/>
        <v/>
      </c>
      <c r="N193" s="83" t="str">
        <f t="shared" si="254"/>
        <v/>
      </c>
      <c r="O193" s="83" t="str">
        <f t="shared" si="255"/>
        <v/>
      </c>
      <c r="P193" s="83" t="str">
        <f t="shared" si="256"/>
        <v/>
      </c>
      <c r="Q193" s="83" t="str">
        <f t="shared" si="257"/>
        <v/>
      </c>
      <c r="R193" s="106"/>
      <c r="S193" s="1"/>
      <c r="U193" s="85" t="e">
        <f t="shared" si="244"/>
        <v>#NUM!</v>
      </c>
      <c r="V193" s="86" t="e">
        <f t="shared" si="338"/>
        <v>#NUM!</v>
      </c>
      <c r="W193" s="87" t="e">
        <f t="shared" si="258"/>
        <v>#NUM!</v>
      </c>
      <c r="X193" s="87" t="e">
        <f t="shared" si="259"/>
        <v>#NUM!</v>
      </c>
      <c r="Y193" s="87" t="e">
        <f t="shared" si="260"/>
        <v>#NUM!</v>
      </c>
      <c r="Z193" s="88" t="e">
        <f t="shared" si="245"/>
        <v>#NUM!</v>
      </c>
      <c r="AA193" t="s">
        <v>282</v>
      </c>
      <c r="AB193" s="89">
        <f t="shared" si="339"/>
        <v>0</v>
      </c>
      <c r="AC193" s="87">
        <f t="shared" si="340"/>
        <v>0</v>
      </c>
      <c r="AD193" s="87" t="str">
        <f t="shared" si="261"/>
        <v/>
      </c>
      <c r="AE193" s="87" t="str">
        <f t="shared" si="262"/>
        <v/>
      </c>
      <c r="AF193" s="86">
        <f t="shared" si="341"/>
        <v>0</v>
      </c>
      <c r="AG193" s="87">
        <f t="shared" si="246"/>
        <v>0</v>
      </c>
      <c r="AH193" s="87">
        <f t="shared" si="342"/>
        <v>0</v>
      </c>
      <c r="AI193" s="90"/>
      <c r="AJ193" s="87" t="e">
        <f t="shared" si="263"/>
        <v>#NUM!</v>
      </c>
      <c r="AK193" s="87" t="e">
        <f t="shared" si="343"/>
        <v>#NUM!</v>
      </c>
      <c r="AL193" s="87" t="e">
        <f t="shared" si="344"/>
        <v>#NUM!</v>
      </c>
      <c r="AM193" s="87" t="e">
        <f t="shared" si="345"/>
        <v>#NUM!</v>
      </c>
      <c r="AN193" s="86">
        <f t="shared" si="264"/>
        <v>0</v>
      </c>
      <c r="AO193" s="87">
        <f t="shared" si="265"/>
        <v>0</v>
      </c>
      <c r="AP193" s="88">
        <f t="shared" si="266"/>
        <v>0</v>
      </c>
      <c r="AR193" s="89">
        <f t="shared" si="267"/>
        <v>0</v>
      </c>
      <c r="AS193" s="87">
        <f t="shared" si="268"/>
        <v>0</v>
      </c>
      <c r="AT193" s="87" t="str">
        <f t="shared" si="269"/>
        <v/>
      </c>
      <c r="AU193" s="87" t="str">
        <f t="shared" si="270"/>
        <v/>
      </c>
      <c r="AV193" s="86">
        <f t="shared" si="346"/>
        <v>0</v>
      </c>
      <c r="AW193" s="87">
        <f t="shared" si="347"/>
        <v>0</v>
      </c>
      <c r="AX193" s="87">
        <f t="shared" si="348"/>
        <v>0</v>
      </c>
      <c r="AY193" s="93"/>
      <c r="AZ193" s="87">
        <f t="shared" si="425"/>
        <v>0</v>
      </c>
      <c r="BA193" s="87">
        <f t="shared" si="349"/>
        <v>0</v>
      </c>
      <c r="BB193" s="87">
        <f t="shared" si="350"/>
        <v>0</v>
      </c>
      <c r="BC193" s="87">
        <f t="shared" si="416"/>
        <v>0</v>
      </c>
      <c r="BD193" s="86" t="e">
        <f t="shared" si="271"/>
        <v>#NUM!</v>
      </c>
      <c r="BE193" s="87" t="e">
        <f t="shared" si="247"/>
        <v>#NUM!</v>
      </c>
      <c r="BF193" s="88">
        <f t="shared" si="351"/>
        <v>0</v>
      </c>
      <c r="BH193" s="87" t="e">
        <f t="shared" si="272"/>
        <v>#NUM!</v>
      </c>
      <c r="BK193" s="95">
        <v>42133</v>
      </c>
      <c r="BL193" s="96">
        <v>114</v>
      </c>
      <c r="CS193" s="108" t="str">
        <f t="shared" si="273"/>
        <v/>
      </c>
      <c r="CT193" s="109" t="str">
        <f t="shared" si="274"/>
        <v/>
      </c>
      <c r="CU193" s="109" t="str">
        <f t="shared" si="275"/>
        <v/>
      </c>
      <c r="CV193" s="110" t="str">
        <f t="shared" si="426"/>
        <v/>
      </c>
      <c r="CX193" s="108" t="str">
        <f t="shared" si="276"/>
        <v/>
      </c>
      <c r="CY193" s="109" t="str">
        <f t="shared" si="352"/>
        <v/>
      </c>
      <c r="CZ193" s="109" t="str">
        <f t="shared" si="277"/>
        <v/>
      </c>
      <c r="DA193" s="110" t="str">
        <f t="shared" si="427"/>
        <v/>
      </c>
      <c r="DC193" s="108" t="str">
        <f t="shared" si="353"/>
        <v/>
      </c>
      <c r="DD193" s="109" t="str">
        <f t="shared" si="354"/>
        <v/>
      </c>
      <c r="DE193" s="109" t="str">
        <f t="shared" si="278"/>
        <v/>
      </c>
      <c r="DF193" s="110" t="str">
        <f t="shared" si="428"/>
        <v/>
      </c>
      <c r="DH193" s="108" t="str">
        <f t="shared" si="279"/>
        <v/>
      </c>
      <c r="DI193" s="109" t="str">
        <f t="shared" si="280"/>
        <v/>
      </c>
      <c r="DJ193" s="109" t="str">
        <f t="shared" si="281"/>
        <v/>
      </c>
      <c r="DK193" s="110" t="str">
        <f t="shared" si="429"/>
        <v/>
      </c>
      <c r="DM193" s="108" t="str">
        <f t="shared" si="355"/>
        <v/>
      </c>
      <c r="DN193" s="109" t="str">
        <f t="shared" si="356"/>
        <v/>
      </c>
      <c r="DO193" s="109" t="str">
        <f t="shared" si="282"/>
        <v/>
      </c>
      <c r="DP193" s="110" t="str">
        <f t="shared" si="430"/>
        <v/>
      </c>
      <c r="DR193" s="108" t="str">
        <f t="shared" si="283"/>
        <v/>
      </c>
      <c r="DS193" s="109" t="str">
        <f t="shared" si="357"/>
        <v/>
      </c>
      <c r="DT193" s="109" t="str">
        <f t="shared" si="284"/>
        <v/>
      </c>
      <c r="DU193" s="110" t="str">
        <f t="shared" si="431"/>
        <v/>
      </c>
      <c r="DW193" s="108" t="str">
        <f t="shared" si="358"/>
        <v/>
      </c>
      <c r="DX193" s="109" t="str">
        <f t="shared" si="359"/>
        <v/>
      </c>
      <c r="DY193" s="109" t="str">
        <f t="shared" si="285"/>
        <v/>
      </c>
      <c r="DZ193" s="110" t="str">
        <f t="shared" si="432"/>
        <v/>
      </c>
      <c r="EB193" s="108" t="str">
        <f t="shared" si="286"/>
        <v/>
      </c>
      <c r="EC193" s="109" t="str">
        <f t="shared" si="360"/>
        <v/>
      </c>
      <c r="ED193" s="109" t="str">
        <f t="shared" si="287"/>
        <v/>
      </c>
      <c r="EE193" s="110" t="str">
        <f t="shared" si="433"/>
        <v/>
      </c>
      <c r="EG193" s="108" t="str">
        <f t="shared" si="361"/>
        <v/>
      </c>
      <c r="EH193" s="109" t="str">
        <f t="shared" si="362"/>
        <v/>
      </c>
      <c r="EI193" s="109" t="str">
        <f t="shared" si="288"/>
        <v/>
      </c>
      <c r="EJ193" s="110" t="str">
        <f t="shared" si="434"/>
        <v/>
      </c>
      <c r="EL193" s="108" t="str">
        <f t="shared" si="289"/>
        <v/>
      </c>
      <c r="EM193" s="109" t="str">
        <f t="shared" si="363"/>
        <v/>
      </c>
      <c r="EN193" s="109" t="str">
        <f t="shared" si="290"/>
        <v/>
      </c>
      <c r="EO193" s="110" t="str">
        <f t="shared" si="435"/>
        <v/>
      </c>
      <c r="EQ193" s="108" t="str">
        <f t="shared" si="364"/>
        <v/>
      </c>
      <c r="ER193" s="109" t="str">
        <f t="shared" si="365"/>
        <v/>
      </c>
      <c r="ES193" s="109" t="str">
        <f t="shared" si="291"/>
        <v/>
      </c>
      <c r="ET193" s="110" t="str">
        <f t="shared" si="436"/>
        <v/>
      </c>
      <c r="EV193" s="108" t="str">
        <f t="shared" si="292"/>
        <v/>
      </c>
      <c r="EW193" s="109" t="str">
        <f t="shared" si="366"/>
        <v/>
      </c>
      <c r="EX193" s="109" t="str">
        <f t="shared" si="293"/>
        <v/>
      </c>
      <c r="EY193" s="110" t="str">
        <f t="shared" si="437"/>
        <v/>
      </c>
      <c r="FA193" s="108" t="str">
        <f t="shared" si="367"/>
        <v/>
      </c>
      <c r="FB193" s="109" t="str">
        <f t="shared" si="368"/>
        <v/>
      </c>
      <c r="FC193" s="109" t="str">
        <f t="shared" si="294"/>
        <v/>
      </c>
      <c r="FD193" s="110" t="str">
        <f t="shared" si="438"/>
        <v/>
      </c>
      <c r="FF193" s="108" t="str">
        <f t="shared" si="295"/>
        <v/>
      </c>
      <c r="FG193" s="109" t="str">
        <f t="shared" si="369"/>
        <v/>
      </c>
      <c r="FH193" s="109" t="str">
        <f t="shared" si="296"/>
        <v/>
      </c>
      <c r="FI193" s="110" t="str">
        <f t="shared" si="439"/>
        <v/>
      </c>
      <c r="FK193" s="108" t="str">
        <f t="shared" si="370"/>
        <v/>
      </c>
      <c r="FL193" s="109" t="str">
        <f t="shared" si="371"/>
        <v/>
      </c>
      <c r="FM193" s="109" t="str">
        <f t="shared" si="297"/>
        <v/>
      </c>
      <c r="FN193" s="110" t="str">
        <f t="shared" si="440"/>
        <v/>
      </c>
      <c r="FP193" s="108" t="str">
        <f t="shared" si="298"/>
        <v/>
      </c>
      <c r="FQ193" s="109" t="str">
        <f t="shared" si="372"/>
        <v/>
      </c>
      <c r="FR193" s="109" t="str">
        <f t="shared" si="299"/>
        <v/>
      </c>
      <c r="FS193" s="110" t="str">
        <f t="shared" si="441"/>
        <v/>
      </c>
      <c r="FU193" s="108" t="str">
        <f t="shared" si="373"/>
        <v/>
      </c>
      <c r="FV193" s="109" t="str">
        <f t="shared" si="374"/>
        <v/>
      </c>
      <c r="FW193" s="109" t="str">
        <f t="shared" si="300"/>
        <v/>
      </c>
      <c r="FX193" s="110" t="str">
        <f t="shared" si="442"/>
        <v/>
      </c>
      <c r="FZ193" s="108" t="str">
        <f t="shared" si="301"/>
        <v/>
      </c>
      <c r="GA193" s="109" t="str">
        <f t="shared" si="375"/>
        <v/>
      </c>
      <c r="GB193" s="109" t="str">
        <f t="shared" si="302"/>
        <v/>
      </c>
      <c r="GC193" s="110" t="str">
        <f t="shared" si="443"/>
        <v/>
      </c>
      <c r="GE193" s="108" t="str">
        <f t="shared" si="376"/>
        <v/>
      </c>
      <c r="GF193" s="109" t="str">
        <f t="shared" si="377"/>
        <v/>
      </c>
      <c r="GG193" s="109" t="str">
        <f t="shared" si="378"/>
        <v/>
      </c>
      <c r="GH193" s="110" t="str">
        <f t="shared" si="444"/>
        <v/>
      </c>
      <c r="GL193" s="108" t="str">
        <f t="shared" si="303"/>
        <v/>
      </c>
      <c r="GM193" s="109" t="str">
        <f t="shared" si="304"/>
        <v/>
      </c>
      <c r="GN193" s="109" t="str">
        <f t="shared" si="305"/>
        <v/>
      </c>
      <c r="GO193" s="110" t="str">
        <f t="shared" si="306"/>
        <v/>
      </c>
      <c r="GP193" s="51"/>
      <c r="GQ193" s="108" t="str">
        <f t="shared" si="307"/>
        <v/>
      </c>
      <c r="GR193" s="109" t="str">
        <f t="shared" si="379"/>
        <v/>
      </c>
      <c r="GS193" s="109" t="str">
        <f t="shared" si="308"/>
        <v/>
      </c>
      <c r="GT193" s="110" t="str">
        <f t="shared" si="309"/>
        <v/>
      </c>
      <c r="GU193" s="51"/>
      <c r="GV193" s="108" t="str">
        <f t="shared" si="380"/>
        <v/>
      </c>
      <c r="GW193" s="109" t="str">
        <f t="shared" si="381"/>
        <v/>
      </c>
      <c r="GX193" s="109" t="str">
        <f t="shared" si="310"/>
        <v/>
      </c>
      <c r="GY193" s="110" t="str">
        <f t="shared" si="382"/>
        <v/>
      </c>
      <c r="GZ193" s="51"/>
      <c r="HA193" s="108" t="str">
        <f t="shared" si="311"/>
        <v/>
      </c>
      <c r="HB193" s="109" t="str">
        <f t="shared" si="383"/>
        <v/>
      </c>
      <c r="HC193" s="109" t="str">
        <f t="shared" si="312"/>
        <v/>
      </c>
      <c r="HD193" s="110" t="str">
        <f t="shared" si="417"/>
        <v/>
      </c>
      <c r="HE193" s="51"/>
      <c r="HF193" s="108" t="str">
        <f t="shared" si="384"/>
        <v/>
      </c>
      <c r="HG193" s="109" t="str">
        <f t="shared" si="385"/>
        <v/>
      </c>
      <c r="HH193" s="109" t="str">
        <f t="shared" si="313"/>
        <v/>
      </c>
      <c r="HI193" s="110" t="str">
        <f t="shared" si="386"/>
        <v/>
      </c>
      <c r="HJ193" s="51"/>
      <c r="HK193" s="108" t="str">
        <f t="shared" si="314"/>
        <v/>
      </c>
      <c r="HL193" s="109" t="str">
        <f t="shared" si="387"/>
        <v/>
      </c>
      <c r="HM193" s="109" t="str">
        <f t="shared" si="315"/>
        <v/>
      </c>
      <c r="HN193" s="110" t="str">
        <f t="shared" si="418"/>
        <v/>
      </c>
      <c r="HO193" s="51"/>
      <c r="HP193" s="108" t="str">
        <f t="shared" si="388"/>
        <v/>
      </c>
      <c r="HQ193" s="109" t="str">
        <f t="shared" si="389"/>
        <v/>
      </c>
      <c r="HR193" s="109" t="str">
        <f t="shared" si="316"/>
        <v/>
      </c>
      <c r="HS193" s="110" t="str">
        <f t="shared" si="390"/>
        <v/>
      </c>
      <c r="HT193" s="51"/>
      <c r="HU193" s="108" t="str">
        <f t="shared" si="317"/>
        <v/>
      </c>
      <c r="HV193" s="109" t="str">
        <f t="shared" si="391"/>
        <v/>
      </c>
      <c r="HW193" s="109" t="str">
        <f t="shared" si="318"/>
        <v/>
      </c>
      <c r="HX193" s="110" t="str">
        <f t="shared" si="419"/>
        <v/>
      </c>
      <c r="HY193" s="51"/>
      <c r="HZ193" s="108" t="str">
        <f t="shared" si="392"/>
        <v/>
      </c>
      <c r="IA193" s="109" t="str">
        <f t="shared" si="393"/>
        <v/>
      </c>
      <c r="IB193" s="109" t="str">
        <f t="shared" si="319"/>
        <v/>
      </c>
      <c r="IC193" s="110" t="str">
        <f t="shared" si="394"/>
        <v/>
      </c>
      <c r="ID193" s="51"/>
      <c r="IE193" s="108" t="str">
        <f t="shared" si="320"/>
        <v/>
      </c>
      <c r="IF193" s="109" t="str">
        <f t="shared" si="395"/>
        <v/>
      </c>
      <c r="IG193" s="109" t="str">
        <f t="shared" si="321"/>
        <v/>
      </c>
      <c r="IH193" s="110" t="str">
        <f t="shared" si="420"/>
        <v/>
      </c>
      <c r="II193" s="51"/>
      <c r="IJ193" s="108" t="str">
        <f t="shared" si="396"/>
        <v/>
      </c>
      <c r="IK193" s="109" t="str">
        <f t="shared" si="397"/>
        <v/>
      </c>
      <c r="IL193" s="109" t="str">
        <f t="shared" si="322"/>
        <v/>
      </c>
      <c r="IM193" s="110" t="str">
        <f t="shared" si="398"/>
        <v/>
      </c>
      <c r="IN193" s="51"/>
      <c r="IO193" s="108" t="str">
        <f t="shared" si="323"/>
        <v/>
      </c>
      <c r="IP193" s="109" t="str">
        <f t="shared" si="399"/>
        <v/>
      </c>
      <c r="IQ193" s="109" t="str">
        <f t="shared" si="324"/>
        <v/>
      </c>
      <c r="IR193" s="110" t="str">
        <f t="shared" si="421"/>
        <v/>
      </c>
      <c r="IS193" s="51"/>
      <c r="IT193" s="108" t="str">
        <f t="shared" si="400"/>
        <v/>
      </c>
      <c r="IU193" s="109" t="str">
        <f t="shared" si="401"/>
        <v/>
      </c>
      <c r="IV193" s="109" t="str">
        <f t="shared" si="325"/>
        <v/>
      </c>
      <c r="IW193" s="110" t="str">
        <f t="shared" si="402"/>
        <v/>
      </c>
      <c r="IX193" s="51"/>
      <c r="IY193" s="108" t="str">
        <f t="shared" si="326"/>
        <v/>
      </c>
      <c r="IZ193" s="109" t="str">
        <f t="shared" si="403"/>
        <v/>
      </c>
      <c r="JA193" s="109" t="str">
        <f t="shared" si="327"/>
        <v/>
      </c>
      <c r="JB193" s="110" t="str">
        <f t="shared" si="422"/>
        <v/>
      </c>
      <c r="JC193" s="51"/>
      <c r="JD193" s="108" t="str">
        <f t="shared" si="404"/>
        <v/>
      </c>
      <c r="JE193" s="109" t="str">
        <f t="shared" si="405"/>
        <v/>
      </c>
      <c r="JF193" s="109" t="str">
        <f t="shared" si="328"/>
        <v/>
      </c>
      <c r="JG193" s="110" t="str">
        <f t="shared" si="406"/>
        <v/>
      </c>
      <c r="JH193" s="51"/>
      <c r="JI193" s="108" t="str">
        <f t="shared" si="329"/>
        <v/>
      </c>
      <c r="JJ193" s="109" t="str">
        <f t="shared" si="407"/>
        <v/>
      </c>
      <c r="JK193" s="109" t="str">
        <f t="shared" si="330"/>
        <v/>
      </c>
      <c r="JL193" s="110" t="str">
        <f t="shared" si="423"/>
        <v/>
      </c>
      <c r="JM193" s="51"/>
      <c r="JN193" s="108" t="str">
        <f t="shared" si="408"/>
        <v/>
      </c>
      <c r="JO193" s="109" t="str">
        <f t="shared" si="409"/>
        <v/>
      </c>
      <c r="JP193" s="109" t="str">
        <f t="shared" si="331"/>
        <v/>
      </c>
      <c r="JQ193" s="110" t="str">
        <f t="shared" si="410"/>
        <v/>
      </c>
      <c r="JR193" s="51"/>
      <c r="JS193" s="108" t="str">
        <f t="shared" si="332"/>
        <v/>
      </c>
      <c r="JT193" s="109" t="str">
        <f t="shared" si="411"/>
        <v/>
      </c>
      <c r="JU193" s="109" t="str">
        <f t="shared" si="333"/>
        <v/>
      </c>
      <c r="JV193" s="110" t="str">
        <f t="shared" si="424"/>
        <v/>
      </c>
      <c r="JW193" s="51"/>
      <c r="JX193" s="108" t="str">
        <f t="shared" si="412"/>
        <v/>
      </c>
      <c r="JY193" s="109" t="str">
        <f t="shared" si="413"/>
        <v/>
      </c>
      <c r="JZ193" s="109" t="str">
        <f t="shared" si="334"/>
        <v/>
      </c>
      <c r="KA193" s="110" t="str">
        <f t="shared" si="335"/>
        <v/>
      </c>
    </row>
    <row r="194" spans="1:287" ht="12" customHeight="1">
      <c r="A194" s="105">
        <f t="array" ref="A194">MAX(IF($J$80:J193&gt;0,$C$80:C193,0))</f>
        <v>43536</v>
      </c>
      <c r="B194" s="81" t="str">
        <f t="shared" si="248"/>
        <v/>
      </c>
      <c r="C194" s="82">
        <f t="shared" si="414"/>
        <v>0</v>
      </c>
      <c r="D194" s="83" t="str">
        <f t="shared" si="249"/>
        <v/>
      </c>
      <c r="E194" s="83" t="str">
        <f t="shared" si="336"/>
        <v/>
      </c>
      <c r="F194" s="83" t="str">
        <f t="shared" si="250"/>
        <v/>
      </c>
      <c r="G194" s="83" t="str">
        <f t="shared" si="251"/>
        <v/>
      </c>
      <c r="H194" s="83" t="str">
        <f t="shared" si="252"/>
        <v/>
      </c>
      <c r="I194" s="105">
        <f t="array" ref="I194">MAX(IF($R$80:R193&gt;0,$L$80:L193,0))</f>
        <v>0</v>
      </c>
      <c r="J194" s="106"/>
      <c r="K194" s="2" t="str">
        <f t="shared" si="253"/>
        <v/>
      </c>
      <c r="L194" s="82">
        <f t="shared" si="415"/>
        <v>0</v>
      </c>
      <c r="M194" s="83" t="str">
        <f t="shared" si="337"/>
        <v/>
      </c>
      <c r="N194" s="83" t="str">
        <f t="shared" si="254"/>
        <v/>
      </c>
      <c r="O194" s="83" t="str">
        <f t="shared" si="255"/>
        <v/>
      </c>
      <c r="P194" s="83" t="str">
        <f t="shared" si="256"/>
        <v/>
      </c>
      <c r="Q194" s="83" t="str">
        <f t="shared" si="257"/>
        <v/>
      </c>
      <c r="R194" s="106"/>
      <c r="S194" s="1"/>
      <c r="U194" s="85" t="e">
        <f t="shared" si="244"/>
        <v>#NUM!</v>
      </c>
      <c r="V194" s="86" t="e">
        <f t="shared" si="338"/>
        <v>#NUM!</v>
      </c>
      <c r="W194" s="87" t="e">
        <f t="shared" si="258"/>
        <v>#NUM!</v>
      </c>
      <c r="X194" s="87" t="e">
        <f t="shared" si="259"/>
        <v>#NUM!</v>
      </c>
      <c r="Y194" s="87" t="e">
        <f t="shared" si="260"/>
        <v>#NUM!</v>
      </c>
      <c r="Z194" s="88" t="e">
        <f t="shared" si="245"/>
        <v>#NUM!</v>
      </c>
      <c r="AA194" t="s">
        <v>282</v>
      </c>
      <c r="AB194" s="89">
        <f t="shared" si="339"/>
        <v>0</v>
      </c>
      <c r="AC194" s="87">
        <f t="shared" si="340"/>
        <v>0</v>
      </c>
      <c r="AD194" s="87" t="str">
        <f t="shared" si="261"/>
        <v/>
      </c>
      <c r="AE194" s="87" t="str">
        <f t="shared" si="262"/>
        <v/>
      </c>
      <c r="AF194" s="86">
        <f t="shared" si="341"/>
        <v>0</v>
      </c>
      <c r="AG194" s="87">
        <f t="shared" si="246"/>
        <v>0</v>
      </c>
      <c r="AH194" s="87">
        <f t="shared" si="342"/>
        <v>0</v>
      </c>
      <c r="AI194" s="90"/>
      <c r="AJ194" s="87" t="e">
        <f t="shared" si="263"/>
        <v>#NUM!</v>
      </c>
      <c r="AK194" s="87" t="e">
        <f t="shared" si="343"/>
        <v>#NUM!</v>
      </c>
      <c r="AL194" s="87" t="e">
        <f t="shared" si="344"/>
        <v>#NUM!</v>
      </c>
      <c r="AM194" s="87" t="e">
        <f t="shared" si="345"/>
        <v>#NUM!</v>
      </c>
      <c r="AN194" s="86">
        <f t="shared" si="264"/>
        <v>0</v>
      </c>
      <c r="AO194" s="87">
        <f t="shared" si="265"/>
        <v>0</v>
      </c>
      <c r="AP194" s="88">
        <f t="shared" si="266"/>
        <v>0</v>
      </c>
      <c r="AR194" s="89">
        <f t="shared" si="267"/>
        <v>0</v>
      </c>
      <c r="AS194" s="87">
        <f t="shared" si="268"/>
        <v>0</v>
      </c>
      <c r="AT194" s="87" t="str">
        <f t="shared" si="269"/>
        <v/>
      </c>
      <c r="AU194" s="87" t="str">
        <f t="shared" si="270"/>
        <v/>
      </c>
      <c r="AV194" s="86">
        <f t="shared" si="346"/>
        <v>0</v>
      </c>
      <c r="AW194" s="87">
        <f t="shared" si="347"/>
        <v>0</v>
      </c>
      <c r="AX194" s="87">
        <f t="shared" si="348"/>
        <v>0</v>
      </c>
      <c r="AY194" s="93"/>
      <c r="AZ194" s="87">
        <f t="shared" si="425"/>
        <v>0</v>
      </c>
      <c r="BA194" s="87">
        <f t="shared" si="349"/>
        <v>0</v>
      </c>
      <c r="BB194" s="87">
        <f t="shared" si="350"/>
        <v>0</v>
      </c>
      <c r="BC194" s="87">
        <f t="shared" si="416"/>
        <v>0</v>
      </c>
      <c r="BD194" s="86" t="e">
        <f t="shared" si="271"/>
        <v>#NUM!</v>
      </c>
      <c r="BE194" s="87" t="e">
        <f t="shared" si="247"/>
        <v>#NUM!</v>
      </c>
      <c r="BF194" s="88">
        <f t="shared" si="351"/>
        <v>0</v>
      </c>
      <c r="BH194" s="87" t="e">
        <f t="shared" si="272"/>
        <v>#NUM!</v>
      </c>
      <c r="BK194" s="95">
        <v>42136</v>
      </c>
      <c r="BL194" s="96">
        <v>115</v>
      </c>
      <c r="CS194" s="108" t="str">
        <f t="shared" si="273"/>
        <v/>
      </c>
      <c r="CT194" s="109" t="str">
        <f t="shared" si="274"/>
        <v/>
      </c>
      <c r="CU194" s="109" t="str">
        <f t="shared" si="275"/>
        <v/>
      </c>
      <c r="CV194" s="110" t="str">
        <f t="shared" si="426"/>
        <v/>
      </c>
      <c r="CX194" s="108" t="str">
        <f t="shared" si="276"/>
        <v/>
      </c>
      <c r="CY194" s="109" t="str">
        <f t="shared" si="352"/>
        <v/>
      </c>
      <c r="CZ194" s="109" t="str">
        <f t="shared" si="277"/>
        <v/>
      </c>
      <c r="DA194" s="110" t="str">
        <f t="shared" si="427"/>
        <v/>
      </c>
      <c r="DC194" s="108" t="str">
        <f t="shared" si="353"/>
        <v/>
      </c>
      <c r="DD194" s="109" t="str">
        <f t="shared" si="354"/>
        <v/>
      </c>
      <c r="DE194" s="109" t="str">
        <f t="shared" si="278"/>
        <v/>
      </c>
      <c r="DF194" s="110" t="str">
        <f t="shared" si="428"/>
        <v/>
      </c>
      <c r="DH194" s="108" t="str">
        <f t="shared" si="279"/>
        <v/>
      </c>
      <c r="DI194" s="109" t="str">
        <f t="shared" si="280"/>
        <v/>
      </c>
      <c r="DJ194" s="109" t="str">
        <f t="shared" si="281"/>
        <v/>
      </c>
      <c r="DK194" s="110" t="str">
        <f t="shared" si="429"/>
        <v/>
      </c>
      <c r="DM194" s="108" t="str">
        <f t="shared" si="355"/>
        <v/>
      </c>
      <c r="DN194" s="109" t="str">
        <f t="shared" si="356"/>
        <v/>
      </c>
      <c r="DO194" s="109" t="str">
        <f t="shared" si="282"/>
        <v/>
      </c>
      <c r="DP194" s="110" t="str">
        <f t="shared" si="430"/>
        <v/>
      </c>
      <c r="DR194" s="108" t="str">
        <f t="shared" si="283"/>
        <v/>
      </c>
      <c r="DS194" s="109" t="str">
        <f t="shared" si="357"/>
        <v/>
      </c>
      <c r="DT194" s="109" t="str">
        <f t="shared" si="284"/>
        <v/>
      </c>
      <c r="DU194" s="110" t="str">
        <f t="shared" si="431"/>
        <v/>
      </c>
      <c r="DW194" s="108" t="str">
        <f t="shared" si="358"/>
        <v/>
      </c>
      <c r="DX194" s="109" t="str">
        <f t="shared" si="359"/>
        <v/>
      </c>
      <c r="DY194" s="109" t="str">
        <f t="shared" si="285"/>
        <v/>
      </c>
      <c r="DZ194" s="110" t="str">
        <f t="shared" si="432"/>
        <v/>
      </c>
      <c r="EB194" s="108" t="str">
        <f t="shared" si="286"/>
        <v/>
      </c>
      <c r="EC194" s="109" t="str">
        <f t="shared" si="360"/>
        <v/>
      </c>
      <c r="ED194" s="109" t="str">
        <f t="shared" si="287"/>
        <v/>
      </c>
      <c r="EE194" s="110" t="str">
        <f t="shared" si="433"/>
        <v/>
      </c>
      <c r="EG194" s="108" t="str">
        <f t="shared" si="361"/>
        <v/>
      </c>
      <c r="EH194" s="109" t="str">
        <f t="shared" si="362"/>
        <v/>
      </c>
      <c r="EI194" s="109" t="str">
        <f t="shared" si="288"/>
        <v/>
      </c>
      <c r="EJ194" s="110" t="str">
        <f t="shared" si="434"/>
        <v/>
      </c>
      <c r="EL194" s="108" t="str">
        <f t="shared" si="289"/>
        <v/>
      </c>
      <c r="EM194" s="109" t="str">
        <f t="shared" si="363"/>
        <v/>
      </c>
      <c r="EN194" s="109" t="str">
        <f t="shared" si="290"/>
        <v/>
      </c>
      <c r="EO194" s="110" t="str">
        <f t="shared" si="435"/>
        <v/>
      </c>
      <c r="EQ194" s="108" t="str">
        <f t="shared" si="364"/>
        <v/>
      </c>
      <c r="ER194" s="109" t="str">
        <f t="shared" si="365"/>
        <v/>
      </c>
      <c r="ES194" s="109" t="str">
        <f t="shared" si="291"/>
        <v/>
      </c>
      <c r="ET194" s="110" t="str">
        <f t="shared" si="436"/>
        <v/>
      </c>
      <c r="EV194" s="108" t="str">
        <f t="shared" si="292"/>
        <v/>
      </c>
      <c r="EW194" s="109" t="str">
        <f t="shared" si="366"/>
        <v/>
      </c>
      <c r="EX194" s="109" t="str">
        <f t="shared" si="293"/>
        <v/>
      </c>
      <c r="EY194" s="110" t="str">
        <f t="shared" si="437"/>
        <v/>
      </c>
      <c r="FA194" s="108" t="str">
        <f t="shared" si="367"/>
        <v/>
      </c>
      <c r="FB194" s="109" t="str">
        <f t="shared" si="368"/>
        <v/>
      </c>
      <c r="FC194" s="109" t="str">
        <f t="shared" si="294"/>
        <v/>
      </c>
      <c r="FD194" s="110" t="str">
        <f t="shared" si="438"/>
        <v/>
      </c>
      <c r="FF194" s="108" t="str">
        <f t="shared" si="295"/>
        <v/>
      </c>
      <c r="FG194" s="109" t="str">
        <f t="shared" si="369"/>
        <v/>
      </c>
      <c r="FH194" s="109" t="str">
        <f t="shared" si="296"/>
        <v/>
      </c>
      <c r="FI194" s="110" t="str">
        <f t="shared" si="439"/>
        <v/>
      </c>
      <c r="FK194" s="108" t="str">
        <f t="shared" si="370"/>
        <v/>
      </c>
      <c r="FL194" s="109" t="str">
        <f t="shared" si="371"/>
        <v/>
      </c>
      <c r="FM194" s="109" t="str">
        <f t="shared" si="297"/>
        <v/>
      </c>
      <c r="FN194" s="110" t="str">
        <f t="shared" si="440"/>
        <v/>
      </c>
      <c r="FP194" s="108" t="str">
        <f t="shared" si="298"/>
        <v/>
      </c>
      <c r="FQ194" s="109" t="str">
        <f t="shared" si="372"/>
        <v/>
      </c>
      <c r="FR194" s="109" t="str">
        <f t="shared" si="299"/>
        <v/>
      </c>
      <c r="FS194" s="110" t="str">
        <f t="shared" si="441"/>
        <v/>
      </c>
      <c r="FU194" s="108" t="str">
        <f t="shared" si="373"/>
        <v/>
      </c>
      <c r="FV194" s="109" t="str">
        <f t="shared" si="374"/>
        <v/>
      </c>
      <c r="FW194" s="109" t="str">
        <f t="shared" si="300"/>
        <v/>
      </c>
      <c r="FX194" s="110" t="str">
        <f t="shared" si="442"/>
        <v/>
      </c>
      <c r="FZ194" s="108" t="str">
        <f t="shared" si="301"/>
        <v/>
      </c>
      <c r="GA194" s="109" t="str">
        <f t="shared" si="375"/>
        <v/>
      </c>
      <c r="GB194" s="109" t="str">
        <f t="shared" si="302"/>
        <v/>
      </c>
      <c r="GC194" s="110" t="str">
        <f t="shared" si="443"/>
        <v/>
      </c>
      <c r="GE194" s="108" t="str">
        <f t="shared" si="376"/>
        <v/>
      </c>
      <c r="GF194" s="109" t="str">
        <f t="shared" si="377"/>
        <v/>
      </c>
      <c r="GG194" s="109" t="str">
        <f t="shared" si="378"/>
        <v/>
      </c>
      <c r="GH194" s="110" t="str">
        <f t="shared" si="444"/>
        <v/>
      </c>
      <c r="GL194" s="108" t="str">
        <f t="shared" si="303"/>
        <v/>
      </c>
      <c r="GM194" s="109" t="str">
        <f t="shared" si="304"/>
        <v/>
      </c>
      <c r="GN194" s="109" t="str">
        <f t="shared" si="305"/>
        <v/>
      </c>
      <c r="GO194" s="110" t="str">
        <f t="shared" si="306"/>
        <v/>
      </c>
      <c r="GP194" s="51"/>
      <c r="GQ194" s="108" t="str">
        <f t="shared" si="307"/>
        <v/>
      </c>
      <c r="GR194" s="109" t="str">
        <f t="shared" si="379"/>
        <v/>
      </c>
      <c r="GS194" s="109" t="str">
        <f t="shared" si="308"/>
        <v/>
      </c>
      <c r="GT194" s="110" t="str">
        <f t="shared" si="309"/>
        <v/>
      </c>
      <c r="GU194" s="51"/>
      <c r="GV194" s="108" t="str">
        <f t="shared" si="380"/>
        <v/>
      </c>
      <c r="GW194" s="109" t="str">
        <f t="shared" si="381"/>
        <v/>
      </c>
      <c r="GX194" s="109" t="str">
        <f t="shared" si="310"/>
        <v/>
      </c>
      <c r="GY194" s="110" t="str">
        <f t="shared" si="382"/>
        <v/>
      </c>
      <c r="GZ194" s="51"/>
      <c r="HA194" s="108" t="str">
        <f t="shared" si="311"/>
        <v/>
      </c>
      <c r="HB194" s="109" t="str">
        <f t="shared" si="383"/>
        <v/>
      </c>
      <c r="HC194" s="109" t="str">
        <f t="shared" si="312"/>
        <v/>
      </c>
      <c r="HD194" s="110" t="str">
        <f t="shared" si="417"/>
        <v/>
      </c>
      <c r="HE194" s="51"/>
      <c r="HF194" s="108" t="str">
        <f t="shared" si="384"/>
        <v/>
      </c>
      <c r="HG194" s="109" t="str">
        <f t="shared" si="385"/>
        <v/>
      </c>
      <c r="HH194" s="109" t="str">
        <f t="shared" si="313"/>
        <v/>
      </c>
      <c r="HI194" s="110" t="str">
        <f t="shared" si="386"/>
        <v/>
      </c>
      <c r="HJ194" s="51"/>
      <c r="HK194" s="108" t="str">
        <f t="shared" si="314"/>
        <v/>
      </c>
      <c r="HL194" s="109" t="str">
        <f t="shared" si="387"/>
        <v/>
      </c>
      <c r="HM194" s="109" t="str">
        <f t="shared" si="315"/>
        <v/>
      </c>
      <c r="HN194" s="110" t="str">
        <f t="shared" si="418"/>
        <v/>
      </c>
      <c r="HO194" s="51"/>
      <c r="HP194" s="108" t="str">
        <f t="shared" si="388"/>
        <v/>
      </c>
      <c r="HQ194" s="109" t="str">
        <f t="shared" si="389"/>
        <v/>
      </c>
      <c r="HR194" s="109" t="str">
        <f t="shared" si="316"/>
        <v/>
      </c>
      <c r="HS194" s="110" t="str">
        <f t="shared" si="390"/>
        <v/>
      </c>
      <c r="HT194" s="51"/>
      <c r="HU194" s="108" t="str">
        <f t="shared" si="317"/>
        <v/>
      </c>
      <c r="HV194" s="109" t="str">
        <f t="shared" si="391"/>
        <v/>
      </c>
      <c r="HW194" s="109" t="str">
        <f t="shared" si="318"/>
        <v/>
      </c>
      <c r="HX194" s="110" t="str">
        <f t="shared" si="419"/>
        <v/>
      </c>
      <c r="HY194" s="51"/>
      <c r="HZ194" s="108" t="str">
        <f t="shared" si="392"/>
        <v/>
      </c>
      <c r="IA194" s="109" t="str">
        <f t="shared" si="393"/>
        <v/>
      </c>
      <c r="IB194" s="109" t="str">
        <f t="shared" si="319"/>
        <v/>
      </c>
      <c r="IC194" s="110" t="str">
        <f t="shared" si="394"/>
        <v/>
      </c>
      <c r="ID194" s="51"/>
      <c r="IE194" s="108" t="str">
        <f t="shared" si="320"/>
        <v/>
      </c>
      <c r="IF194" s="109" t="str">
        <f t="shared" si="395"/>
        <v/>
      </c>
      <c r="IG194" s="109" t="str">
        <f t="shared" si="321"/>
        <v/>
      </c>
      <c r="IH194" s="110" t="str">
        <f t="shared" si="420"/>
        <v/>
      </c>
      <c r="II194" s="51"/>
      <c r="IJ194" s="108" t="str">
        <f t="shared" si="396"/>
        <v/>
      </c>
      <c r="IK194" s="109" t="str">
        <f t="shared" si="397"/>
        <v/>
      </c>
      <c r="IL194" s="109" t="str">
        <f t="shared" si="322"/>
        <v/>
      </c>
      <c r="IM194" s="110" t="str">
        <f t="shared" si="398"/>
        <v/>
      </c>
      <c r="IN194" s="51"/>
      <c r="IO194" s="108" t="str">
        <f t="shared" si="323"/>
        <v/>
      </c>
      <c r="IP194" s="109" t="str">
        <f t="shared" si="399"/>
        <v/>
      </c>
      <c r="IQ194" s="109" t="str">
        <f t="shared" si="324"/>
        <v/>
      </c>
      <c r="IR194" s="110" t="str">
        <f t="shared" si="421"/>
        <v/>
      </c>
      <c r="IS194" s="51"/>
      <c r="IT194" s="108" t="str">
        <f t="shared" si="400"/>
        <v/>
      </c>
      <c r="IU194" s="109" t="str">
        <f t="shared" si="401"/>
        <v/>
      </c>
      <c r="IV194" s="109" t="str">
        <f t="shared" si="325"/>
        <v/>
      </c>
      <c r="IW194" s="110" t="str">
        <f t="shared" si="402"/>
        <v/>
      </c>
      <c r="IX194" s="51"/>
      <c r="IY194" s="108" t="str">
        <f t="shared" si="326"/>
        <v/>
      </c>
      <c r="IZ194" s="109" t="str">
        <f t="shared" si="403"/>
        <v/>
      </c>
      <c r="JA194" s="109" t="str">
        <f t="shared" si="327"/>
        <v/>
      </c>
      <c r="JB194" s="110" t="str">
        <f t="shared" si="422"/>
        <v/>
      </c>
      <c r="JC194" s="51"/>
      <c r="JD194" s="108" t="str">
        <f t="shared" si="404"/>
        <v/>
      </c>
      <c r="JE194" s="109" t="str">
        <f t="shared" si="405"/>
        <v/>
      </c>
      <c r="JF194" s="109" t="str">
        <f t="shared" si="328"/>
        <v/>
      </c>
      <c r="JG194" s="110" t="str">
        <f t="shared" si="406"/>
        <v/>
      </c>
      <c r="JH194" s="51"/>
      <c r="JI194" s="108" t="str">
        <f t="shared" si="329"/>
        <v/>
      </c>
      <c r="JJ194" s="109" t="str">
        <f t="shared" si="407"/>
        <v/>
      </c>
      <c r="JK194" s="109" t="str">
        <f t="shared" si="330"/>
        <v/>
      </c>
      <c r="JL194" s="110" t="str">
        <f t="shared" si="423"/>
        <v/>
      </c>
      <c r="JM194" s="51"/>
      <c r="JN194" s="108" t="str">
        <f t="shared" si="408"/>
        <v/>
      </c>
      <c r="JO194" s="109" t="str">
        <f t="shared" si="409"/>
        <v/>
      </c>
      <c r="JP194" s="109" t="str">
        <f t="shared" si="331"/>
        <v/>
      </c>
      <c r="JQ194" s="110" t="str">
        <f t="shared" si="410"/>
        <v/>
      </c>
      <c r="JR194" s="51"/>
      <c r="JS194" s="108" t="str">
        <f t="shared" si="332"/>
        <v/>
      </c>
      <c r="JT194" s="109" t="str">
        <f t="shared" si="411"/>
        <v/>
      </c>
      <c r="JU194" s="109" t="str">
        <f t="shared" si="333"/>
        <v/>
      </c>
      <c r="JV194" s="110" t="str">
        <f t="shared" si="424"/>
        <v/>
      </c>
      <c r="JW194" s="51"/>
      <c r="JX194" s="108" t="str">
        <f t="shared" si="412"/>
        <v/>
      </c>
      <c r="JY194" s="109" t="str">
        <f t="shared" si="413"/>
        <v/>
      </c>
      <c r="JZ194" s="109" t="str">
        <f t="shared" si="334"/>
        <v/>
      </c>
      <c r="KA194" s="110" t="str">
        <f t="shared" si="335"/>
        <v/>
      </c>
    </row>
    <row r="195" spans="1:287" ht="12" customHeight="1">
      <c r="A195" s="105">
        <f t="array" ref="A195">MAX(IF($J$80:J194&gt;0,$C$80:C194,0))</f>
        <v>43536</v>
      </c>
      <c r="B195" s="81" t="str">
        <f t="shared" si="248"/>
        <v/>
      </c>
      <c r="C195" s="82">
        <f t="shared" si="414"/>
        <v>0</v>
      </c>
      <c r="D195" s="83" t="str">
        <f t="shared" si="249"/>
        <v/>
      </c>
      <c r="E195" s="83" t="str">
        <f t="shared" si="336"/>
        <v/>
      </c>
      <c r="F195" s="83" t="str">
        <f t="shared" si="250"/>
        <v/>
      </c>
      <c r="G195" s="83" t="str">
        <f t="shared" si="251"/>
        <v/>
      </c>
      <c r="H195" s="83" t="str">
        <f t="shared" si="252"/>
        <v/>
      </c>
      <c r="I195" s="105">
        <f t="array" ref="I195">MAX(IF($R$80:R194&gt;0,$L$80:L194,0))</f>
        <v>0</v>
      </c>
      <c r="J195" s="106"/>
      <c r="K195" s="2" t="str">
        <f t="shared" si="253"/>
        <v/>
      </c>
      <c r="L195" s="82">
        <f t="shared" si="415"/>
        <v>0</v>
      </c>
      <c r="M195" s="83" t="str">
        <f t="shared" si="337"/>
        <v/>
      </c>
      <c r="N195" s="83" t="str">
        <f t="shared" si="254"/>
        <v/>
      </c>
      <c r="O195" s="83" t="str">
        <f t="shared" si="255"/>
        <v/>
      </c>
      <c r="P195" s="83" t="str">
        <f t="shared" si="256"/>
        <v/>
      </c>
      <c r="Q195" s="83" t="str">
        <f t="shared" si="257"/>
        <v/>
      </c>
      <c r="R195" s="106"/>
      <c r="S195" s="1"/>
      <c r="U195" s="85" t="e">
        <f t="shared" si="244"/>
        <v>#NUM!</v>
      </c>
      <c r="V195" s="86" t="e">
        <f t="shared" si="338"/>
        <v>#NUM!</v>
      </c>
      <c r="W195" s="87" t="e">
        <f t="shared" si="258"/>
        <v>#NUM!</v>
      </c>
      <c r="X195" s="87" t="e">
        <f t="shared" si="259"/>
        <v>#NUM!</v>
      </c>
      <c r="Y195" s="87" t="e">
        <f t="shared" si="260"/>
        <v>#NUM!</v>
      </c>
      <c r="Z195" s="88" t="e">
        <f t="shared" si="245"/>
        <v>#NUM!</v>
      </c>
      <c r="AA195" t="s">
        <v>282</v>
      </c>
      <c r="AB195" s="89">
        <f t="shared" si="339"/>
        <v>0</v>
      </c>
      <c r="AC195" s="87">
        <f t="shared" si="340"/>
        <v>0</v>
      </c>
      <c r="AD195" s="87" t="str">
        <f t="shared" si="261"/>
        <v/>
      </c>
      <c r="AE195" s="87" t="str">
        <f t="shared" si="262"/>
        <v/>
      </c>
      <c r="AF195" s="86">
        <f t="shared" si="341"/>
        <v>0</v>
      </c>
      <c r="AG195" s="87">
        <f t="shared" si="246"/>
        <v>0</v>
      </c>
      <c r="AH195" s="87">
        <f t="shared" si="342"/>
        <v>0</v>
      </c>
      <c r="AI195" s="90"/>
      <c r="AJ195" s="87" t="e">
        <f t="shared" si="263"/>
        <v>#NUM!</v>
      </c>
      <c r="AK195" s="87" t="e">
        <f t="shared" si="343"/>
        <v>#NUM!</v>
      </c>
      <c r="AL195" s="87" t="e">
        <f t="shared" si="344"/>
        <v>#NUM!</v>
      </c>
      <c r="AM195" s="87" t="e">
        <f t="shared" si="345"/>
        <v>#NUM!</v>
      </c>
      <c r="AN195" s="86">
        <f t="shared" si="264"/>
        <v>0</v>
      </c>
      <c r="AO195" s="87">
        <f t="shared" si="265"/>
        <v>0</v>
      </c>
      <c r="AP195" s="88">
        <f t="shared" si="266"/>
        <v>0</v>
      </c>
      <c r="AR195" s="89">
        <f t="shared" si="267"/>
        <v>0</v>
      </c>
      <c r="AS195" s="87">
        <f t="shared" si="268"/>
        <v>0</v>
      </c>
      <c r="AT195" s="87" t="str">
        <f t="shared" si="269"/>
        <v/>
      </c>
      <c r="AU195" s="87" t="str">
        <f t="shared" si="270"/>
        <v/>
      </c>
      <c r="AV195" s="86">
        <f t="shared" si="346"/>
        <v>0</v>
      </c>
      <c r="AW195" s="87">
        <f t="shared" si="347"/>
        <v>0</v>
      </c>
      <c r="AX195" s="87">
        <f t="shared" si="348"/>
        <v>0</v>
      </c>
      <c r="AY195" s="93"/>
      <c r="AZ195" s="87">
        <f t="shared" si="425"/>
        <v>0</v>
      </c>
      <c r="BA195" s="87">
        <f t="shared" si="349"/>
        <v>0</v>
      </c>
      <c r="BB195" s="87">
        <f t="shared" si="350"/>
        <v>0</v>
      </c>
      <c r="BC195" s="87">
        <f t="shared" si="416"/>
        <v>0</v>
      </c>
      <c r="BD195" s="86" t="e">
        <f t="shared" si="271"/>
        <v>#NUM!</v>
      </c>
      <c r="BE195" s="87" t="e">
        <f t="shared" si="247"/>
        <v>#NUM!</v>
      </c>
      <c r="BF195" s="88">
        <f t="shared" si="351"/>
        <v>0</v>
      </c>
      <c r="BH195" s="87" t="e">
        <f t="shared" si="272"/>
        <v>#NUM!</v>
      </c>
      <c r="BK195" s="95">
        <v>42150</v>
      </c>
      <c r="BL195" s="96">
        <v>116</v>
      </c>
      <c r="CS195" s="108" t="str">
        <f t="shared" si="273"/>
        <v/>
      </c>
      <c r="CT195" s="109" t="str">
        <f t="shared" si="274"/>
        <v/>
      </c>
      <c r="CU195" s="109" t="str">
        <f t="shared" si="275"/>
        <v/>
      </c>
      <c r="CV195" s="110" t="str">
        <f t="shared" si="426"/>
        <v/>
      </c>
      <c r="CX195" s="108" t="str">
        <f t="shared" si="276"/>
        <v/>
      </c>
      <c r="CY195" s="109" t="str">
        <f t="shared" si="352"/>
        <v/>
      </c>
      <c r="CZ195" s="109" t="str">
        <f t="shared" si="277"/>
        <v/>
      </c>
      <c r="DA195" s="110" t="str">
        <f t="shared" si="427"/>
        <v/>
      </c>
      <c r="DC195" s="108" t="str">
        <f t="shared" si="353"/>
        <v/>
      </c>
      <c r="DD195" s="109" t="str">
        <f t="shared" si="354"/>
        <v/>
      </c>
      <c r="DE195" s="109" t="str">
        <f t="shared" si="278"/>
        <v/>
      </c>
      <c r="DF195" s="110" t="str">
        <f t="shared" si="428"/>
        <v/>
      </c>
      <c r="DH195" s="108" t="str">
        <f t="shared" si="279"/>
        <v/>
      </c>
      <c r="DI195" s="109" t="str">
        <f t="shared" si="280"/>
        <v/>
      </c>
      <c r="DJ195" s="109" t="str">
        <f t="shared" si="281"/>
        <v/>
      </c>
      <c r="DK195" s="110" t="str">
        <f t="shared" si="429"/>
        <v/>
      </c>
      <c r="DM195" s="108" t="str">
        <f t="shared" si="355"/>
        <v/>
      </c>
      <c r="DN195" s="109" t="str">
        <f t="shared" si="356"/>
        <v/>
      </c>
      <c r="DO195" s="109" t="str">
        <f t="shared" si="282"/>
        <v/>
      </c>
      <c r="DP195" s="110" t="str">
        <f t="shared" si="430"/>
        <v/>
      </c>
      <c r="DR195" s="108" t="str">
        <f t="shared" si="283"/>
        <v/>
      </c>
      <c r="DS195" s="109" t="str">
        <f t="shared" si="357"/>
        <v/>
      </c>
      <c r="DT195" s="109" t="str">
        <f t="shared" si="284"/>
        <v/>
      </c>
      <c r="DU195" s="110" t="str">
        <f t="shared" si="431"/>
        <v/>
      </c>
      <c r="DW195" s="108" t="str">
        <f t="shared" si="358"/>
        <v/>
      </c>
      <c r="DX195" s="109" t="str">
        <f t="shared" si="359"/>
        <v/>
      </c>
      <c r="DY195" s="109" t="str">
        <f t="shared" si="285"/>
        <v/>
      </c>
      <c r="DZ195" s="110" t="str">
        <f t="shared" si="432"/>
        <v/>
      </c>
      <c r="EB195" s="108" t="str">
        <f t="shared" si="286"/>
        <v/>
      </c>
      <c r="EC195" s="109" t="str">
        <f t="shared" si="360"/>
        <v/>
      </c>
      <c r="ED195" s="109" t="str">
        <f t="shared" si="287"/>
        <v/>
      </c>
      <c r="EE195" s="110" t="str">
        <f t="shared" si="433"/>
        <v/>
      </c>
      <c r="EG195" s="108" t="str">
        <f t="shared" si="361"/>
        <v/>
      </c>
      <c r="EH195" s="109" t="str">
        <f t="shared" si="362"/>
        <v/>
      </c>
      <c r="EI195" s="109" t="str">
        <f t="shared" si="288"/>
        <v/>
      </c>
      <c r="EJ195" s="110" t="str">
        <f t="shared" si="434"/>
        <v/>
      </c>
      <c r="EL195" s="108" t="str">
        <f t="shared" si="289"/>
        <v/>
      </c>
      <c r="EM195" s="109" t="str">
        <f t="shared" si="363"/>
        <v/>
      </c>
      <c r="EN195" s="109" t="str">
        <f t="shared" si="290"/>
        <v/>
      </c>
      <c r="EO195" s="110" t="str">
        <f t="shared" si="435"/>
        <v/>
      </c>
      <c r="EQ195" s="108" t="str">
        <f t="shared" si="364"/>
        <v/>
      </c>
      <c r="ER195" s="109" t="str">
        <f t="shared" si="365"/>
        <v/>
      </c>
      <c r="ES195" s="109" t="str">
        <f t="shared" si="291"/>
        <v/>
      </c>
      <c r="ET195" s="110" t="str">
        <f t="shared" si="436"/>
        <v/>
      </c>
      <c r="EV195" s="108" t="str">
        <f t="shared" si="292"/>
        <v/>
      </c>
      <c r="EW195" s="109" t="str">
        <f t="shared" si="366"/>
        <v/>
      </c>
      <c r="EX195" s="109" t="str">
        <f t="shared" si="293"/>
        <v/>
      </c>
      <c r="EY195" s="110" t="str">
        <f t="shared" si="437"/>
        <v/>
      </c>
      <c r="FA195" s="108" t="str">
        <f t="shared" si="367"/>
        <v/>
      </c>
      <c r="FB195" s="109" t="str">
        <f t="shared" si="368"/>
        <v/>
      </c>
      <c r="FC195" s="109" t="str">
        <f t="shared" si="294"/>
        <v/>
      </c>
      <c r="FD195" s="110" t="str">
        <f t="shared" si="438"/>
        <v/>
      </c>
      <c r="FF195" s="108" t="str">
        <f t="shared" si="295"/>
        <v/>
      </c>
      <c r="FG195" s="109" t="str">
        <f t="shared" si="369"/>
        <v/>
      </c>
      <c r="FH195" s="109" t="str">
        <f t="shared" si="296"/>
        <v/>
      </c>
      <c r="FI195" s="110" t="str">
        <f t="shared" si="439"/>
        <v/>
      </c>
      <c r="FK195" s="108" t="str">
        <f t="shared" si="370"/>
        <v/>
      </c>
      <c r="FL195" s="109" t="str">
        <f t="shared" si="371"/>
        <v/>
      </c>
      <c r="FM195" s="109" t="str">
        <f t="shared" si="297"/>
        <v/>
      </c>
      <c r="FN195" s="110" t="str">
        <f t="shared" si="440"/>
        <v/>
      </c>
      <c r="FP195" s="108" t="str">
        <f t="shared" si="298"/>
        <v/>
      </c>
      <c r="FQ195" s="109" t="str">
        <f t="shared" si="372"/>
        <v/>
      </c>
      <c r="FR195" s="109" t="str">
        <f t="shared" si="299"/>
        <v/>
      </c>
      <c r="FS195" s="110" t="str">
        <f t="shared" si="441"/>
        <v/>
      </c>
      <c r="FU195" s="108" t="str">
        <f t="shared" si="373"/>
        <v/>
      </c>
      <c r="FV195" s="109" t="str">
        <f t="shared" si="374"/>
        <v/>
      </c>
      <c r="FW195" s="109" t="str">
        <f t="shared" si="300"/>
        <v/>
      </c>
      <c r="FX195" s="110" t="str">
        <f t="shared" si="442"/>
        <v/>
      </c>
      <c r="FZ195" s="108" t="str">
        <f t="shared" si="301"/>
        <v/>
      </c>
      <c r="GA195" s="109" t="str">
        <f t="shared" si="375"/>
        <v/>
      </c>
      <c r="GB195" s="109" t="str">
        <f t="shared" si="302"/>
        <v/>
      </c>
      <c r="GC195" s="110" t="str">
        <f t="shared" si="443"/>
        <v/>
      </c>
      <c r="GE195" s="108" t="str">
        <f t="shared" si="376"/>
        <v/>
      </c>
      <c r="GF195" s="109" t="str">
        <f t="shared" si="377"/>
        <v/>
      </c>
      <c r="GG195" s="109" t="str">
        <f t="shared" si="378"/>
        <v/>
      </c>
      <c r="GH195" s="110" t="str">
        <f t="shared" si="444"/>
        <v/>
      </c>
      <c r="GL195" s="108" t="str">
        <f t="shared" si="303"/>
        <v/>
      </c>
      <c r="GM195" s="109" t="str">
        <f t="shared" si="304"/>
        <v/>
      </c>
      <c r="GN195" s="109" t="str">
        <f t="shared" si="305"/>
        <v/>
      </c>
      <c r="GO195" s="110" t="str">
        <f t="shared" si="306"/>
        <v/>
      </c>
      <c r="GP195" s="51"/>
      <c r="GQ195" s="108" t="str">
        <f t="shared" si="307"/>
        <v/>
      </c>
      <c r="GR195" s="109" t="str">
        <f t="shared" si="379"/>
        <v/>
      </c>
      <c r="GS195" s="109" t="str">
        <f t="shared" si="308"/>
        <v/>
      </c>
      <c r="GT195" s="110" t="str">
        <f t="shared" si="309"/>
        <v/>
      </c>
      <c r="GU195" s="51"/>
      <c r="GV195" s="108" t="str">
        <f t="shared" si="380"/>
        <v/>
      </c>
      <c r="GW195" s="109" t="str">
        <f t="shared" si="381"/>
        <v/>
      </c>
      <c r="GX195" s="109" t="str">
        <f t="shared" si="310"/>
        <v/>
      </c>
      <c r="GY195" s="110" t="str">
        <f t="shared" si="382"/>
        <v/>
      </c>
      <c r="GZ195" s="51"/>
      <c r="HA195" s="108" t="str">
        <f t="shared" si="311"/>
        <v/>
      </c>
      <c r="HB195" s="109" t="str">
        <f t="shared" si="383"/>
        <v/>
      </c>
      <c r="HC195" s="109" t="str">
        <f t="shared" si="312"/>
        <v/>
      </c>
      <c r="HD195" s="110" t="str">
        <f t="shared" si="417"/>
        <v/>
      </c>
      <c r="HE195" s="51"/>
      <c r="HF195" s="108" t="str">
        <f t="shared" si="384"/>
        <v/>
      </c>
      <c r="HG195" s="109" t="str">
        <f t="shared" si="385"/>
        <v/>
      </c>
      <c r="HH195" s="109" t="str">
        <f t="shared" si="313"/>
        <v/>
      </c>
      <c r="HI195" s="110" t="str">
        <f t="shared" si="386"/>
        <v/>
      </c>
      <c r="HJ195" s="51"/>
      <c r="HK195" s="108" t="str">
        <f t="shared" si="314"/>
        <v/>
      </c>
      <c r="HL195" s="109" t="str">
        <f t="shared" si="387"/>
        <v/>
      </c>
      <c r="HM195" s="109" t="str">
        <f t="shared" si="315"/>
        <v/>
      </c>
      <c r="HN195" s="110" t="str">
        <f t="shared" si="418"/>
        <v/>
      </c>
      <c r="HO195" s="51"/>
      <c r="HP195" s="108" t="str">
        <f t="shared" si="388"/>
        <v/>
      </c>
      <c r="HQ195" s="109" t="str">
        <f t="shared" si="389"/>
        <v/>
      </c>
      <c r="HR195" s="109" t="str">
        <f t="shared" si="316"/>
        <v/>
      </c>
      <c r="HS195" s="110" t="str">
        <f t="shared" si="390"/>
        <v/>
      </c>
      <c r="HT195" s="51"/>
      <c r="HU195" s="108" t="str">
        <f t="shared" si="317"/>
        <v/>
      </c>
      <c r="HV195" s="109" t="str">
        <f t="shared" si="391"/>
        <v/>
      </c>
      <c r="HW195" s="109" t="str">
        <f t="shared" si="318"/>
        <v/>
      </c>
      <c r="HX195" s="110" t="str">
        <f t="shared" si="419"/>
        <v/>
      </c>
      <c r="HY195" s="51"/>
      <c r="HZ195" s="108" t="str">
        <f t="shared" si="392"/>
        <v/>
      </c>
      <c r="IA195" s="109" t="str">
        <f t="shared" si="393"/>
        <v/>
      </c>
      <c r="IB195" s="109" t="str">
        <f t="shared" si="319"/>
        <v/>
      </c>
      <c r="IC195" s="110" t="str">
        <f t="shared" si="394"/>
        <v/>
      </c>
      <c r="ID195" s="51"/>
      <c r="IE195" s="108" t="str">
        <f t="shared" si="320"/>
        <v/>
      </c>
      <c r="IF195" s="109" t="str">
        <f t="shared" si="395"/>
        <v/>
      </c>
      <c r="IG195" s="109" t="str">
        <f t="shared" si="321"/>
        <v/>
      </c>
      <c r="IH195" s="110" t="str">
        <f t="shared" si="420"/>
        <v/>
      </c>
      <c r="II195" s="51"/>
      <c r="IJ195" s="108" t="str">
        <f t="shared" si="396"/>
        <v/>
      </c>
      <c r="IK195" s="109" t="str">
        <f t="shared" si="397"/>
        <v/>
      </c>
      <c r="IL195" s="109" t="str">
        <f t="shared" si="322"/>
        <v/>
      </c>
      <c r="IM195" s="110" t="str">
        <f t="shared" si="398"/>
        <v/>
      </c>
      <c r="IN195" s="51"/>
      <c r="IO195" s="108" t="str">
        <f t="shared" si="323"/>
        <v/>
      </c>
      <c r="IP195" s="109" t="str">
        <f t="shared" si="399"/>
        <v/>
      </c>
      <c r="IQ195" s="109" t="str">
        <f t="shared" si="324"/>
        <v/>
      </c>
      <c r="IR195" s="110" t="str">
        <f t="shared" si="421"/>
        <v/>
      </c>
      <c r="IS195" s="51"/>
      <c r="IT195" s="108" t="str">
        <f t="shared" si="400"/>
        <v/>
      </c>
      <c r="IU195" s="109" t="str">
        <f t="shared" si="401"/>
        <v/>
      </c>
      <c r="IV195" s="109" t="str">
        <f t="shared" si="325"/>
        <v/>
      </c>
      <c r="IW195" s="110" t="str">
        <f t="shared" si="402"/>
        <v/>
      </c>
      <c r="IX195" s="51"/>
      <c r="IY195" s="108" t="str">
        <f t="shared" si="326"/>
        <v/>
      </c>
      <c r="IZ195" s="109" t="str">
        <f t="shared" si="403"/>
        <v/>
      </c>
      <c r="JA195" s="109" t="str">
        <f t="shared" si="327"/>
        <v/>
      </c>
      <c r="JB195" s="110" t="str">
        <f t="shared" si="422"/>
        <v/>
      </c>
      <c r="JC195" s="51"/>
      <c r="JD195" s="108" t="str">
        <f t="shared" si="404"/>
        <v/>
      </c>
      <c r="JE195" s="109" t="str">
        <f t="shared" si="405"/>
        <v/>
      </c>
      <c r="JF195" s="109" t="str">
        <f t="shared" si="328"/>
        <v/>
      </c>
      <c r="JG195" s="110" t="str">
        <f t="shared" si="406"/>
        <v/>
      </c>
      <c r="JH195" s="51"/>
      <c r="JI195" s="108" t="str">
        <f t="shared" si="329"/>
        <v/>
      </c>
      <c r="JJ195" s="109" t="str">
        <f t="shared" si="407"/>
        <v/>
      </c>
      <c r="JK195" s="109" t="str">
        <f t="shared" si="330"/>
        <v/>
      </c>
      <c r="JL195" s="110" t="str">
        <f t="shared" si="423"/>
        <v/>
      </c>
      <c r="JM195" s="51"/>
      <c r="JN195" s="108" t="str">
        <f t="shared" si="408"/>
        <v/>
      </c>
      <c r="JO195" s="109" t="str">
        <f t="shared" si="409"/>
        <v/>
      </c>
      <c r="JP195" s="109" t="str">
        <f t="shared" si="331"/>
        <v/>
      </c>
      <c r="JQ195" s="110" t="str">
        <f t="shared" si="410"/>
        <v/>
      </c>
      <c r="JR195" s="51"/>
      <c r="JS195" s="108" t="str">
        <f t="shared" si="332"/>
        <v/>
      </c>
      <c r="JT195" s="109" t="str">
        <f t="shared" si="411"/>
        <v/>
      </c>
      <c r="JU195" s="109" t="str">
        <f t="shared" si="333"/>
        <v/>
      </c>
      <c r="JV195" s="110" t="str">
        <f t="shared" si="424"/>
        <v/>
      </c>
      <c r="JW195" s="51"/>
      <c r="JX195" s="108" t="str">
        <f t="shared" si="412"/>
        <v/>
      </c>
      <c r="JY195" s="109" t="str">
        <f t="shared" si="413"/>
        <v/>
      </c>
      <c r="JZ195" s="109" t="str">
        <f t="shared" si="334"/>
        <v/>
      </c>
      <c r="KA195" s="110" t="str">
        <f t="shared" si="335"/>
        <v/>
      </c>
    </row>
    <row r="196" spans="1:287" ht="12" customHeight="1">
      <c r="A196" s="105">
        <f t="array" ref="A196">MAX(IF($J$80:J195&gt;0,$C$80:C195,0))</f>
        <v>43536</v>
      </c>
      <c r="B196" s="81" t="str">
        <f t="shared" si="248"/>
        <v/>
      </c>
      <c r="C196" s="82">
        <f t="shared" si="414"/>
        <v>0</v>
      </c>
      <c r="D196" s="83" t="str">
        <f t="shared" si="249"/>
        <v/>
      </c>
      <c r="E196" s="83" t="str">
        <f t="shared" si="336"/>
        <v/>
      </c>
      <c r="F196" s="83" t="str">
        <f t="shared" si="250"/>
        <v/>
      </c>
      <c r="G196" s="83" t="str">
        <f t="shared" si="251"/>
        <v/>
      </c>
      <c r="H196" s="83" t="str">
        <f t="shared" si="252"/>
        <v/>
      </c>
      <c r="I196" s="105">
        <f t="array" ref="I196">MAX(IF($R$80:R195&gt;0,$L$80:L195,0))</f>
        <v>0</v>
      </c>
      <c r="J196" s="106"/>
      <c r="K196" s="2" t="str">
        <f t="shared" si="253"/>
        <v/>
      </c>
      <c r="L196" s="82">
        <f t="shared" si="415"/>
        <v>0</v>
      </c>
      <c r="M196" s="83" t="str">
        <f t="shared" si="337"/>
        <v/>
      </c>
      <c r="N196" s="83" t="str">
        <f t="shared" si="254"/>
        <v/>
      </c>
      <c r="O196" s="83" t="str">
        <f t="shared" si="255"/>
        <v/>
      </c>
      <c r="P196" s="83" t="str">
        <f t="shared" si="256"/>
        <v/>
      </c>
      <c r="Q196" s="83" t="str">
        <f t="shared" si="257"/>
        <v/>
      </c>
      <c r="R196" s="106"/>
      <c r="S196" s="1"/>
      <c r="U196" s="85" t="e">
        <f t="shared" si="244"/>
        <v>#NUM!</v>
      </c>
      <c r="V196" s="86" t="e">
        <f t="shared" si="338"/>
        <v>#NUM!</v>
      </c>
      <c r="W196" s="87" t="e">
        <f t="shared" si="258"/>
        <v>#NUM!</v>
      </c>
      <c r="X196" s="87" t="e">
        <f t="shared" si="259"/>
        <v>#NUM!</v>
      </c>
      <c r="Y196" s="87" t="e">
        <f t="shared" si="260"/>
        <v>#NUM!</v>
      </c>
      <c r="Z196" s="88" t="e">
        <f t="shared" si="245"/>
        <v>#NUM!</v>
      </c>
      <c r="AA196" t="s">
        <v>282</v>
      </c>
      <c r="AB196" s="89">
        <f t="shared" si="339"/>
        <v>0</v>
      </c>
      <c r="AC196" s="87">
        <f t="shared" si="340"/>
        <v>0</v>
      </c>
      <c r="AD196" s="87" t="str">
        <f t="shared" si="261"/>
        <v/>
      </c>
      <c r="AE196" s="87" t="str">
        <f t="shared" si="262"/>
        <v/>
      </c>
      <c r="AF196" s="86">
        <f t="shared" si="341"/>
        <v>0</v>
      </c>
      <c r="AG196" s="87">
        <f t="shared" si="246"/>
        <v>0</v>
      </c>
      <c r="AH196" s="87">
        <f t="shared" si="342"/>
        <v>0</v>
      </c>
      <c r="AI196" s="90"/>
      <c r="AJ196" s="87" t="e">
        <f t="shared" si="263"/>
        <v>#NUM!</v>
      </c>
      <c r="AK196" s="87" t="e">
        <f t="shared" si="343"/>
        <v>#NUM!</v>
      </c>
      <c r="AL196" s="87" t="e">
        <f t="shared" si="344"/>
        <v>#NUM!</v>
      </c>
      <c r="AM196" s="87" t="e">
        <f t="shared" si="345"/>
        <v>#NUM!</v>
      </c>
      <c r="AN196" s="86">
        <f t="shared" si="264"/>
        <v>0</v>
      </c>
      <c r="AO196" s="87">
        <f t="shared" si="265"/>
        <v>0</v>
      </c>
      <c r="AP196" s="88">
        <f t="shared" si="266"/>
        <v>0</v>
      </c>
      <c r="AR196" s="89">
        <f t="shared" si="267"/>
        <v>0</v>
      </c>
      <c r="AS196" s="87">
        <f t="shared" si="268"/>
        <v>0</v>
      </c>
      <c r="AT196" s="87" t="str">
        <f t="shared" si="269"/>
        <v/>
      </c>
      <c r="AU196" s="87" t="str">
        <f t="shared" si="270"/>
        <v/>
      </c>
      <c r="AV196" s="86">
        <f t="shared" si="346"/>
        <v>0</v>
      </c>
      <c r="AW196" s="87">
        <f t="shared" si="347"/>
        <v>0</v>
      </c>
      <c r="AX196" s="87">
        <f t="shared" si="348"/>
        <v>0</v>
      </c>
      <c r="AY196" s="93"/>
      <c r="AZ196" s="87">
        <f t="shared" si="425"/>
        <v>0</v>
      </c>
      <c r="BA196" s="87">
        <f t="shared" si="349"/>
        <v>0</v>
      </c>
      <c r="BB196" s="87">
        <f t="shared" si="350"/>
        <v>0</v>
      </c>
      <c r="BC196" s="87">
        <f t="shared" si="416"/>
        <v>0</v>
      </c>
      <c r="BD196" s="86" t="e">
        <f t="shared" si="271"/>
        <v>#NUM!</v>
      </c>
      <c r="BE196" s="87" t="e">
        <f t="shared" si="247"/>
        <v>#NUM!</v>
      </c>
      <c r="BF196" s="88">
        <f t="shared" si="351"/>
        <v>0</v>
      </c>
      <c r="BH196" s="87" t="e">
        <f t="shared" si="272"/>
        <v>#NUM!</v>
      </c>
      <c r="BK196" s="95">
        <v>42244</v>
      </c>
      <c r="BL196" s="96">
        <v>117</v>
      </c>
      <c r="CS196" s="108" t="str">
        <f t="shared" si="273"/>
        <v/>
      </c>
      <c r="CT196" s="109" t="str">
        <f t="shared" si="274"/>
        <v/>
      </c>
      <c r="CU196" s="109" t="str">
        <f t="shared" si="275"/>
        <v/>
      </c>
      <c r="CV196" s="110" t="str">
        <f t="shared" si="426"/>
        <v/>
      </c>
      <c r="CX196" s="108" t="str">
        <f t="shared" si="276"/>
        <v/>
      </c>
      <c r="CY196" s="109" t="str">
        <f t="shared" si="352"/>
        <v/>
      </c>
      <c r="CZ196" s="109" t="str">
        <f t="shared" si="277"/>
        <v/>
      </c>
      <c r="DA196" s="110" t="str">
        <f t="shared" si="427"/>
        <v/>
      </c>
      <c r="DC196" s="108" t="str">
        <f t="shared" si="353"/>
        <v/>
      </c>
      <c r="DD196" s="109" t="str">
        <f t="shared" si="354"/>
        <v/>
      </c>
      <c r="DE196" s="109" t="str">
        <f t="shared" si="278"/>
        <v/>
      </c>
      <c r="DF196" s="110" t="str">
        <f t="shared" si="428"/>
        <v/>
      </c>
      <c r="DH196" s="108" t="str">
        <f t="shared" si="279"/>
        <v/>
      </c>
      <c r="DI196" s="109" t="str">
        <f t="shared" si="280"/>
        <v/>
      </c>
      <c r="DJ196" s="109" t="str">
        <f t="shared" si="281"/>
        <v/>
      </c>
      <c r="DK196" s="110" t="str">
        <f t="shared" si="429"/>
        <v/>
      </c>
      <c r="DM196" s="108" t="str">
        <f t="shared" si="355"/>
        <v/>
      </c>
      <c r="DN196" s="109" t="str">
        <f t="shared" si="356"/>
        <v/>
      </c>
      <c r="DO196" s="109" t="str">
        <f t="shared" si="282"/>
        <v/>
      </c>
      <c r="DP196" s="110" t="str">
        <f t="shared" si="430"/>
        <v/>
      </c>
      <c r="DR196" s="108" t="str">
        <f t="shared" si="283"/>
        <v/>
      </c>
      <c r="DS196" s="109" t="str">
        <f t="shared" si="357"/>
        <v/>
      </c>
      <c r="DT196" s="109" t="str">
        <f t="shared" si="284"/>
        <v/>
      </c>
      <c r="DU196" s="110" t="str">
        <f t="shared" si="431"/>
        <v/>
      </c>
      <c r="DW196" s="108" t="str">
        <f t="shared" si="358"/>
        <v/>
      </c>
      <c r="DX196" s="109" t="str">
        <f t="shared" si="359"/>
        <v/>
      </c>
      <c r="DY196" s="109" t="str">
        <f t="shared" si="285"/>
        <v/>
      </c>
      <c r="DZ196" s="110" t="str">
        <f t="shared" si="432"/>
        <v/>
      </c>
      <c r="EB196" s="108" t="str">
        <f t="shared" si="286"/>
        <v/>
      </c>
      <c r="EC196" s="109" t="str">
        <f t="shared" si="360"/>
        <v/>
      </c>
      <c r="ED196" s="109" t="str">
        <f t="shared" si="287"/>
        <v/>
      </c>
      <c r="EE196" s="110" t="str">
        <f t="shared" si="433"/>
        <v/>
      </c>
      <c r="EG196" s="108" t="str">
        <f t="shared" si="361"/>
        <v/>
      </c>
      <c r="EH196" s="109" t="str">
        <f t="shared" si="362"/>
        <v/>
      </c>
      <c r="EI196" s="109" t="str">
        <f t="shared" si="288"/>
        <v/>
      </c>
      <c r="EJ196" s="110" t="str">
        <f t="shared" si="434"/>
        <v/>
      </c>
      <c r="EL196" s="108" t="str">
        <f t="shared" si="289"/>
        <v/>
      </c>
      <c r="EM196" s="109" t="str">
        <f t="shared" si="363"/>
        <v/>
      </c>
      <c r="EN196" s="109" t="str">
        <f t="shared" si="290"/>
        <v/>
      </c>
      <c r="EO196" s="110" t="str">
        <f t="shared" si="435"/>
        <v/>
      </c>
      <c r="EQ196" s="108" t="str">
        <f t="shared" si="364"/>
        <v/>
      </c>
      <c r="ER196" s="109" t="str">
        <f t="shared" si="365"/>
        <v/>
      </c>
      <c r="ES196" s="109" t="str">
        <f t="shared" si="291"/>
        <v/>
      </c>
      <c r="ET196" s="110" t="str">
        <f t="shared" si="436"/>
        <v/>
      </c>
      <c r="EV196" s="108" t="str">
        <f t="shared" si="292"/>
        <v/>
      </c>
      <c r="EW196" s="109" t="str">
        <f t="shared" si="366"/>
        <v/>
      </c>
      <c r="EX196" s="109" t="str">
        <f t="shared" si="293"/>
        <v/>
      </c>
      <c r="EY196" s="110" t="str">
        <f t="shared" si="437"/>
        <v/>
      </c>
      <c r="FA196" s="108" t="str">
        <f t="shared" si="367"/>
        <v/>
      </c>
      <c r="FB196" s="109" t="str">
        <f t="shared" si="368"/>
        <v/>
      </c>
      <c r="FC196" s="109" t="str">
        <f t="shared" si="294"/>
        <v/>
      </c>
      <c r="FD196" s="110" t="str">
        <f t="shared" si="438"/>
        <v/>
      </c>
      <c r="FF196" s="108" t="str">
        <f t="shared" si="295"/>
        <v/>
      </c>
      <c r="FG196" s="109" t="str">
        <f t="shared" si="369"/>
        <v/>
      </c>
      <c r="FH196" s="109" t="str">
        <f t="shared" si="296"/>
        <v/>
      </c>
      <c r="FI196" s="110" t="str">
        <f t="shared" si="439"/>
        <v/>
      </c>
      <c r="FK196" s="108" t="str">
        <f t="shared" si="370"/>
        <v/>
      </c>
      <c r="FL196" s="109" t="str">
        <f t="shared" si="371"/>
        <v/>
      </c>
      <c r="FM196" s="109" t="str">
        <f t="shared" si="297"/>
        <v/>
      </c>
      <c r="FN196" s="110" t="str">
        <f t="shared" si="440"/>
        <v/>
      </c>
      <c r="FP196" s="108" t="str">
        <f t="shared" si="298"/>
        <v/>
      </c>
      <c r="FQ196" s="109" t="str">
        <f t="shared" si="372"/>
        <v/>
      </c>
      <c r="FR196" s="109" t="str">
        <f t="shared" si="299"/>
        <v/>
      </c>
      <c r="FS196" s="110" t="str">
        <f t="shared" si="441"/>
        <v/>
      </c>
      <c r="FU196" s="108" t="str">
        <f t="shared" si="373"/>
        <v/>
      </c>
      <c r="FV196" s="109" t="str">
        <f t="shared" si="374"/>
        <v/>
      </c>
      <c r="FW196" s="109" t="str">
        <f t="shared" si="300"/>
        <v/>
      </c>
      <c r="FX196" s="110" t="str">
        <f t="shared" si="442"/>
        <v/>
      </c>
      <c r="FZ196" s="108" t="str">
        <f t="shared" si="301"/>
        <v/>
      </c>
      <c r="GA196" s="109" t="str">
        <f t="shared" si="375"/>
        <v/>
      </c>
      <c r="GB196" s="109" t="str">
        <f t="shared" si="302"/>
        <v/>
      </c>
      <c r="GC196" s="110" t="str">
        <f t="shared" si="443"/>
        <v/>
      </c>
      <c r="GE196" s="108" t="str">
        <f t="shared" si="376"/>
        <v/>
      </c>
      <c r="GF196" s="109" t="str">
        <f t="shared" si="377"/>
        <v/>
      </c>
      <c r="GG196" s="109" t="str">
        <f t="shared" si="378"/>
        <v/>
      </c>
      <c r="GH196" s="110" t="str">
        <f t="shared" si="444"/>
        <v/>
      </c>
      <c r="GL196" s="108" t="str">
        <f t="shared" si="303"/>
        <v/>
      </c>
      <c r="GM196" s="109" t="str">
        <f t="shared" si="304"/>
        <v/>
      </c>
      <c r="GN196" s="109" t="str">
        <f t="shared" si="305"/>
        <v/>
      </c>
      <c r="GO196" s="110" t="str">
        <f t="shared" si="306"/>
        <v/>
      </c>
      <c r="GP196" s="51"/>
      <c r="GQ196" s="108" t="str">
        <f t="shared" si="307"/>
        <v/>
      </c>
      <c r="GR196" s="109" t="str">
        <f t="shared" si="379"/>
        <v/>
      </c>
      <c r="GS196" s="109" t="str">
        <f t="shared" si="308"/>
        <v/>
      </c>
      <c r="GT196" s="110" t="str">
        <f t="shared" si="309"/>
        <v/>
      </c>
      <c r="GU196" s="51"/>
      <c r="GV196" s="108" t="str">
        <f t="shared" si="380"/>
        <v/>
      </c>
      <c r="GW196" s="109" t="str">
        <f t="shared" si="381"/>
        <v/>
      </c>
      <c r="GX196" s="109" t="str">
        <f t="shared" si="310"/>
        <v/>
      </c>
      <c r="GY196" s="110" t="str">
        <f t="shared" si="382"/>
        <v/>
      </c>
      <c r="GZ196" s="51"/>
      <c r="HA196" s="108" t="str">
        <f t="shared" si="311"/>
        <v/>
      </c>
      <c r="HB196" s="109" t="str">
        <f t="shared" si="383"/>
        <v/>
      </c>
      <c r="HC196" s="109" t="str">
        <f t="shared" si="312"/>
        <v/>
      </c>
      <c r="HD196" s="110" t="str">
        <f t="shared" si="417"/>
        <v/>
      </c>
      <c r="HE196" s="51"/>
      <c r="HF196" s="108" t="str">
        <f t="shared" si="384"/>
        <v/>
      </c>
      <c r="HG196" s="109" t="str">
        <f t="shared" si="385"/>
        <v/>
      </c>
      <c r="HH196" s="109" t="str">
        <f t="shared" si="313"/>
        <v/>
      </c>
      <c r="HI196" s="110" t="str">
        <f t="shared" si="386"/>
        <v/>
      </c>
      <c r="HJ196" s="51"/>
      <c r="HK196" s="108" t="str">
        <f t="shared" si="314"/>
        <v/>
      </c>
      <c r="HL196" s="109" t="str">
        <f t="shared" si="387"/>
        <v/>
      </c>
      <c r="HM196" s="109" t="str">
        <f t="shared" si="315"/>
        <v/>
      </c>
      <c r="HN196" s="110" t="str">
        <f t="shared" si="418"/>
        <v/>
      </c>
      <c r="HO196" s="51"/>
      <c r="HP196" s="108" t="str">
        <f t="shared" si="388"/>
        <v/>
      </c>
      <c r="HQ196" s="109" t="str">
        <f t="shared" si="389"/>
        <v/>
      </c>
      <c r="HR196" s="109" t="str">
        <f t="shared" si="316"/>
        <v/>
      </c>
      <c r="HS196" s="110" t="str">
        <f t="shared" si="390"/>
        <v/>
      </c>
      <c r="HT196" s="51"/>
      <c r="HU196" s="108" t="str">
        <f t="shared" si="317"/>
        <v/>
      </c>
      <c r="HV196" s="109" t="str">
        <f t="shared" si="391"/>
        <v/>
      </c>
      <c r="HW196" s="109" t="str">
        <f t="shared" si="318"/>
        <v/>
      </c>
      <c r="HX196" s="110" t="str">
        <f t="shared" si="419"/>
        <v/>
      </c>
      <c r="HY196" s="51"/>
      <c r="HZ196" s="108" t="str">
        <f t="shared" si="392"/>
        <v/>
      </c>
      <c r="IA196" s="109" t="str">
        <f t="shared" si="393"/>
        <v/>
      </c>
      <c r="IB196" s="109" t="str">
        <f t="shared" si="319"/>
        <v/>
      </c>
      <c r="IC196" s="110" t="str">
        <f t="shared" si="394"/>
        <v/>
      </c>
      <c r="ID196" s="51"/>
      <c r="IE196" s="108" t="str">
        <f t="shared" si="320"/>
        <v/>
      </c>
      <c r="IF196" s="109" t="str">
        <f t="shared" si="395"/>
        <v/>
      </c>
      <c r="IG196" s="109" t="str">
        <f t="shared" si="321"/>
        <v/>
      </c>
      <c r="IH196" s="110" t="str">
        <f t="shared" si="420"/>
        <v/>
      </c>
      <c r="II196" s="51"/>
      <c r="IJ196" s="108" t="str">
        <f t="shared" si="396"/>
        <v/>
      </c>
      <c r="IK196" s="109" t="str">
        <f t="shared" si="397"/>
        <v/>
      </c>
      <c r="IL196" s="109" t="str">
        <f t="shared" si="322"/>
        <v/>
      </c>
      <c r="IM196" s="110" t="str">
        <f t="shared" si="398"/>
        <v/>
      </c>
      <c r="IN196" s="51"/>
      <c r="IO196" s="108" t="str">
        <f t="shared" si="323"/>
        <v/>
      </c>
      <c r="IP196" s="109" t="str">
        <f t="shared" si="399"/>
        <v/>
      </c>
      <c r="IQ196" s="109" t="str">
        <f t="shared" si="324"/>
        <v/>
      </c>
      <c r="IR196" s="110" t="str">
        <f t="shared" si="421"/>
        <v/>
      </c>
      <c r="IS196" s="51"/>
      <c r="IT196" s="108" t="str">
        <f t="shared" si="400"/>
        <v/>
      </c>
      <c r="IU196" s="109" t="str">
        <f t="shared" si="401"/>
        <v/>
      </c>
      <c r="IV196" s="109" t="str">
        <f t="shared" si="325"/>
        <v/>
      </c>
      <c r="IW196" s="110" t="str">
        <f t="shared" si="402"/>
        <v/>
      </c>
      <c r="IX196" s="51"/>
      <c r="IY196" s="108" t="str">
        <f t="shared" si="326"/>
        <v/>
      </c>
      <c r="IZ196" s="109" t="str">
        <f t="shared" si="403"/>
        <v/>
      </c>
      <c r="JA196" s="109" t="str">
        <f t="shared" si="327"/>
        <v/>
      </c>
      <c r="JB196" s="110" t="str">
        <f t="shared" si="422"/>
        <v/>
      </c>
      <c r="JC196" s="51"/>
      <c r="JD196" s="108" t="str">
        <f t="shared" si="404"/>
        <v/>
      </c>
      <c r="JE196" s="109" t="str">
        <f t="shared" si="405"/>
        <v/>
      </c>
      <c r="JF196" s="109" t="str">
        <f t="shared" si="328"/>
        <v/>
      </c>
      <c r="JG196" s="110" t="str">
        <f t="shared" si="406"/>
        <v/>
      </c>
      <c r="JH196" s="51"/>
      <c r="JI196" s="108" t="str">
        <f t="shared" si="329"/>
        <v/>
      </c>
      <c r="JJ196" s="109" t="str">
        <f t="shared" si="407"/>
        <v/>
      </c>
      <c r="JK196" s="109" t="str">
        <f t="shared" si="330"/>
        <v/>
      </c>
      <c r="JL196" s="110" t="str">
        <f t="shared" si="423"/>
        <v/>
      </c>
      <c r="JM196" s="51"/>
      <c r="JN196" s="108" t="str">
        <f t="shared" si="408"/>
        <v/>
      </c>
      <c r="JO196" s="109" t="str">
        <f t="shared" si="409"/>
        <v/>
      </c>
      <c r="JP196" s="109" t="str">
        <f t="shared" si="331"/>
        <v/>
      </c>
      <c r="JQ196" s="110" t="str">
        <f t="shared" si="410"/>
        <v/>
      </c>
      <c r="JR196" s="51"/>
      <c r="JS196" s="108" t="str">
        <f t="shared" si="332"/>
        <v/>
      </c>
      <c r="JT196" s="109" t="str">
        <f t="shared" si="411"/>
        <v/>
      </c>
      <c r="JU196" s="109" t="str">
        <f t="shared" si="333"/>
        <v/>
      </c>
      <c r="JV196" s="110" t="str">
        <f t="shared" si="424"/>
        <v/>
      </c>
      <c r="JW196" s="51"/>
      <c r="JX196" s="108" t="str">
        <f t="shared" si="412"/>
        <v/>
      </c>
      <c r="JY196" s="109" t="str">
        <f t="shared" si="413"/>
        <v/>
      </c>
      <c r="JZ196" s="109" t="str">
        <f t="shared" si="334"/>
        <v/>
      </c>
      <c r="KA196" s="110" t="str">
        <f t="shared" si="335"/>
        <v/>
      </c>
    </row>
    <row r="197" spans="1:287" ht="12" customHeight="1">
      <c r="A197" s="105">
        <f t="array" ref="A197">MAX(IF($J$80:J196&gt;0,$C$80:C196,0))</f>
        <v>43536</v>
      </c>
      <c r="B197" s="81" t="str">
        <f t="shared" si="248"/>
        <v/>
      </c>
      <c r="C197" s="82">
        <f t="shared" si="414"/>
        <v>0</v>
      </c>
      <c r="D197" s="83" t="str">
        <f t="shared" si="249"/>
        <v/>
      </c>
      <c r="E197" s="83" t="str">
        <f t="shared" si="336"/>
        <v/>
      </c>
      <c r="F197" s="83" t="str">
        <f t="shared" si="250"/>
        <v/>
      </c>
      <c r="G197" s="83" t="str">
        <f t="shared" si="251"/>
        <v/>
      </c>
      <c r="H197" s="83" t="str">
        <f t="shared" si="252"/>
        <v/>
      </c>
      <c r="I197" s="105">
        <f t="array" ref="I197">MAX(IF($R$80:R196&gt;0,$L$80:L196,0))</f>
        <v>0</v>
      </c>
      <c r="J197" s="106"/>
      <c r="K197" s="2" t="str">
        <f t="shared" si="253"/>
        <v/>
      </c>
      <c r="L197" s="82">
        <f t="shared" si="415"/>
        <v>0</v>
      </c>
      <c r="M197" s="83" t="str">
        <f t="shared" si="337"/>
        <v/>
      </c>
      <c r="N197" s="83" t="str">
        <f t="shared" si="254"/>
        <v/>
      </c>
      <c r="O197" s="83" t="str">
        <f t="shared" si="255"/>
        <v/>
      </c>
      <c r="P197" s="83" t="str">
        <f t="shared" si="256"/>
        <v/>
      </c>
      <c r="Q197" s="83" t="str">
        <f t="shared" si="257"/>
        <v/>
      </c>
      <c r="R197" s="106"/>
      <c r="S197" s="1"/>
      <c r="U197" s="85" t="e">
        <f t="shared" si="244"/>
        <v>#NUM!</v>
      </c>
      <c r="V197" s="86" t="e">
        <f t="shared" si="338"/>
        <v>#NUM!</v>
      </c>
      <c r="W197" s="87" t="e">
        <f t="shared" si="258"/>
        <v>#NUM!</v>
      </c>
      <c r="X197" s="87" t="e">
        <f t="shared" si="259"/>
        <v>#NUM!</v>
      </c>
      <c r="Y197" s="87" t="e">
        <f t="shared" si="260"/>
        <v>#NUM!</v>
      </c>
      <c r="Z197" s="88" t="e">
        <f t="shared" si="245"/>
        <v>#NUM!</v>
      </c>
      <c r="AA197" t="s">
        <v>282</v>
      </c>
      <c r="AB197" s="89">
        <f t="shared" si="339"/>
        <v>0</v>
      </c>
      <c r="AC197" s="87">
        <f t="shared" si="340"/>
        <v>0</v>
      </c>
      <c r="AD197" s="87" t="str">
        <f t="shared" si="261"/>
        <v/>
      </c>
      <c r="AE197" s="87" t="str">
        <f t="shared" si="262"/>
        <v/>
      </c>
      <c r="AF197" s="86">
        <f t="shared" si="341"/>
        <v>0</v>
      </c>
      <c r="AG197" s="87">
        <f t="shared" si="246"/>
        <v>0</v>
      </c>
      <c r="AH197" s="87">
        <f t="shared" si="342"/>
        <v>0</v>
      </c>
      <c r="AI197" s="90"/>
      <c r="AJ197" s="87" t="e">
        <f t="shared" si="263"/>
        <v>#NUM!</v>
      </c>
      <c r="AK197" s="87" t="e">
        <f t="shared" si="343"/>
        <v>#NUM!</v>
      </c>
      <c r="AL197" s="87" t="e">
        <f t="shared" si="344"/>
        <v>#NUM!</v>
      </c>
      <c r="AM197" s="87" t="e">
        <f t="shared" si="345"/>
        <v>#NUM!</v>
      </c>
      <c r="AN197" s="86">
        <f t="shared" si="264"/>
        <v>0</v>
      </c>
      <c r="AO197" s="87">
        <f t="shared" si="265"/>
        <v>0</v>
      </c>
      <c r="AP197" s="88">
        <f t="shared" si="266"/>
        <v>0</v>
      </c>
      <c r="AR197" s="89">
        <f t="shared" si="267"/>
        <v>0</v>
      </c>
      <c r="AS197" s="87">
        <f t="shared" si="268"/>
        <v>0</v>
      </c>
      <c r="AT197" s="87" t="str">
        <f t="shared" si="269"/>
        <v/>
      </c>
      <c r="AU197" s="87" t="str">
        <f t="shared" si="270"/>
        <v/>
      </c>
      <c r="AV197" s="86">
        <f t="shared" si="346"/>
        <v>0</v>
      </c>
      <c r="AW197" s="87">
        <f t="shared" si="347"/>
        <v>0</v>
      </c>
      <c r="AX197" s="87">
        <f t="shared" si="348"/>
        <v>0</v>
      </c>
      <c r="AY197" s="93"/>
      <c r="AZ197" s="87">
        <f t="shared" si="425"/>
        <v>0</v>
      </c>
      <c r="BA197" s="87">
        <f t="shared" si="349"/>
        <v>0</v>
      </c>
      <c r="BB197" s="87">
        <f t="shared" si="350"/>
        <v>0</v>
      </c>
      <c r="BC197" s="87">
        <f t="shared" si="416"/>
        <v>0</v>
      </c>
      <c r="BD197" s="86" t="e">
        <f t="shared" si="271"/>
        <v>#NUM!</v>
      </c>
      <c r="BE197" s="87" t="e">
        <f t="shared" si="247"/>
        <v>#NUM!</v>
      </c>
      <c r="BF197" s="88">
        <f t="shared" si="351"/>
        <v>0</v>
      </c>
      <c r="BH197" s="87" t="e">
        <f t="shared" si="272"/>
        <v>#NUM!</v>
      </c>
      <c r="BK197" s="95">
        <v>42291</v>
      </c>
      <c r="BL197" s="96">
        <v>118</v>
      </c>
      <c r="CS197" s="108" t="str">
        <f t="shared" si="273"/>
        <v/>
      </c>
      <c r="CT197" s="109" t="str">
        <f t="shared" si="274"/>
        <v/>
      </c>
      <c r="CU197" s="109" t="str">
        <f t="shared" si="275"/>
        <v/>
      </c>
      <c r="CV197" s="110" t="str">
        <f t="shared" si="426"/>
        <v/>
      </c>
      <c r="CX197" s="108" t="str">
        <f t="shared" si="276"/>
        <v/>
      </c>
      <c r="CY197" s="109" t="str">
        <f t="shared" si="352"/>
        <v/>
      </c>
      <c r="CZ197" s="109" t="str">
        <f t="shared" si="277"/>
        <v/>
      </c>
      <c r="DA197" s="110" t="str">
        <f t="shared" si="427"/>
        <v/>
      </c>
      <c r="DC197" s="108" t="str">
        <f t="shared" si="353"/>
        <v/>
      </c>
      <c r="DD197" s="109" t="str">
        <f t="shared" si="354"/>
        <v/>
      </c>
      <c r="DE197" s="109" t="str">
        <f t="shared" si="278"/>
        <v/>
      </c>
      <c r="DF197" s="110" t="str">
        <f t="shared" si="428"/>
        <v/>
      </c>
      <c r="DH197" s="108" t="str">
        <f t="shared" si="279"/>
        <v/>
      </c>
      <c r="DI197" s="109" t="str">
        <f t="shared" si="280"/>
        <v/>
      </c>
      <c r="DJ197" s="109" t="str">
        <f t="shared" si="281"/>
        <v/>
      </c>
      <c r="DK197" s="110" t="str">
        <f t="shared" si="429"/>
        <v/>
      </c>
      <c r="DM197" s="108" t="str">
        <f t="shared" si="355"/>
        <v/>
      </c>
      <c r="DN197" s="109" t="str">
        <f t="shared" si="356"/>
        <v/>
      </c>
      <c r="DO197" s="109" t="str">
        <f t="shared" si="282"/>
        <v/>
      </c>
      <c r="DP197" s="110" t="str">
        <f t="shared" si="430"/>
        <v/>
      </c>
      <c r="DR197" s="108" t="str">
        <f t="shared" si="283"/>
        <v/>
      </c>
      <c r="DS197" s="109" t="str">
        <f t="shared" si="357"/>
        <v/>
      </c>
      <c r="DT197" s="109" t="str">
        <f t="shared" si="284"/>
        <v/>
      </c>
      <c r="DU197" s="110" t="str">
        <f t="shared" si="431"/>
        <v/>
      </c>
      <c r="DW197" s="108" t="str">
        <f t="shared" si="358"/>
        <v/>
      </c>
      <c r="DX197" s="109" t="str">
        <f t="shared" si="359"/>
        <v/>
      </c>
      <c r="DY197" s="109" t="str">
        <f t="shared" si="285"/>
        <v/>
      </c>
      <c r="DZ197" s="110" t="str">
        <f t="shared" si="432"/>
        <v/>
      </c>
      <c r="EB197" s="108" t="str">
        <f t="shared" si="286"/>
        <v/>
      </c>
      <c r="EC197" s="109" t="str">
        <f t="shared" si="360"/>
        <v/>
      </c>
      <c r="ED197" s="109" t="str">
        <f t="shared" si="287"/>
        <v/>
      </c>
      <c r="EE197" s="110" t="str">
        <f t="shared" si="433"/>
        <v/>
      </c>
      <c r="EG197" s="108" t="str">
        <f t="shared" si="361"/>
        <v/>
      </c>
      <c r="EH197" s="109" t="str">
        <f t="shared" si="362"/>
        <v/>
      </c>
      <c r="EI197" s="109" t="str">
        <f t="shared" si="288"/>
        <v/>
      </c>
      <c r="EJ197" s="110" t="str">
        <f t="shared" si="434"/>
        <v/>
      </c>
      <c r="EL197" s="108" t="str">
        <f t="shared" si="289"/>
        <v/>
      </c>
      <c r="EM197" s="109" t="str">
        <f t="shared" si="363"/>
        <v/>
      </c>
      <c r="EN197" s="109" t="str">
        <f t="shared" si="290"/>
        <v/>
      </c>
      <c r="EO197" s="110" t="str">
        <f t="shared" si="435"/>
        <v/>
      </c>
      <c r="EQ197" s="108" t="str">
        <f t="shared" si="364"/>
        <v/>
      </c>
      <c r="ER197" s="109" t="str">
        <f t="shared" si="365"/>
        <v/>
      </c>
      <c r="ES197" s="109" t="str">
        <f t="shared" si="291"/>
        <v/>
      </c>
      <c r="ET197" s="110" t="str">
        <f t="shared" si="436"/>
        <v/>
      </c>
      <c r="EV197" s="108" t="str">
        <f t="shared" si="292"/>
        <v/>
      </c>
      <c r="EW197" s="109" t="str">
        <f t="shared" si="366"/>
        <v/>
      </c>
      <c r="EX197" s="109" t="str">
        <f t="shared" si="293"/>
        <v/>
      </c>
      <c r="EY197" s="110" t="str">
        <f t="shared" si="437"/>
        <v/>
      </c>
      <c r="FA197" s="108" t="str">
        <f t="shared" si="367"/>
        <v/>
      </c>
      <c r="FB197" s="109" t="str">
        <f t="shared" si="368"/>
        <v/>
      </c>
      <c r="FC197" s="109" t="str">
        <f t="shared" si="294"/>
        <v/>
      </c>
      <c r="FD197" s="110" t="str">
        <f t="shared" si="438"/>
        <v/>
      </c>
      <c r="FF197" s="108" t="str">
        <f t="shared" si="295"/>
        <v/>
      </c>
      <c r="FG197" s="109" t="str">
        <f t="shared" si="369"/>
        <v/>
      </c>
      <c r="FH197" s="109" t="str">
        <f t="shared" si="296"/>
        <v/>
      </c>
      <c r="FI197" s="110" t="str">
        <f t="shared" si="439"/>
        <v/>
      </c>
      <c r="FK197" s="108" t="str">
        <f t="shared" si="370"/>
        <v/>
      </c>
      <c r="FL197" s="109" t="str">
        <f t="shared" si="371"/>
        <v/>
      </c>
      <c r="FM197" s="109" t="str">
        <f t="shared" si="297"/>
        <v/>
      </c>
      <c r="FN197" s="110" t="str">
        <f t="shared" si="440"/>
        <v/>
      </c>
      <c r="FP197" s="108" t="str">
        <f t="shared" si="298"/>
        <v/>
      </c>
      <c r="FQ197" s="109" t="str">
        <f t="shared" si="372"/>
        <v/>
      </c>
      <c r="FR197" s="109" t="str">
        <f t="shared" si="299"/>
        <v/>
      </c>
      <c r="FS197" s="110" t="str">
        <f t="shared" si="441"/>
        <v/>
      </c>
      <c r="FU197" s="108" t="str">
        <f t="shared" si="373"/>
        <v/>
      </c>
      <c r="FV197" s="109" t="str">
        <f t="shared" si="374"/>
        <v/>
      </c>
      <c r="FW197" s="109" t="str">
        <f t="shared" si="300"/>
        <v/>
      </c>
      <c r="FX197" s="110" t="str">
        <f t="shared" si="442"/>
        <v/>
      </c>
      <c r="FZ197" s="108" t="str">
        <f t="shared" si="301"/>
        <v/>
      </c>
      <c r="GA197" s="109" t="str">
        <f t="shared" si="375"/>
        <v/>
      </c>
      <c r="GB197" s="109" t="str">
        <f t="shared" si="302"/>
        <v/>
      </c>
      <c r="GC197" s="110" t="str">
        <f t="shared" si="443"/>
        <v/>
      </c>
      <c r="GE197" s="108" t="str">
        <f t="shared" si="376"/>
        <v/>
      </c>
      <c r="GF197" s="109" t="str">
        <f t="shared" si="377"/>
        <v/>
      </c>
      <c r="GG197" s="109" t="str">
        <f t="shared" si="378"/>
        <v/>
      </c>
      <c r="GH197" s="110" t="str">
        <f t="shared" si="444"/>
        <v/>
      </c>
      <c r="GL197" s="108" t="str">
        <f t="shared" si="303"/>
        <v/>
      </c>
      <c r="GM197" s="109" t="str">
        <f t="shared" si="304"/>
        <v/>
      </c>
      <c r="GN197" s="109" t="str">
        <f t="shared" si="305"/>
        <v/>
      </c>
      <c r="GO197" s="110" t="str">
        <f t="shared" si="306"/>
        <v/>
      </c>
      <c r="GP197" s="51"/>
      <c r="GQ197" s="108" t="str">
        <f t="shared" si="307"/>
        <v/>
      </c>
      <c r="GR197" s="109" t="str">
        <f t="shared" si="379"/>
        <v/>
      </c>
      <c r="GS197" s="109" t="str">
        <f t="shared" si="308"/>
        <v/>
      </c>
      <c r="GT197" s="110" t="str">
        <f t="shared" si="309"/>
        <v/>
      </c>
      <c r="GU197" s="51"/>
      <c r="GV197" s="108" t="str">
        <f t="shared" si="380"/>
        <v/>
      </c>
      <c r="GW197" s="109" t="str">
        <f t="shared" si="381"/>
        <v/>
      </c>
      <c r="GX197" s="109" t="str">
        <f t="shared" si="310"/>
        <v/>
      </c>
      <c r="GY197" s="110" t="str">
        <f t="shared" si="382"/>
        <v/>
      </c>
      <c r="GZ197" s="51"/>
      <c r="HA197" s="108" t="str">
        <f t="shared" si="311"/>
        <v/>
      </c>
      <c r="HB197" s="109" t="str">
        <f t="shared" si="383"/>
        <v/>
      </c>
      <c r="HC197" s="109" t="str">
        <f t="shared" si="312"/>
        <v/>
      </c>
      <c r="HD197" s="110" t="str">
        <f t="shared" si="417"/>
        <v/>
      </c>
      <c r="HE197" s="51"/>
      <c r="HF197" s="108" t="str">
        <f t="shared" si="384"/>
        <v/>
      </c>
      <c r="HG197" s="109" t="str">
        <f t="shared" si="385"/>
        <v/>
      </c>
      <c r="HH197" s="109" t="str">
        <f t="shared" si="313"/>
        <v/>
      </c>
      <c r="HI197" s="110" t="str">
        <f t="shared" si="386"/>
        <v/>
      </c>
      <c r="HJ197" s="51"/>
      <c r="HK197" s="108" t="str">
        <f t="shared" si="314"/>
        <v/>
      </c>
      <c r="HL197" s="109" t="str">
        <f t="shared" si="387"/>
        <v/>
      </c>
      <c r="HM197" s="109" t="str">
        <f t="shared" si="315"/>
        <v/>
      </c>
      <c r="HN197" s="110" t="str">
        <f t="shared" si="418"/>
        <v/>
      </c>
      <c r="HO197" s="51"/>
      <c r="HP197" s="108" t="str">
        <f t="shared" si="388"/>
        <v/>
      </c>
      <c r="HQ197" s="109" t="str">
        <f t="shared" si="389"/>
        <v/>
      </c>
      <c r="HR197" s="109" t="str">
        <f t="shared" si="316"/>
        <v/>
      </c>
      <c r="HS197" s="110" t="str">
        <f t="shared" si="390"/>
        <v/>
      </c>
      <c r="HT197" s="51"/>
      <c r="HU197" s="108" t="str">
        <f t="shared" si="317"/>
        <v/>
      </c>
      <c r="HV197" s="109" t="str">
        <f t="shared" si="391"/>
        <v/>
      </c>
      <c r="HW197" s="109" t="str">
        <f t="shared" si="318"/>
        <v/>
      </c>
      <c r="HX197" s="110" t="str">
        <f t="shared" si="419"/>
        <v/>
      </c>
      <c r="HY197" s="51"/>
      <c r="HZ197" s="108" t="str">
        <f t="shared" si="392"/>
        <v/>
      </c>
      <c r="IA197" s="109" t="str">
        <f t="shared" si="393"/>
        <v/>
      </c>
      <c r="IB197" s="109" t="str">
        <f t="shared" si="319"/>
        <v/>
      </c>
      <c r="IC197" s="110" t="str">
        <f t="shared" si="394"/>
        <v/>
      </c>
      <c r="ID197" s="51"/>
      <c r="IE197" s="108" t="str">
        <f t="shared" si="320"/>
        <v/>
      </c>
      <c r="IF197" s="109" t="str">
        <f t="shared" si="395"/>
        <v/>
      </c>
      <c r="IG197" s="109" t="str">
        <f t="shared" si="321"/>
        <v/>
      </c>
      <c r="IH197" s="110" t="str">
        <f t="shared" si="420"/>
        <v/>
      </c>
      <c r="II197" s="51"/>
      <c r="IJ197" s="108" t="str">
        <f t="shared" si="396"/>
        <v/>
      </c>
      <c r="IK197" s="109" t="str">
        <f t="shared" si="397"/>
        <v/>
      </c>
      <c r="IL197" s="109" t="str">
        <f t="shared" si="322"/>
        <v/>
      </c>
      <c r="IM197" s="110" t="str">
        <f t="shared" si="398"/>
        <v/>
      </c>
      <c r="IN197" s="51"/>
      <c r="IO197" s="108" t="str">
        <f t="shared" si="323"/>
        <v/>
      </c>
      <c r="IP197" s="109" t="str">
        <f t="shared" si="399"/>
        <v/>
      </c>
      <c r="IQ197" s="109" t="str">
        <f t="shared" si="324"/>
        <v/>
      </c>
      <c r="IR197" s="110" t="str">
        <f t="shared" si="421"/>
        <v/>
      </c>
      <c r="IS197" s="51"/>
      <c r="IT197" s="108" t="str">
        <f t="shared" si="400"/>
        <v/>
      </c>
      <c r="IU197" s="109" t="str">
        <f t="shared" si="401"/>
        <v/>
      </c>
      <c r="IV197" s="109" t="str">
        <f t="shared" si="325"/>
        <v/>
      </c>
      <c r="IW197" s="110" t="str">
        <f t="shared" si="402"/>
        <v/>
      </c>
      <c r="IX197" s="51"/>
      <c r="IY197" s="108" t="str">
        <f t="shared" si="326"/>
        <v/>
      </c>
      <c r="IZ197" s="109" t="str">
        <f t="shared" si="403"/>
        <v/>
      </c>
      <c r="JA197" s="109" t="str">
        <f t="shared" si="327"/>
        <v/>
      </c>
      <c r="JB197" s="110" t="str">
        <f t="shared" si="422"/>
        <v/>
      </c>
      <c r="JC197" s="51"/>
      <c r="JD197" s="108" t="str">
        <f t="shared" si="404"/>
        <v/>
      </c>
      <c r="JE197" s="109" t="str">
        <f t="shared" si="405"/>
        <v/>
      </c>
      <c r="JF197" s="109" t="str">
        <f t="shared" si="328"/>
        <v/>
      </c>
      <c r="JG197" s="110" t="str">
        <f t="shared" si="406"/>
        <v/>
      </c>
      <c r="JH197" s="51"/>
      <c r="JI197" s="108" t="str">
        <f t="shared" si="329"/>
        <v/>
      </c>
      <c r="JJ197" s="109" t="str">
        <f t="shared" si="407"/>
        <v/>
      </c>
      <c r="JK197" s="109" t="str">
        <f t="shared" si="330"/>
        <v/>
      </c>
      <c r="JL197" s="110" t="str">
        <f t="shared" si="423"/>
        <v/>
      </c>
      <c r="JM197" s="51"/>
      <c r="JN197" s="108" t="str">
        <f t="shared" si="408"/>
        <v/>
      </c>
      <c r="JO197" s="109" t="str">
        <f t="shared" si="409"/>
        <v/>
      </c>
      <c r="JP197" s="109" t="str">
        <f t="shared" si="331"/>
        <v/>
      </c>
      <c r="JQ197" s="110" t="str">
        <f t="shared" si="410"/>
        <v/>
      </c>
      <c r="JR197" s="51"/>
      <c r="JS197" s="108" t="str">
        <f t="shared" si="332"/>
        <v/>
      </c>
      <c r="JT197" s="109" t="str">
        <f t="shared" si="411"/>
        <v/>
      </c>
      <c r="JU197" s="109" t="str">
        <f t="shared" si="333"/>
        <v/>
      </c>
      <c r="JV197" s="110" t="str">
        <f t="shared" si="424"/>
        <v/>
      </c>
      <c r="JW197" s="51"/>
      <c r="JX197" s="108" t="str">
        <f t="shared" si="412"/>
        <v/>
      </c>
      <c r="JY197" s="109" t="str">
        <f t="shared" si="413"/>
        <v/>
      </c>
      <c r="JZ197" s="109" t="str">
        <f t="shared" si="334"/>
        <v/>
      </c>
      <c r="KA197" s="110" t="str">
        <f t="shared" si="335"/>
        <v/>
      </c>
    </row>
    <row r="198" spans="1:287" ht="12" customHeight="1">
      <c r="A198" s="105">
        <f t="array" ref="A198">MAX(IF($J$80:J197&gt;0,$C$80:C197,0))</f>
        <v>43536</v>
      </c>
      <c r="B198" s="81" t="str">
        <f t="shared" si="248"/>
        <v/>
      </c>
      <c r="C198" s="82">
        <f t="shared" si="414"/>
        <v>0</v>
      </c>
      <c r="D198" s="83" t="str">
        <f t="shared" si="249"/>
        <v/>
      </c>
      <c r="E198" s="83" t="str">
        <f t="shared" si="336"/>
        <v/>
      </c>
      <c r="F198" s="83" t="str">
        <f t="shared" si="250"/>
        <v/>
      </c>
      <c r="G198" s="83" t="str">
        <f t="shared" si="251"/>
        <v/>
      </c>
      <c r="H198" s="83" t="str">
        <f t="shared" si="252"/>
        <v/>
      </c>
      <c r="I198" s="105">
        <f t="array" ref="I198">MAX(IF($R$80:R197&gt;0,$L$80:L197,0))</f>
        <v>0</v>
      </c>
      <c r="J198" s="106"/>
      <c r="K198" s="2" t="str">
        <f t="shared" si="253"/>
        <v/>
      </c>
      <c r="L198" s="82">
        <f t="shared" si="415"/>
        <v>0</v>
      </c>
      <c r="M198" s="83" t="str">
        <f t="shared" si="337"/>
        <v/>
      </c>
      <c r="N198" s="83" t="str">
        <f t="shared" si="254"/>
        <v/>
      </c>
      <c r="O198" s="83" t="str">
        <f t="shared" si="255"/>
        <v/>
      </c>
      <c r="P198" s="83" t="str">
        <f t="shared" si="256"/>
        <v/>
      </c>
      <c r="Q198" s="83" t="str">
        <f t="shared" si="257"/>
        <v/>
      </c>
      <c r="R198" s="106"/>
      <c r="S198" s="1"/>
      <c r="U198" s="85" t="e">
        <f t="shared" si="244"/>
        <v>#NUM!</v>
      </c>
      <c r="V198" s="86" t="e">
        <f t="shared" si="338"/>
        <v>#NUM!</v>
      </c>
      <c r="W198" s="87" t="e">
        <f t="shared" si="258"/>
        <v>#NUM!</v>
      </c>
      <c r="X198" s="87" t="e">
        <f t="shared" si="259"/>
        <v>#NUM!</v>
      </c>
      <c r="Y198" s="87" t="e">
        <f t="shared" si="260"/>
        <v>#NUM!</v>
      </c>
      <c r="Z198" s="88" t="e">
        <f t="shared" si="245"/>
        <v>#NUM!</v>
      </c>
      <c r="AA198" t="s">
        <v>282</v>
      </c>
      <c r="AB198" s="89">
        <f t="shared" si="339"/>
        <v>0</v>
      </c>
      <c r="AC198" s="87">
        <f t="shared" si="340"/>
        <v>0</v>
      </c>
      <c r="AD198" s="87" t="str">
        <f t="shared" si="261"/>
        <v/>
      </c>
      <c r="AE198" s="87" t="str">
        <f t="shared" si="262"/>
        <v/>
      </c>
      <c r="AF198" s="86">
        <f t="shared" si="341"/>
        <v>0</v>
      </c>
      <c r="AG198" s="87">
        <f t="shared" si="246"/>
        <v>0</v>
      </c>
      <c r="AH198" s="87">
        <f t="shared" si="342"/>
        <v>0</v>
      </c>
      <c r="AI198" s="90"/>
      <c r="AJ198" s="87" t="e">
        <f t="shared" si="263"/>
        <v>#NUM!</v>
      </c>
      <c r="AK198" s="87" t="e">
        <f t="shared" si="343"/>
        <v>#NUM!</v>
      </c>
      <c r="AL198" s="87" t="e">
        <f t="shared" si="344"/>
        <v>#NUM!</v>
      </c>
      <c r="AM198" s="87" t="e">
        <f t="shared" si="345"/>
        <v>#NUM!</v>
      </c>
      <c r="AN198" s="86">
        <f t="shared" si="264"/>
        <v>0</v>
      </c>
      <c r="AO198" s="87">
        <f t="shared" si="265"/>
        <v>0</v>
      </c>
      <c r="AP198" s="88">
        <f t="shared" si="266"/>
        <v>0</v>
      </c>
      <c r="AR198" s="89">
        <f t="shared" si="267"/>
        <v>0</v>
      </c>
      <c r="AS198" s="87">
        <f t="shared" si="268"/>
        <v>0</v>
      </c>
      <c r="AT198" s="87" t="str">
        <f t="shared" si="269"/>
        <v/>
      </c>
      <c r="AU198" s="87" t="str">
        <f t="shared" si="270"/>
        <v/>
      </c>
      <c r="AV198" s="86">
        <f t="shared" si="346"/>
        <v>0</v>
      </c>
      <c r="AW198" s="87">
        <f t="shared" si="347"/>
        <v>0</v>
      </c>
      <c r="AX198" s="87">
        <f t="shared" si="348"/>
        <v>0</v>
      </c>
      <c r="AY198" s="93"/>
      <c r="AZ198" s="87">
        <f t="shared" si="425"/>
        <v>0</v>
      </c>
      <c r="BA198" s="87">
        <f t="shared" si="349"/>
        <v>0</v>
      </c>
      <c r="BB198" s="87">
        <f t="shared" si="350"/>
        <v>0</v>
      </c>
      <c r="BC198" s="87">
        <f t="shared" si="416"/>
        <v>0</v>
      </c>
      <c r="BD198" s="86" t="e">
        <f t="shared" si="271"/>
        <v>#NUM!</v>
      </c>
      <c r="BE198" s="87" t="e">
        <f t="shared" si="247"/>
        <v>#NUM!</v>
      </c>
      <c r="BF198" s="88">
        <f t="shared" si="351"/>
        <v>0</v>
      </c>
      <c r="BH198" s="87" t="e">
        <f t="shared" si="272"/>
        <v>#NUM!</v>
      </c>
      <c r="BK198" s="95">
        <v>42331</v>
      </c>
      <c r="BL198" s="96">
        <v>119</v>
      </c>
      <c r="CS198" s="108" t="str">
        <f t="shared" si="273"/>
        <v/>
      </c>
      <c r="CT198" s="109" t="str">
        <f t="shared" si="274"/>
        <v/>
      </c>
      <c r="CU198" s="109" t="str">
        <f t="shared" si="275"/>
        <v/>
      </c>
      <c r="CV198" s="110" t="str">
        <f t="shared" si="426"/>
        <v/>
      </c>
      <c r="CX198" s="108" t="str">
        <f t="shared" si="276"/>
        <v/>
      </c>
      <c r="CY198" s="109" t="str">
        <f t="shared" si="352"/>
        <v/>
      </c>
      <c r="CZ198" s="109" t="str">
        <f t="shared" si="277"/>
        <v/>
      </c>
      <c r="DA198" s="110" t="str">
        <f t="shared" si="427"/>
        <v/>
      </c>
      <c r="DC198" s="108" t="str">
        <f t="shared" si="353"/>
        <v/>
      </c>
      <c r="DD198" s="109" t="str">
        <f t="shared" si="354"/>
        <v/>
      </c>
      <c r="DE198" s="109" t="str">
        <f t="shared" si="278"/>
        <v/>
      </c>
      <c r="DF198" s="110" t="str">
        <f t="shared" si="428"/>
        <v/>
      </c>
      <c r="DH198" s="108" t="str">
        <f t="shared" si="279"/>
        <v/>
      </c>
      <c r="DI198" s="109" t="str">
        <f t="shared" si="280"/>
        <v/>
      </c>
      <c r="DJ198" s="109" t="str">
        <f t="shared" si="281"/>
        <v/>
      </c>
      <c r="DK198" s="110" t="str">
        <f t="shared" si="429"/>
        <v/>
      </c>
      <c r="DM198" s="108" t="str">
        <f t="shared" si="355"/>
        <v/>
      </c>
      <c r="DN198" s="109" t="str">
        <f t="shared" si="356"/>
        <v/>
      </c>
      <c r="DO198" s="109" t="str">
        <f t="shared" si="282"/>
        <v/>
      </c>
      <c r="DP198" s="110" t="str">
        <f t="shared" si="430"/>
        <v/>
      </c>
      <c r="DR198" s="108" t="str">
        <f t="shared" si="283"/>
        <v/>
      </c>
      <c r="DS198" s="109" t="str">
        <f t="shared" si="357"/>
        <v/>
      </c>
      <c r="DT198" s="109" t="str">
        <f t="shared" si="284"/>
        <v/>
      </c>
      <c r="DU198" s="110" t="str">
        <f t="shared" si="431"/>
        <v/>
      </c>
      <c r="DW198" s="108" t="str">
        <f t="shared" si="358"/>
        <v/>
      </c>
      <c r="DX198" s="109" t="str">
        <f t="shared" si="359"/>
        <v/>
      </c>
      <c r="DY198" s="109" t="str">
        <f t="shared" si="285"/>
        <v/>
      </c>
      <c r="DZ198" s="110" t="str">
        <f t="shared" si="432"/>
        <v/>
      </c>
      <c r="EB198" s="108" t="str">
        <f t="shared" si="286"/>
        <v/>
      </c>
      <c r="EC198" s="109" t="str">
        <f t="shared" si="360"/>
        <v/>
      </c>
      <c r="ED198" s="109" t="str">
        <f t="shared" si="287"/>
        <v/>
      </c>
      <c r="EE198" s="110" t="str">
        <f t="shared" si="433"/>
        <v/>
      </c>
      <c r="EG198" s="108" t="str">
        <f t="shared" si="361"/>
        <v/>
      </c>
      <c r="EH198" s="109" t="str">
        <f t="shared" si="362"/>
        <v/>
      </c>
      <c r="EI198" s="109" t="str">
        <f t="shared" si="288"/>
        <v/>
      </c>
      <c r="EJ198" s="110" t="str">
        <f t="shared" si="434"/>
        <v/>
      </c>
      <c r="EL198" s="108" t="str">
        <f t="shared" si="289"/>
        <v/>
      </c>
      <c r="EM198" s="109" t="str">
        <f t="shared" si="363"/>
        <v/>
      </c>
      <c r="EN198" s="109" t="str">
        <f t="shared" si="290"/>
        <v/>
      </c>
      <c r="EO198" s="110" t="str">
        <f t="shared" si="435"/>
        <v/>
      </c>
      <c r="EQ198" s="108" t="str">
        <f t="shared" si="364"/>
        <v/>
      </c>
      <c r="ER198" s="109" t="str">
        <f t="shared" si="365"/>
        <v/>
      </c>
      <c r="ES198" s="109" t="str">
        <f t="shared" si="291"/>
        <v/>
      </c>
      <c r="ET198" s="110" t="str">
        <f t="shared" si="436"/>
        <v/>
      </c>
      <c r="EV198" s="108" t="str">
        <f t="shared" si="292"/>
        <v/>
      </c>
      <c r="EW198" s="109" t="str">
        <f t="shared" si="366"/>
        <v/>
      </c>
      <c r="EX198" s="109" t="str">
        <f t="shared" si="293"/>
        <v/>
      </c>
      <c r="EY198" s="110" t="str">
        <f t="shared" si="437"/>
        <v/>
      </c>
      <c r="FA198" s="108" t="str">
        <f t="shared" si="367"/>
        <v/>
      </c>
      <c r="FB198" s="109" t="str">
        <f t="shared" si="368"/>
        <v/>
      </c>
      <c r="FC198" s="109" t="str">
        <f t="shared" si="294"/>
        <v/>
      </c>
      <c r="FD198" s="110" t="str">
        <f t="shared" si="438"/>
        <v/>
      </c>
      <c r="FF198" s="108" t="str">
        <f t="shared" si="295"/>
        <v/>
      </c>
      <c r="FG198" s="109" t="str">
        <f t="shared" si="369"/>
        <v/>
      </c>
      <c r="FH198" s="109" t="str">
        <f t="shared" si="296"/>
        <v/>
      </c>
      <c r="FI198" s="110" t="str">
        <f t="shared" si="439"/>
        <v/>
      </c>
      <c r="FK198" s="108" t="str">
        <f t="shared" si="370"/>
        <v/>
      </c>
      <c r="FL198" s="109" t="str">
        <f t="shared" si="371"/>
        <v/>
      </c>
      <c r="FM198" s="109" t="str">
        <f t="shared" si="297"/>
        <v/>
      </c>
      <c r="FN198" s="110" t="str">
        <f t="shared" si="440"/>
        <v/>
      </c>
      <c r="FP198" s="108" t="str">
        <f t="shared" si="298"/>
        <v/>
      </c>
      <c r="FQ198" s="109" t="str">
        <f t="shared" si="372"/>
        <v/>
      </c>
      <c r="FR198" s="109" t="str">
        <f t="shared" si="299"/>
        <v/>
      </c>
      <c r="FS198" s="110" t="str">
        <f t="shared" si="441"/>
        <v/>
      </c>
      <c r="FU198" s="108" t="str">
        <f t="shared" si="373"/>
        <v/>
      </c>
      <c r="FV198" s="109" t="str">
        <f t="shared" si="374"/>
        <v/>
      </c>
      <c r="FW198" s="109" t="str">
        <f t="shared" si="300"/>
        <v/>
      </c>
      <c r="FX198" s="110" t="str">
        <f t="shared" si="442"/>
        <v/>
      </c>
      <c r="FZ198" s="108" t="str">
        <f t="shared" si="301"/>
        <v/>
      </c>
      <c r="GA198" s="109" t="str">
        <f t="shared" si="375"/>
        <v/>
      </c>
      <c r="GB198" s="109" t="str">
        <f t="shared" si="302"/>
        <v/>
      </c>
      <c r="GC198" s="110" t="str">
        <f t="shared" si="443"/>
        <v/>
      </c>
      <c r="GE198" s="108" t="str">
        <f t="shared" si="376"/>
        <v/>
      </c>
      <c r="GF198" s="109" t="str">
        <f t="shared" si="377"/>
        <v/>
      </c>
      <c r="GG198" s="109" t="str">
        <f t="shared" si="378"/>
        <v/>
      </c>
      <c r="GH198" s="110" t="str">
        <f t="shared" si="444"/>
        <v/>
      </c>
      <c r="GL198" s="108" t="str">
        <f t="shared" si="303"/>
        <v/>
      </c>
      <c r="GM198" s="109" t="str">
        <f t="shared" si="304"/>
        <v/>
      </c>
      <c r="GN198" s="109" t="str">
        <f t="shared" si="305"/>
        <v/>
      </c>
      <c r="GO198" s="110" t="str">
        <f t="shared" si="306"/>
        <v/>
      </c>
      <c r="GP198" s="51"/>
      <c r="GQ198" s="108" t="str">
        <f t="shared" si="307"/>
        <v/>
      </c>
      <c r="GR198" s="109" t="str">
        <f t="shared" si="379"/>
        <v/>
      </c>
      <c r="GS198" s="109" t="str">
        <f t="shared" si="308"/>
        <v/>
      </c>
      <c r="GT198" s="110" t="str">
        <f t="shared" si="309"/>
        <v/>
      </c>
      <c r="GU198" s="51"/>
      <c r="GV198" s="108" t="str">
        <f t="shared" si="380"/>
        <v/>
      </c>
      <c r="GW198" s="109" t="str">
        <f t="shared" si="381"/>
        <v/>
      </c>
      <c r="GX198" s="109" t="str">
        <f t="shared" si="310"/>
        <v/>
      </c>
      <c r="GY198" s="110" t="str">
        <f t="shared" si="382"/>
        <v/>
      </c>
      <c r="GZ198" s="51"/>
      <c r="HA198" s="108" t="str">
        <f t="shared" si="311"/>
        <v/>
      </c>
      <c r="HB198" s="109" t="str">
        <f t="shared" si="383"/>
        <v/>
      </c>
      <c r="HC198" s="109" t="str">
        <f t="shared" si="312"/>
        <v/>
      </c>
      <c r="HD198" s="110" t="str">
        <f t="shared" si="417"/>
        <v/>
      </c>
      <c r="HE198" s="51"/>
      <c r="HF198" s="108" t="str">
        <f t="shared" si="384"/>
        <v/>
      </c>
      <c r="HG198" s="109" t="str">
        <f t="shared" si="385"/>
        <v/>
      </c>
      <c r="HH198" s="109" t="str">
        <f t="shared" si="313"/>
        <v/>
      </c>
      <c r="HI198" s="110" t="str">
        <f t="shared" si="386"/>
        <v/>
      </c>
      <c r="HJ198" s="51"/>
      <c r="HK198" s="108" t="str">
        <f t="shared" si="314"/>
        <v/>
      </c>
      <c r="HL198" s="109" t="str">
        <f t="shared" si="387"/>
        <v/>
      </c>
      <c r="HM198" s="109" t="str">
        <f t="shared" si="315"/>
        <v/>
      </c>
      <c r="HN198" s="110" t="str">
        <f t="shared" si="418"/>
        <v/>
      </c>
      <c r="HO198" s="51"/>
      <c r="HP198" s="108" t="str">
        <f t="shared" si="388"/>
        <v/>
      </c>
      <c r="HQ198" s="109" t="str">
        <f t="shared" si="389"/>
        <v/>
      </c>
      <c r="HR198" s="109" t="str">
        <f t="shared" si="316"/>
        <v/>
      </c>
      <c r="HS198" s="110" t="str">
        <f t="shared" si="390"/>
        <v/>
      </c>
      <c r="HT198" s="51"/>
      <c r="HU198" s="108" t="str">
        <f t="shared" si="317"/>
        <v/>
      </c>
      <c r="HV198" s="109" t="str">
        <f t="shared" si="391"/>
        <v/>
      </c>
      <c r="HW198" s="109" t="str">
        <f t="shared" si="318"/>
        <v/>
      </c>
      <c r="HX198" s="110" t="str">
        <f t="shared" si="419"/>
        <v/>
      </c>
      <c r="HY198" s="51"/>
      <c r="HZ198" s="108" t="str">
        <f t="shared" si="392"/>
        <v/>
      </c>
      <c r="IA198" s="109" t="str">
        <f t="shared" si="393"/>
        <v/>
      </c>
      <c r="IB198" s="109" t="str">
        <f t="shared" si="319"/>
        <v/>
      </c>
      <c r="IC198" s="110" t="str">
        <f t="shared" si="394"/>
        <v/>
      </c>
      <c r="ID198" s="51"/>
      <c r="IE198" s="108" t="str">
        <f t="shared" si="320"/>
        <v/>
      </c>
      <c r="IF198" s="109" t="str">
        <f t="shared" si="395"/>
        <v/>
      </c>
      <c r="IG198" s="109" t="str">
        <f t="shared" si="321"/>
        <v/>
      </c>
      <c r="IH198" s="110" t="str">
        <f t="shared" si="420"/>
        <v/>
      </c>
      <c r="II198" s="51"/>
      <c r="IJ198" s="108" t="str">
        <f t="shared" si="396"/>
        <v/>
      </c>
      <c r="IK198" s="109" t="str">
        <f t="shared" si="397"/>
        <v/>
      </c>
      <c r="IL198" s="109" t="str">
        <f t="shared" si="322"/>
        <v/>
      </c>
      <c r="IM198" s="110" t="str">
        <f t="shared" si="398"/>
        <v/>
      </c>
      <c r="IN198" s="51"/>
      <c r="IO198" s="108" t="str">
        <f t="shared" si="323"/>
        <v/>
      </c>
      <c r="IP198" s="109" t="str">
        <f t="shared" si="399"/>
        <v/>
      </c>
      <c r="IQ198" s="109" t="str">
        <f t="shared" si="324"/>
        <v/>
      </c>
      <c r="IR198" s="110" t="str">
        <f t="shared" si="421"/>
        <v/>
      </c>
      <c r="IS198" s="51"/>
      <c r="IT198" s="108" t="str">
        <f t="shared" si="400"/>
        <v/>
      </c>
      <c r="IU198" s="109" t="str">
        <f t="shared" si="401"/>
        <v/>
      </c>
      <c r="IV198" s="109" t="str">
        <f t="shared" si="325"/>
        <v/>
      </c>
      <c r="IW198" s="110" t="str">
        <f t="shared" si="402"/>
        <v/>
      </c>
      <c r="IX198" s="51"/>
      <c r="IY198" s="108" t="str">
        <f t="shared" si="326"/>
        <v/>
      </c>
      <c r="IZ198" s="109" t="str">
        <f t="shared" si="403"/>
        <v/>
      </c>
      <c r="JA198" s="109" t="str">
        <f t="shared" si="327"/>
        <v/>
      </c>
      <c r="JB198" s="110" t="str">
        <f t="shared" si="422"/>
        <v/>
      </c>
      <c r="JC198" s="51"/>
      <c r="JD198" s="108" t="str">
        <f t="shared" si="404"/>
        <v/>
      </c>
      <c r="JE198" s="109" t="str">
        <f t="shared" si="405"/>
        <v/>
      </c>
      <c r="JF198" s="109" t="str">
        <f t="shared" si="328"/>
        <v/>
      </c>
      <c r="JG198" s="110" t="str">
        <f t="shared" si="406"/>
        <v/>
      </c>
      <c r="JH198" s="51"/>
      <c r="JI198" s="108" t="str">
        <f t="shared" si="329"/>
        <v/>
      </c>
      <c r="JJ198" s="109" t="str">
        <f t="shared" si="407"/>
        <v/>
      </c>
      <c r="JK198" s="109" t="str">
        <f t="shared" si="330"/>
        <v/>
      </c>
      <c r="JL198" s="110" t="str">
        <f t="shared" si="423"/>
        <v/>
      </c>
      <c r="JM198" s="51"/>
      <c r="JN198" s="108" t="str">
        <f t="shared" si="408"/>
        <v/>
      </c>
      <c r="JO198" s="109" t="str">
        <f t="shared" si="409"/>
        <v/>
      </c>
      <c r="JP198" s="109" t="str">
        <f t="shared" si="331"/>
        <v/>
      </c>
      <c r="JQ198" s="110" t="str">
        <f t="shared" si="410"/>
        <v/>
      </c>
      <c r="JR198" s="51"/>
      <c r="JS198" s="108" t="str">
        <f t="shared" si="332"/>
        <v/>
      </c>
      <c r="JT198" s="109" t="str">
        <f t="shared" si="411"/>
        <v/>
      </c>
      <c r="JU198" s="109" t="str">
        <f t="shared" si="333"/>
        <v/>
      </c>
      <c r="JV198" s="110" t="str">
        <f t="shared" si="424"/>
        <v/>
      </c>
      <c r="JW198" s="51"/>
      <c r="JX198" s="108" t="str">
        <f t="shared" si="412"/>
        <v/>
      </c>
      <c r="JY198" s="109" t="str">
        <f t="shared" si="413"/>
        <v/>
      </c>
      <c r="JZ198" s="109" t="str">
        <f t="shared" si="334"/>
        <v/>
      </c>
      <c r="KA198" s="110" t="str">
        <f t="shared" si="335"/>
        <v/>
      </c>
    </row>
    <row r="199" spans="1:287" ht="12" customHeight="1">
      <c r="A199" s="105">
        <f t="array" ref="A199">MAX(IF($J$80:J198&gt;0,$C$80:C198,0))</f>
        <v>43536</v>
      </c>
      <c r="B199" s="81" t="str">
        <f t="shared" si="248"/>
        <v/>
      </c>
      <c r="C199" s="82">
        <f t="shared" si="414"/>
        <v>0</v>
      </c>
      <c r="D199" s="83" t="str">
        <f t="shared" si="249"/>
        <v/>
      </c>
      <c r="E199" s="83" t="str">
        <f t="shared" si="336"/>
        <v/>
      </c>
      <c r="F199" s="83" t="str">
        <f t="shared" si="250"/>
        <v/>
      </c>
      <c r="G199" s="83" t="str">
        <f t="shared" si="251"/>
        <v/>
      </c>
      <c r="H199" s="83" t="str">
        <f t="shared" si="252"/>
        <v/>
      </c>
      <c r="I199" s="105">
        <f t="array" ref="I199">MAX(IF($R$80:R198&gt;0,$L$80:L198,0))</f>
        <v>0</v>
      </c>
      <c r="J199" s="106"/>
      <c r="K199" s="2" t="str">
        <f t="shared" si="253"/>
        <v/>
      </c>
      <c r="L199" s="82">
        <f t="shared" si="415"/>
        <v>0</v>
      </c>
      <c r="M199" s="83" t="str">
        <f t="shared" si="337"/>
        <v/>
      </c>
      <c r="N199" s="83" t="str">
        <f t="shared" si="254"/>
        <v/>
      </c>
      <c r="O199" s="83" t="str">
        <f t="shared" si="255"/>
        <v/>
      </c>
      <c r="P199" s="83" t="str">
        <f t="shared" si="256"/>
        <v/>
      </c>
      <c r="Q199" s="83" t="str">
        <f t="shared" si="257"/>
        <v/>
      </c>
      <c r="R199" s="106"/>
      <c r="S199" s="1"/>
      <c r="U199" s="85" t="e">
        <f t="shared" si="244"/>
        <v>#NUM!</v>
      </c>
      <c r="V199" s="86" t="e">
        <f t="shared" si="338"/>
        <v>#NUM!</v>
      </c>
      <c r="W199" s="87" t="e">
        <f t="shared" si="258"/>
        <v>#NUM!</v>
      </c>
      <c r="X199" s="87" t="e">
        <f t="shared" si="259"/>
        <v>#NUM!</v>
      </c>
      <c r="Y199" s="87" t="e">
        <f t="shared" si="260"/>
        <v>#NUM!</v>
      </c>
      <c r="Z199" s="88" t="e">
        <f t="shared" si="245"/>
        <v>#NUM!</v>
      </c>
      <c r="AA199" t="s">
        <v>282</v>
      </c>
      <c r="AB199" s="89">
        <f t="shared" si="339"/>
        <v>0</v>
      </c>
      <c r="AC199" s="87">
        <f t="shared" si="340"/>
        <v>0</v>
      </c>
      <c r="AD199" s="87" t="str">
        <f t="shared" si="261"/>
        <v/>
      </c>
      <c r="AE199" s="87" t="str">
        <f t="shared" si="262"/>
        <v/>
      </c>
      <c r="AF199" s="86">
        <f t="shared" si="341"/>
        <v>0</v>
      </c>
      <c r="AG199" s="87">
        <f t="shared" si="246"/>
        <v>0</v>
      </c>
      <c r="AH199" s="87">
        <f t="shared" si="342"/>
        <v>0</v>
      </c>
      <c r="AI199" s="90"/>
      <c r="AJ199" s="87" t="e">
        <f t="shared" si="263"/>
        <v>#NUM!</v>
      </c>
      <c r="AK199" s="87" t="e">
        <f t="shared" si="343"/>
        <v>#NUM!</v>
      </c>
      <c r="AL199" s="87" t="e">
        <f t="shared" si="344"/>
        <v>#NUM!</v>
      </c>
      <c r="AM199" s="87" t="e">
        <f t="shared" si="345"/>
        <v>#NUM!</v>
      </c>
      <c r="AN199" s="86">
        <f t="shared" si="264"/>
        <v>0</v>
      </c>
      <c r="AO199" s="87">
        <f t="shared" si="265"/>
        <v>0</v>
      </c>
      <c r="AP199" s="88">
        <f t="shared" si="266"/>
        <v>0</v>
      </c>
      <c r="AR199" s="89">
        <f t="shared" si="267"/>
        <v>0</v>
      </c>
      <c r="AS199" s="87">
        <f t="shared" si="268"/>
        <v>0</v>
      </c>
      <c r="AT199" s="87" t="str">
        <f t="shared" si="269"/>
        <v/>
      </c>
      <c r="AU199" s="87" t="str">
        <f t="shared" si="270"/>
        <v/>
      </c>
      <c r="AV199" s="86">
        <f t="shared" si="346"/>
        <v>0</v>
      </c>
      <c r="AW199" s="87">
        <f t="shared" si="347"/>
        <v>0</v>
      </c>
      <c r="AX199" s="87">
        <f t="shared" si="348"/>
        <v>0</v>
      </c>
      <c r="AY199" s="93"/>
      <c r="AZ199" s="87">
        <f t="shared" si="425"/>
        <v>0</v>
      </c>
      <c r="BA199" s="87">
        <f t="shared" si="349"/>
        <v>0</v>
      </c>
      <c r="BB199" s="87">
        <f t="shared" si="350"/>
        <v>0</v>
      </c>
      <c r="BC199" s="87">
        <f t="shared" si="416"/>
        <v>0</v>
      </c>
      <c r="BD199" s="86" t="e">
        <f t="shared" si="271"/>
        <v>#NUM!</v>
      </c>
      <c r="BE199" s="87" t="e">
        <f t="shared" si="247"/>
        <v>#NUM!</v>
      </c>
      <c r="BF199" s="88">
        <f t="shared" si="351"/>
        <v>0</v>
      </c>
      <c r="BH199" s="87" t="e">
        <f t="shared" si="272"/>
        <v>#NUM!</v>
      </c>
      <c r="BK199" s="95">
        <v>42370</v>
      </c>
      <c r="BL199" s="96">
        <v>120</v>
      </c>
      <c r="CS199" s="108" t="str">
        <f t="shared" si="273"/>
        <v/>
      </c>
      <c r="CT199" s="109" t="str">
        <f t="shared" si="274"/>
        <v/>
      </c>
      <c r="CU199" s="109" t="str">
        <f t="shared" si="275"/>
        <v/>
      </c>
      <c r="CV199" s="110" t="str">
        <f t="shared" si="426"/>
        <v/>
      </c>
      <c r="CX199" s="108" t="str">
        <f t="shared" si="276"/>
        <v/>
      </c>
      <c r="CY199" s="109" t="str">
        <f t="shared" si="352"/>
        <v/>
      </c>
      <c r="CZ199" s="109" t="str">
        <f t="shared" si="277"/>
        <v/>
      </c>
      <c r="DA199" s="110" t="str">
        <f t="shared" si="427"/>
        <v/>
      </c>
      <c r="DC199" s="108" t="str">
        <f t="shared" si="353"/>
        <v/>
      </c>
      <c r="DD199" s="109" t="str">
        <f t="shared" si="354"/>
        <v/>
      </c>
      <c r="DE199" s="109" t="str">
        <f t="shared" si="278"/>
        <v/>
      </c>
      <c r="DF199" s="110" t="str">
        <f t="shared" si="428"/>
        <v/>
      </c>
      <c r="DH199" s="108" t="str">
        <f t="shared" si="279"/>
        <v/>
      </c>
      <c r="DI199" s="109" t="str">
        <f t="shared" si="280"/>
        <v/>
      </c>
      <c r="DJ199" s="109" t="str">
        <f t="shared" si="281"/>
        <v/>
      </c>
      <c r="DK199" s="110" t="str">
        <f t="shared" si="429"/>
        <v/>
      </c>
      <c r="DM199" s="108" t="str">
        <f t="shared" si="355"/>
        <v/>
      </c>
      <c r="DN199" s="109" t="str">
        <f t="shared" si="356"/>
        <v/>
      </c>
      <c r="DO199" s="109" t="str">
        <f t="shared" si="282"/>
        <v/>
      </c>
      <c r="DP199" s="110" t="str">
        <f t="shared" si="430"/>
        <v/>
      </c>
      <c r="DR199" s="108" t="str">
        <f t="shared" si="283"/>
        <v/>
      </c>
      <c r="DS199" s="109" t="str">
        <f t="shared" si="357"/>
        <v/>
      </c>
      <c r="DT199" s="109" t="str">
        <f t="shared" si="284"/>
        <v/>
      </c>
      <c r="DU199" s="110" t="str">
        <f t="shared" si="431"/>
        <v/>
      </c>
      <c r="DW199" s="108" t="str">
        <f t="shared" si="358"/>
        <v/>
      </c>
      <c r="DX199" s="109" t="str">
        <f t="shared" si="359"/>
        <v/>
      </c>
      <c r="DY199" s="109" t="str">
        <f t="shared" si="285"/>
        <v/>
      </c>
      <c r="DZ199" s="110" t="str">
        <f t="shared" si="432"/>
        <v/>
      </c>
      <c r="EB199" s="108" t="str">
        <f t="shared" si="286"/>
        <v/>
      </c>
      <c r="EC199" s="109" t="str">
        <f t="shared" si="360"/>
        <v/>
      </c>
      <c r="ED199" s="109" t="str">
        <f t="shared" si="287"/>
        <v/>
      </c>
      <c r="EE199" s="110" t="str">
        <f t="shared" si="433"/>
        <v/>
      </c>
      <c r="EG199" s="108" t="str">
        <f t="shared" si="361"/>
        <v/>
      </c>
      <c r="EH199" s="109" t="str">
        <f t="shared" si="362"/>
        <v/>
      </c>
      <c r="EI199" s="109" t="str">
        <f t="shared" si="288"/>
        <v/>
      </c>
      <c r="EJ199" s="110" t="str">
        <f t="shared" si="434"/>
        <v/>
      </c>
      <c r="EL199" s="108" t="str">
        <f t="shared" si="289"/>
        <v/>
      </c>
      <c r="EM199" s="109" t="str">
        <f t="shared" si="363"/>
        <v/>
      </c>
      <c r="EN199" s="109" t="str">
        <f t="shared" si="290"/>
        <v/>
      </c>
      <c r="EO199" s="110" t="str">
        <f t="shared" si="435"/>
        <v/>
      </c>
      <c r="EQ199" s="108" t="str">
        <f t="shared" si="364"/>
        <v/>
      </c>
      <c r="ER199" s="109" t="str">
        <f t="shared" si="365"/>
        <v/>
      </c>
      <c r="ES199" s="109" t="str">
        <f t="shared" si="291"/>
        <v/>
      </c>
      <c r="ET199" s="110" t="str">
        <f t="shared" si="436"/>
        <v/>
      </c>
      <c r="EV199" s="108" t="str">
        <f t="shared" si="292"/>
        <v/>
      </c>
      <c r="EW199" s="109" t="str">
        <f t="shared" si="366"/>
        <v/>
      </c>
      <c r="EX199" s="109" t="str">
        <f t="shared" si="293"/>
        <v/>
      </c>
      <c r="EY199" s="110" t="str">
        <f t="shared" si="437"/>
        <v/>
      </c>
      <c r="FA199" s="108" t="str">
        <f t="shared" si="367"/>
        <v/>
      </c>
      <c r="FB199" s="109" t="str">
        <f t="shared" si="368"/>
        <v/>
      </c>
      <c r="FC199" s="109" t="str">
        <f t="shared" si="294"/>
        <v/>
      </c>
      <c r="FD199" s="110" t="str">
        <f t="shared" si="438"/>
        <v/>
      </c>
      <c r="FF199" s="108" t="str">
        <f t="shared" si="295"/>
        <v/>
      </c>
      <c r="FG199" s="109" t="str">
        <f t="shared" si="369"/>
        <v/>
      </c>
      <c r="FH199" s="109" t="str">
        <f t="shared" si="296"/>
        <v/>
      </c>
      <c r="FI199" s="110" t="str">
        <f t="shared" si="439"/>
        <v/>
      </c>
      <c r="FK199" s="108" t="str">
        <f t="shared" si="370"/>
        <v/>
      </c>
      <c r="FL199" s="109" t="str">
        <f t="shared" si="371"/>
        <v/>
      </c>
      <c r="FM199" s="109" t="str">
        <f t="shared" si="297"/>
        <v/>
      </c>
      <c r="FN199" s="110" t="str">
        <f t="shared" si="440"/>
        <v/>
      </c>
      <c r="FP199" s="108" t="str">
        <f t="shared" si="298"/>
        <v/>
      </c>
      <c r="FQ199" s="109" t="str">
        <f t="shared" si="372"/>
        <v/>
      </c>
      <c r="FR199" s="109" t="str">
        <f t="shared" si="299"/>
        <v/>
      </c>
      <c r="FS199" s="110" t="str">
        <f t="shared" si="441"/>
        <v/>
      </c>
      <c r="FU199" s="108" t="str">
        <f t="shared" si="373"/>
        <v/>
      </c>
      <c r="FV199" s="109" t="str">
        <f t="shared" si="374"/>
        <v/>
      </c>
      <c r="FW199" s="109" t="str">
        <f t="shared" si="300"/>
        <v/>
      </c>
      <c r="FX199" s="110" t="str">
        <f t="shared" si="442"/>
        <v/>
      </c>
      <c r="FZ199" s="108" t="str">
        <f t="shared" si="301"/>
        <v/>
      </c>
      <c r="GA199" s="109" t="str">
        <f t="shared" si="375"/>
        <v/>
      </c>
      <c r="GB199" s="109" t="str">
        <f t="shared" si="302"/>
        <v/>
      </c>
      <c r="GC199" s="110" t="str">
        <f t="shared" si="443"/>
        <v/>
      </c>
      <c r="GE199" s="108" t="str">
        <f t="shared" si="376"/>
        <v/>
      </c>
      <c r="GF199" s="109" t="str">
        <f t="shared" si="377"/>
        <v/>
      </c>
      <c r="GG199" s="109" t="str">
        <f t="shared" si="378"/>
        <v/>
      </c>
      <c r="GH199" s="110" t="str">
        <f t="shared" si="444"/>
        <v/>
      </c>
      <c r="GL199" s="108" t="str">
        <f t="shared" si="303"/>
        <v/>
      </c>
      <c r="GM199" s="109" t="str">
        <f t="shared" si="304"/>
        <v/>
      </c>
      <c r="GN199" s="109" t="str">
        <f t="shared" si="305"/>
        <v/>
      </c>
      <c r="GO199" s="110" t="str">
        <f t="shared" si="306"/>
        <v/>
      </c>
      <c r="GP199" s="51"/>
      <c r="GQ199" s="108" t="str">
        <f t="shared" si="307"/>
        <v/>
      </c>
      <c r="GR199" s="109" t="str">
        <f t="shared" si="379"/>
        <v/>
      </c>
      <c r="GS199" s="109" t="str">
        <f t="shared" si="308"/>
        <v/>
      </c>
      <c r="GT199" s="110" t="str">
        <f t="shared" si="309"/>
        <v/>
      </c>
      <c r="GU199" s="51"/>
      <c r="GV199" s="108" t="str">
        <f t="shared" si="380"/>
        <v/>
      </c>
      <c r="GW199" s="109" t="str">
        <f t="shared" si="381"/>
        <v/>
      </c>
      <c r="GX199" s="109" t="str">
        <f t="shared" si="310"/>
        <v/>
      </c>
      <c r="GY199" s="110" t="str">
        <f t="shared" si="382"/>
        <v/>
      </c>
      <c r="GZ199" s="51"/>
      <c r="HA199" s="108" t="str">
        <f t="shared" si="311"/>
        <v/>
      </c>
      <c r="HB199" s="109" t="str">
        <f t="shared" si="383"/>
        <v/>
      </c>
      <c r="HC199" s="109" t="str">
        <f t="shared" si="312"/>
        <v/>
      </c>
      <c r="HD199" s="110" t="str">
        <f t="shared" si="417"/>
        <v/>
      </c>
      <c r="HE199" s="51"/>
      <c r="HF199" s="108" t="str">
        <f t="shared" si="384"/>
        <v/>
      </c>
      <c r="HG199" s="109" t="str">
        <f t="shared" si="385"/>
        <v/>
      </c>
      <c r="HH199" s="109" t="str">
        <f t="shared" si="313"/>
        <v/>
      </c>
      <c r="HI199" s="110" t="str">
        <f t="shared" si="386"/>
        <v/>
      </c>
      <c r="HJ199" s="51"/>
      <c r="HK199" s="108" t="str">
        <f t="shared" si="314"/>
        <v/>
      </c>
      <c r="HL199" s="109" t="str">
        <f t="shared" si="387"/>
        <v/>
      </c>
      <c r="HM199" s="109" t="str">
        <f t="shared" si="315"/>
        <v/>
      </c>
      <c r="HN199" s="110" t="str">
        <f t="shared" si="418"/>
        <v/>
      </c>
      <c r="HO199" s="51"/>
      <c r="HP199" s="108" t="str">
        <f t="shared" si="388"/>
        <v/>
      </c>
      <c r="HQ199" s="109" t="str">
        <f t="shared" si="389"/>
        <v/>
      </c>
      <c r="HR199" s="109" t="str">
        <f t="shared" si="316"/>
        <v/>
      </c>
      <c r="HS199" s="110" t="str">
        <f t="shared" si="390"/>
        <v/>
      </c>
      <c r="HT199" s="51"/>
      <c r="HU199" s="108" t="str">
        <f t="shared" si="317"/>
        <v/>
      </c>
      <c r="HV199" s="109" t="str">
        <f t="shared" si="391"/>
        <v/>
      </c>
      <c r="HW199" s="109" t="str">
        <f t="shared" si="318"/>
        <v/>
      </c>
      <c r="HX199" s="110" t="str">
        <f t="shared" si="419"/>
        <v/>
      </c>
      <c r="HY199" s="51"/>
      <c r="HZ199" s="108" t="str">
        <f t="shared" si="392"/>
        <v/>
      </c>
      <c r="IA199" s="109" t="str">
        <f t="shared" si="393"/>
        <v/>
      </c>
      <c r="IB199" s="109" t="str">
        <f t="shared" si="319"/>
        <v/>
      </c>
      <c r="IC199" s="110" t="str">
        <f t="shared" si="394"/>
        <v/>
      </c>
      <c r="ID199" s="51"/>
      <c r="IE199" s="108" t="str">
        <f t="shared" si="320"/>
        <v/>
      </c>
      <c r="IF199" s="109" t="str">
        <f t="shared" si="395"/>
        <v/>
      </c>
      <c r="IG199" s="109" t="str">
        <f t="shared" si="321"/>
        <v/>
      </c>
      <c r="IH199" s="110" t="str">
        <f t="shared" si="420"/>
        <v/>
      </c>
      <c r="II199" s="51"/>
      <c r="IJ199" s="108" t="str">
        <f t="shared" si="396"/>
        <v/>
      </c>
      <c r="IK199" s="109" t="str">
        <f t="shared" si="397"/>
        <v/>
      </c>
      <c r="IL199" s="109" t="str">
        <f t="shared" si="322"/>
        <v/>
      </c>
      <c r="IM199" s="110" t="str">
        <f t="shared" si="398"/>
        <v/>
      </c>
      <c r="IN199" s="51"/>
      <c r="IO199" s="108" t="str">
        <f t="shared" si="323"/>
        <v/>
      </c>
      <c r="IP199" s="109" t="str">
        <f t="shared" si="399"/>
        <v/>
      </c>
      <c r="IQ199" s="109" t="str">
        <f t="shared" si="324"/>
        <v/>
      </c>
      <c r="IR199" s="110" t="str">
        <f t="shared" si="421"/>
        <v/>
      </c>
      <c r="IS199" s="51"/>
      <c r="IT199" s="108" t="str">
        <f t="shared" si="400"/>
        <v/>
      </c>
      <c r="IU199" s="109" t="str">
        <f t="shared" si="401"/>
        <v/>
      </c>
      <c r="IV199" s="109" t="str">
        <f t="shared" si="325"/>
        <v/>
      </c>
      <c r="IW199" s="110" t="str">
        <f t="shared" si="402"/>
        <v/>
      </c>
      <c r="IX199" s="51"/>
      <c r="IY199" s="108" t="str">
        <f t="shared" si="326"/>
        <v/>
      </c>
      <c r="IZ199" s="109" t="str">
        <f t="shared" si="403"/>
        <v/>
      </c>
      <c r="JA199" s="109" t="str">
        <f t="shared" si="327"/>
        <v/>
      </c>
      <c r="JB199" s="110" t="str">
        <f t="shared" si="422"/>
        <v/>
      </c>
      <c r="JC199" s="51"/>
      <c r="JD199" s="108" t="str">
        <f t="shared" si="404"/>
        <v/>
      </c>
      <c r="JE199" s="109" t="str">
        <f t="shared" si="405"/>
        <v/>
      </c>
      <c r="JF199" s="109" t="str">
        <f t="shared" si="328"/>
        <v/>
      </c>
      <c r="JG199" s="110" t="str">
        <f t="shared" si="406"/>
        <v/>
      </c>
      <c r="JH199" s="51"/>
      <c r="JI199" s="108" t="str">
        <f t="shared" si="329"/>
        <v/>
      </c>
      <c r="JJ199" s="109" t="str">
        <f t="shared" si="407"/>
        <v/>
      </c>
      <c r="JK199" s="109" t="str">
        <f t="shared" si="330"/>
        <v/>
      </c>
      <c r="JL199" s="110" t="str">
        <f t="shared" si="423"/>
        <v/>
      </c>
      <c r="JM199" s="51"/>
      <c r="JN199" s="108" t="str">
        <f t="shared" si="408"/>
        <v/>
      </c>
      <c r="JO199" s="109" t="str">
        <f t="shared" si="409"/>
        <v/>
      </c>
      <c r="JP199" s="109" t="str">
        <f t="shared" si="331"/>
        <v/>
      </c>
      <c r="JQ199" s="110" t="str">
        <f t="shared" si="410"/>
        <v/>
      </c>
      <c r="JR199" s="51"/>
      <c r="JS199" s="108" t="str">
        <f t="shared" si="332"/>
        <v/>
      </c>
      <c r="JT199" s="109" t="str">
        <f t="shared" si="411"/>
        <v/>
      </c>
      <c r="JU199" s="109" t="str">
        <f t="shared" si="333"/>
        <v/>
      </c>
      <c r="JV199" s="110" t="str">
        <f t="shared" si="424"/>
        <v/>
      </c>
      <c r="JW199" s="51"/>
      <c r="JX199" s="108" t="str">
        <f t="shared" si="412"/>
        <v/>
      </c>
      <c r="JY199" s="109" t="str">
        <f t="shared" si="413"/>
        <v/>
      </c>
      <c r="JZ199" s="109" t="str">
        <f t="shared" si="334"/>
        <v/>
      </c>
      <c r="KA199" s="110" t="str">
        <f t="shared" si="335"/>
        <v/>
      </c>
    </row>
    <row r="200" spans="1:287" ht="12" customHeight="1" thickBot="1">
      <c r="A200" s="105">
        <f t="array" ref="A200">MAX(IF($J$80:J199&gt;0,$C$80:C199,0))</f>
        <v>43536</v>
      </c>
      <c r="B200" s="81" t="str">
        <f t="shared" si="248"/>
        <v/>
      </c>
      <c r="C200" s="82">
        <f t="shared" si="414"/>
        <v>0</v>
      </c>
      <c r="D200" s="83" t="str">
        <f t="shared" si="249"/>
        <v/>
      </c>
      <c r="E200" s="83" t="str">
        <f t="shared" si="336"/>
        <v/>
      </c>
      <c r="F200" s="83" t="str">
        <f t="shared" si="250"/>
        <v/>
      </c>
      <c r="G200" s="83" t="str">
        <f t="shared" si="251"/>
        <v/>
      </c>
      <c r="H200" s="83" t="str">
        <f t="shared" si="252"/>
        <v/>
      </c>
      <c r="I200" s="105">
        <f t="array" ref="I200">MAX(IF($R$80:R199&gt;0,$L$80:L199,0))</f>
        <v>0</v>
      </c>
      <c r="J200" s="106"/>
      <c r="K200" s="69" t="str">
        <f t="shared" si="253"/>
        <v/>
      </c>
      <c r="L200" s="82">
        <f t="shared" si="415"/>
        <v>0</v>
      </c>
      <c r="M200" s="83" t="str">
        <f t="shared" si="337"/>
        <v/>
      </c>
      <c r="N200" s="83" t="str">
        <f t="shared" si="254"/>
        <v/>
      </c>
      <c r="O200" s="83" t="str">
        <f t="shared" si="255"/>
        <v/>
      </c>
      <c r="P200" s="83" t="str">
        <f t="shared" si="256"/>
        <v/>
      </c>
      <c r="Q200" s="83" t="str">
        <f t="shared" si="257"/>
        <v/>
      </c>
      <c r="R200" s="106"/>
      <c r="S200" s="1"/>
      <c r="U200" s="118" t="e">
        <f t="shared" si="244"/>
        <v>#NUM!</v>
      </c>
      <c r="V200" s="119" t="e">
        <f t="shared" si="338"/>
        <v>#NUM!</v>
      </c>
      <c r="W200" s="120" t="e">
        <f t="shared" si="258"/>
        <v>#NUM!</v>
      </c>
      <c r="X200" s="120" t="e">
        <f t="shared" si="259"/>
        <v>#NUM!</v>
      </c>
      <c r="Y200" s="120" t="e">
        <f t="shared" si="260"/>
        <v>#NUM!</v>
      </c>
      <c r="Z200" s="121" t="e">
        <f t="shared" si="245"/>
        <v>#NUM!</v>
      </c>
      <c r="AA200" t="s">
        <v>282</v>
      </c>
      <c r="AB200" s="122">
        <f t="shared" si="339"/>
        <v>0</v>
      </c>
      <c r="AC200" s="120">
        <f t="shared" si="340"/>
        <v>0</v>
      </c>
      <c r="AD200" s="120" t="str">
        <f t="shared" si="261"/>
        <v/>
      </c>
      <c r="AE200" s="120" t="str">
        <f t="shared" si="262"/>
        <v/>
      </c>
      <c r="AF200" s="119">
        <f t="shared" si="341"/>
        <v>0</v>
      </c>
      <c r="AG200" s="120">
        <f t="shared" si="246"/>
        <v>0</v>
      </c>
      <c r="AH200" s="120">
        <f t="shared" si="342"/>
        <v>0</v>
      </c>
      <c r="AI200" s="123"/>
      <c r="AJ200" s="120" t="e">
        <f t="shared" si="263"/>
        <v>#NUM!</v>
      </c>
      <c r="AK200" s="120" t="e">
        <f t="shared" si="343"/>
        <v>#NUM!</v>
      </c>
      <c r="AL200" s="120" t="e">
        <f t="shared" si="344"/>
        <v>#NUM!</v>
      </c>
      <c r="AM200" s="120" t="e">
        <f t="shared" si="345"/>
        <v>#NUM!</v>
      </c>
      <c r="AN200" s="119">
        <f t="shared" si="264"/>
        <v>0</v>
      </c>
      <c r="AO200" s="120">
        <f t="shared" si="265"/>
        <v>0</v>
      </c>
      <c r="AP200" s="121">
        <f t="shared" si="266"/>
        <v>0</v>
      </c>
      <c r="AR200" s="122">
        <f t="shared" si="267"/>
        <v>0</v>
      </c>
      <c r="AS200" s="120">
        <f t="shared" si="268"/>
        <v>0</v>
      </c>
      <c r="AT200" s="120" t="str">
        <f t="shared" si="269"/>
        <v/>
      </c>
      <c r="AU200" s="120" t="str">
        <f t="shared" si="270"/>
        <v/>
      </c>
      <c r="AV200" s="119">
        <f t="shared" si="346"/>
        <v>0</v>
      </c>
      <c r="AW200" s="120">
        <f t="shared" si="347"/>
        <v>0</v>
      </c>
      <c r="AX200" s="120">
        <f t="shared" si="348"/>
        <v>0</v>
      </c>
      <c r="AY200" s="93"/>
      <c r="AZ200" s="120">
        <f t="shared" si="425"/>
        <v>0</v>
      </c>
      <c r="BA200" s="120">
        <f t="shared" si="349"/>
        <v>0</v>
      </c>
      <c r="BB200" s="120">
        <f t="shared" si="350"/>
        <v>0</v>
      </c>
      <c r="BC200" s="120">
        <f t="shared" si="416"/>
        <v>0</v>
      </c>
      <c r="BD200" s="119" t="e">
        <f t="shared" si="271"/>
        <v>#NUM!</v>
      </c>
      <c r="BE200" s="120" t="e">
        <f t="shared" si="247"/>
        <v>#NUM!</v>
      </c>
      <c r="BF200" s="121">
        <f t="shared" si="351"/>
        <v>0</v>
      </c>
      <c r="BH200" s="87" t="e">
        <f t="shared" si="272"/>
        <v>#NUM!</v>
      </c>
      <c r="BK200" s="95">
        <v>42371</v>
      </c>
      <c r="CS200" s="126" t="str">
        <f t="shared" si="273"/>
        <v/>
      </c>
      <c r="CT200" s="127" t="str">
        <f t="shared" si="274"/>
        <v/>
      </c>
      <c r="CU200" s="127" t="str">
        <f t="shared" si="275"/>
        <v/>
      </c>
      <c r="CV200" s="128" t="str">
        <f t="shared" si="426"/>
        <v/>
      </c>
      <c r="CX200" s="126" t="str">
        <f t="shared" si="276"/>
        <v/>
      </c>
      <c r="CY200" s="127" t="str">
        <f t="shared" si="352"/>
        <v/>
      </c>
      <c r="CZ200" s="127" t="str">
        <f t="shared" si="277"/>
        <v/>
      </c>
      <c r="DA200" s="128" t="str">
        <f t="shared" si="427"/>
        <v/>
      </c>
      <c r="DC200" s="126" t="str">
        <f t="shared" si="353"/>
        <v/>
      </c>
      <c r="DD200" s="127" t="str">
        <f t="shared" si="354"/>
        <v/>
      </c>
      <c r="DE200" s="127" t="str">
        <f t="shared" si="278"/>
        <v/>
      </c>
      <c r="DF200" s="128" t="str">
        <f t="shared" si="428"/>
        <v/>
      </c>
      <c r="DH200" s="126" t="str">
        <f t="shared" si="279"/>
        <v/>
      </c>
      <c r="DI200" s="127" t="str">
        <f t="shared" si="280"/>
        <v/>
      </c>
      <c r="DJ200" s="127" t="str">
        <f t="shared" si="281"/>
        <v/>
      </c>
      <c r="DK200" s="128" t="str">
        <f t="shared" si="429"/>
        <v/>
      </c>
      <c r="DM200" s="126" t="str">
        <f t="shared" si="355"/>
        <v/>
      </c>
      <c r="DN200" s="127" t="str">
        <f t="shared" si="356"/>
        <v/>
      </c>
      <c r="DO200" s="127" t="str">
        <f t="shared" si="282"/>
        <v/>
      </c>
      <c r="DP200" s="128" t="str">
        <f t="shared" si="430"/>
        <v/>
      </c>
      <c r="DR200" s="126" t="str">
        <f t="shared" si="283"/>
        <v/>
      </c>
      <c r="DS200" s="127" t="str">
        <f t="shared" si="357"/>
        <v/>
      </c>
      <c r="DT200" s="127" t="str">
        <f t="shared" si="284"/>
        <v/>
      </c>
      <c r="DU200" s="128" t="str">
        <f t="shared" si="431"/>
        <v/>
      </c>
      <c r="DW200" s="126" t="str">
        <f t="shared" si="358"/>
        <v/>
      </c>
      <c r="DX200" s="127" t="str">
        <f t="shared" si="359"/>
        <v/>
      </c>
      <c r="DY200" s="127" t="str">
        <f t="shared" si="285"/>
        <v/>
      </c>
      <c r="DZ200" s="128" t="str">
        <f t="shared" si="432"/>
        <v/>
      </c>
      <c r="EB200" s="126" t="str">
        <f t="shared" si="286"/>
        <v/>
      </c>
      <c r="EC200" s="127" t="str">
        <f t="shared" si="360"/>
        <v/>
      </c>
      <c r="ED200" s="127" t="str">
        <f t="shared" si="287"/>
        <v/>
      </c>
      <c r="EE200" s="128" t="str">
        <f t="shared" si="433"/>
        <v/>
      </c>
      <c r="EG200" s="126" t="str">
        <f t="shared" si="361"/>
        <v/>
      </c>
      <c r="EH200" s="127" t="str">
        <f t="shared" si="362"/>
        <v/>
      </c>
      <c r="EI200" s="127" t="str">
        <f t="shared" si="288"/>
        <v/>
      </c>
      <c r="EJ200" s="128" t="str">
        <f t="shared" si="434"/>
        <v/>
      </c>
      <c r="EL200" s="126" t="str">
        <f t="shared" si="289"/>
        <v/>
      </c>
      <c r="EM200" s="127" t="str">
        <f t="shared" si="363"/>
        <v/>
      </c>
      <c r="EN200" s="127" t="str">
        <f t="shared" si="290"/>
        <v/>
      </c>
      <c r="EO200" s="128" t="str">
        <f t="shared" si="435"/>
        <v/>
      </c>
      <c r="EQ200" s="126" t="str">
        <f t="shared" si="364"/>
        <v/>
      </c>
      <c r="ER200" s="127" t="str">
        <f t="shared" si="365"/>
        <v/>
      </c>
      <c r="ES200" s="127" t="str">
        <f t="shared" si="291"/>
        <v/>
      </c>
      <c r="ET200" s="128" t="str">
        <f t="shared" si="436"/>
        <v/>
      </c>
      <c r="EV200" s="126" t="str">
        <f t="shared" si="292"/>
        <v/>
      </c>
      <c r="EW200" s="127" t="str">
        <f t="shared" si="366"/>
        <v/>
      </c>
      <c r="EX200" s="127" t="str">
        <f t="shared" si="293"/>
        <v/>
      </c>
      <c r="EY200" s="128" t="str">
        <f t="shared" si="437"/>
        <v/>
      </c>
      <c r="FA200" s="126" t="str">
        <f t="shared" si="367"/>
        <v/>
      </c>
      <c r="FB200" s="127" t="str">
        <f t="shared" si="368"/>
        <v/>
      </c>
      <c r="FC200" s="127" t="str">
        <f t="shared" si="294"/>
        <v/>
      </c>
      <c r="FD200" s="128" t="str">
        <f t="shared" si="438"/>
        <v/>
      </c>
      <c r="FF200" s="126" t="str">
        <f t="shared" si="295"/>
        <v/>
      </c>
      <c r="FG200" s="127" t="str">
        <f t="shared" si="369"/>
        <v/>
      </c>
      <c r="FH200" s="127" t="str">
        <f t="shared" si="296"/>
        <v/>
      </c>
      <c r="FI200" s="128" t="str">
        <f t="shared" si="439"/>
        <v/>
      </c>
      <c r="FK200" s="126" t="str">
        <f t="shared" si="370"/>
        <v/>
      </c>
      <c r="FL200" s="127" t="str">
        <f t="shared" si="371"/>
        <v/>
      </c>
      <c r="FM200" s="127" t="str">
        <f t="shared" si="297"/>
        <v/>
      </c>
      <c r="FN200" s="128" t="str">
        <f t="shared" si="440"/>
        <v/>
      </c>
      <c r="FP200" s="126" t="str">
        <f t="shared" si="298"/>
        <v/>
      </c>
      <c r="FQ200" s="127" t="str">
        <f t="shared" si="372"/>
        <v/>
      </c>
      <c r="FR200" s="127" t="str">
        <f t="shared" si="299"/>
        <v/>
      </c>
      <c r="FS200" s="128" t="str">
        <f t="shared" si="441"/>
        <v/>
      </c>
      <c r="FU200" s="126" t="str">
        <f t="shared" si="373"/>
        <v/>
      </c>
      <c r="FV200" s="127" t="str">
        <f t="shared" si="374"/>
        <v/>
      </c>
      <c r="FW200" s="127" t="str">
        <f t="shared" si="300"/>
        <v/>
      </c>
      <c r="FX200" s="128" t="str">
        <f t="shared" si="442"/>
        <v/>
      </c>
      <c r="FZ200" s="126" t="str">
        <f t="shared" si="301"/>
        <v/>
      </c>
      <c r="GA200" s="127" t="str">
        <f t="shared" si="375"/>
        <v/>
      </c>
      <c r="GB200" s="127" t="str">
        <f t="shared" si="302"/>
        <v/>
      </c>
      <c r="GC200" s="128" t="str">
        <f t="shared" si="443"/>
        <v/>
      </c>
      <c r="GE200" s="126" t="str">
        <f t="shared" si="376"/>
        <v/>
      </c>
      <c r="GF200" s="127" t="str">
        <f t="shared" si="377"/>
        <v/>
      </c>
      <c r="GG200" s="127" t="str">
        <f t="shared" si="378"/>
        <v/>
      </c>
      <c r="GH200" s="128" t="str">
        <f t="shared" si="444"/>
        <v/>
      </c>
      <c r="GL200" s="126" t="str">
        <f t="shared" si="303"/>
        <v/>
      </c>
      <c r="GM200" s="127" t="str">
        <f t="shared" si="304"/>
        <v/>
      </c>
      <c r="GN200" s="127" t="str">
        <f t="shared" si="305"/>
        <v/>
      </c>
      <c r="GO200" s="128" t="str">
        <f t="shared" si="306"/>
        <v/>
      </c>
      <c r="GP200" s="51"/>
      <c r="GQ200" s="126" t="str">
        <f t="shared" si="307"/>
        <v/>
      </c>
      <c r="GR200" s="127" t="str">
        <f t="shared" si="379"/>
        <v/>
      </c>
      <c r="GS200" s="127" t="str">
        <f t="shared" si="308"/>
        <v/>
      </c>
      <c r="GT200" s="128" t="str">
        <f t="shared" si="309"/>
        <v/>
      </c>
      <c r="GU200" s="51"/>
      <c r="GV200" s="126" t="str">
        <f t="shared" si="380"/>
        <v/>
      </c>
      <c r="GW200" s="127" t="str">
        <f t="shared" si="381"/>
        <v/>
      </c>
      <c r="GX200" s="127" t="str">
        <f t="shared" si="310"/>
        <v/>
      </c>
      <c r="GY200" s="128" t="str">
        <f t="shared" si="382"/>
        <v/>
      </c>
      <c r="GZ200" s="51"/>
      <c r="HA200" s="126" t="str">
        <f t="shared" si="311"/>
        <v/>
      </c>
      <c r="HB200" s="127" t="str">
        <f t="shared" si="383"/>
        <v/>
      </c>
      <c r="HC200" s="127" t="str">
        <f t="shared" si="312"/>
        <v/>
      </c>
      <c r="HD200" s="128" t="str">
        <f t="shared" si="417"/>
        <v/>
      </c>
      <c r="HE200" s="51"/>
      <c r="HF200" s="126" t="str">
        <f t="shared" si="384"/>
        <v/>
      </c>
      <c r="HG200" s="127" t="str">
        <f t="shared" si="385"/>
        <v/>
      </c>
      <c r="HH200" s="127" t="str">
        <f t="shared" si="313"/>
        <v/>
      </c>
      <c r="HI200" s="128" t="str">
        <f t="shared" si="386"/>
        <v/>
      </c>
      <c r="HJ200" s="51"/>
      <c r="HK200" s="126" t="str">
        <f t="shared" si="314"/>
        <v/>
      </c>
      <c r="HL200" s="127" t="str">
        <f t="shared" si="387"/>
        <v/>
      </c>
      <c r="HM200" s="127" t="str">
        <f t="shared" si="315"/>
        <v/>
      </c>
      <c r="HN200" s="128" t="str">
        <f t="shared" si="418"/>
        <v/>
      </c>
      <c r="HO200" s="51"/>
      <c r="HP200" s="126" t="str">
        <f t="shared" si="388"/>
        <v/>
      </c>
      <c r="HQ200" s="127" t="str">
        <f t="shared" si="389"/>
        <v/>
      </c>
      <c r="HR200" s="127" t="str">
        <f t="shared" si="316"/>
        <v/>
      </c>
      <c r="HS200" s="128" t="str">
        <f t="shared" si="390"/>
        <v/>
      </c>
      <c r="HT200" s="51"/>
      <c r="HU200" s="126" t="str">
        <f t="shared" si="317"/>
        <v/>
      </c>
      <c r="HV200" s="127" t="str">
        <f t="shared" si="391"/>
        <v/>
      </c>
      <c r="HW200" s="127" t="str">
        <f t="shared" si="318"/>
        <v/>
      </c>
      <c r="HX200" s="128" t="str">
        <f t="shared" si="419"/>
        <v/>
      </c>
      <c r="HY200" s="51"/>
      <c r="HZ200" s="126" t="str">
        <f t="shared" si="392"/>
        <v/>
      </c>
      <c r="IA200" s="127" t="str">
        <f t="shared" si="393"/>
        <v/>
      </c>
      <c r="IB200" s="127" t="str">
        <f t="shared" si="319"/>
        <v/>
      </c>
      <c r="IC200" s="128" t="str">
        <f t="shared" si="394"/>
        <v/>
      </c>
      <c r="ID200" s="51"/>
      <c r="IE200" s="126" t="str">
        <f t="shared" si="320"/>
        <v/>
      </c>
      <c r="IF200" s="127" t="str">
        <f t="shared" si="395"/>
        <v/>
      </c>
      <c r="IG200" s="127" t="str">
        <f t="shared" si="321"/>
        <v/>
      </c>
      <c r="IH200" s="128" t="str">
        <f t="shared" si="420"/>
        <v/>
      </c>
      <c r="II200" s="51"/>
      <c r="IJ200" s="126" t="str">
        <f t="shared" si="396"/>
        <v/>
      </c>
      <c r="IK200" s="127" t="str">
        <f t="shared" si="397"/>
        <v/>
      </c>
      <c r="IL200" s="127" t="str">
        <f t="shared" si="322"/>
        <v/>
      </c>
      <c r="IM200" s="128" t="str">
        <f t="shared" si="398"/>
        <v/>
      </c>
      <c r="IN200" s="51"/>
      <c r="IO200" s="126" t="str">
        <f t="shared" si="323"/>
        <v/>
      </c>
      <c r="IP200" s="127" t="str">
        <f t="shared" si="399"/>
        <v/>
      </c>
      <c r="IQ200" s="127" t="str">
        <f t="shared" si="324"/>
        <v/>
      </c>
      <c r="IR200" s="128" t="str">
        <f t="shared" si="421"/>
        <v/>
      </c>
      <c r="IS200" s="51"/>
      <c r="IT200" s="126" t="str">
        <f t="shared" si="400"/>
        <v/>
      </c>
      <c r="IU200" s="127" t="str">
        <f t="shared" si="401"/>
        <v/>
      </c>
      <c r="IV200" s="127" t="str">
        <f t="shared" si="325"/>
        <v/>
      </c>
      <c r="IW200" s="128" t="str">
        <f t="shared" si="402"/>
        <v/>
      </c>
      <c r="IX200" s="51"/>
      <c r="IY200" s="126" t="str">
        <f t="shared" si="326"/>
        <v/>
      </c>
      <c r="IZ200" s="127" t="str">
        <f t="shared" si="403"/>
        <v/>
      </c>
      <c r="JA200" s="127" t="str">
        <f t="shared" si="327"/>
        <v/>
      </c>
      <c r="JB200" s="128" t="str">
        <f t="shared" si="422"/>
        <v/>
      </c>
      <c r="JC200" s="51"/>
      <c r="JD200" s="126" t="str">
        <f t="shared" si="404"/>
        <v/>
      </c>
      <c r="JE200" s="127" t="str">
        <f t="shared" si="405"/>
        <v/>
      </c>
      <c r="JF200" s="127" t="str">
        <f t="shared" si="328"/>
        <v/>
      </c>
      <c r="JG200" s="128" t="str">
        <f t="shared" si="406"/>
        <v/>
      </c>
      <c r="JH200" s="51"/>
      <c r="JI200" s="126" t="str">
        <f t="shared" si="329"/>
        <v/>
      </c>
      <c r="JJ200" s="127" t="str">
        <f t="shared" si="407"/>
        <v/>
      </c>
      <c r="JK200" s="127" t="str">
        <f t="shared" si="330"/>
        <v/>
      </c>
      <c r="JL200" s="128" t="str">
        <f t="shared" si="423"/>
        <v/>
      </c>
      <c r="JM200" s="51"/>
      <c r="JN200" s="126" t="str">
        <f t="shared" si="408"/>
        <v/>
      </c>
      <c r="JO200" s="127" t="str">
        <f t="shared" si="409"/>
        <v/>
      </c>
      <c r="JP200" s="127" t="str">
        <f t="shared" si="331"/>
        <v/>
      </c>
      <c r="JQ200" s="128" t="str">
        <f t="shared" si="410"/>
        <v/>
      </c>
      <c r="JR200" s="51"/>
      <c r="JS200" s="126" t="str">
        <f t="shared" si="332"/>
        <v/>
      </c>
      <c r="JT200" s="127" t="str">
        <f t="shared" si="411"/>
        <v/>
      </c>
      <c r="JU200" s="127" t="str">
        <f t="shared" si="333"/>
        <v/>
      </c>
      <c r="JV200" s="128" t="str">
        <f t="shared" si="424"/>
        <v/>
      </c>
      <c r="JW200" s="51"/>
      <c r="JX200" s="126" t="str">
        <f t="shared" si="412"/>
        <v/>
      </c>
      <c r="JY200" s="127" t="str">
        <f t="shared" si="413"/>
        <v/>
      </c>
      <c r="JZ200" s="127" t="str">
        <f t="shared" si="334"/>
        <v/>
      </c>
      <c r="KA200" s="128" t="str">
        <f t="shared" si="335"/>
        <v/>
      </c>
    </row>
    <row r="201" spans="1:287">
      <c r="B201"/>
      <c r="C201"/>
      <c r="D201"/>
      <c r="E201"/>
      <c r="F201"/>
      <c r="G201"/>
      <c r="H201"/>
      <c r="R201" s="106"/>
      <c r="U201" s="129"/>
      <c r="V201" s="130"/>
      <c r="W201" s="131"/>
      <c r="X201" s="131"/>
      <c r="Y201" s="131"/>
      <c r="Z201" s="131"/>
      <c r="AA201" s="132"/>
      <c r="AB201" s="131"/>
      <c r="AC201" s="131"/>
      <c r="AD201" s="131"/>
      <c r="AE201" s="131"/>
      <c r="AF201" s="130"/>
      <c r="AG201" s="131"/>
      <c r="AH201" s="131"/>
      <c r="AI201" s="132"/>
      <c r="AJ201" s="131"/>
      <c r="AK201" s="131"/>
      <c r="AL201" s="131"/>
      <c r="AM201" s="131"/>
      <c r="AN201" s="131"/>
      <c r="AO201" s="131"/>
      <c r="AP201" s="131"/>
      <c r="AQ201" s="132"/>
      <c r="AR201" s="131"/>
      <c r="AS201" s="131"/>
      <c r="AT201" s="131"/>
      <c r="AU201" s="131"/>
      <c r="AV201" s="131"/>
      <c r="AW201" s="131"/>
      <c r="AX201" s="131"/>
      <c r="AY201" s="132"/>
      <c r="AZ201" s="131"/>
      <c r="BA201" s="131"/>
      <c r="BB201" s="131"/>
      <c r="BC201" s="131"/>
      <c r="BD201" s="131"/>
      <c r="BE201" s="131"/>
      <c r="BF201" s="131"/>
      <c r="BH201" s="87" t="e">
        <f t="shared" si="272"/>
        <v>#NUM!</v>
      </c>
      <c r="BK201" s="95">
        <v>42376</v>
      </c>
    </row>
    <row r="202" spans="1:287" hidden="1">
      <c r="B202"/>
      <c r="C202"/>
      <c r="D202"/>
      <c r="E202"/>
      <c r="F202"/>
      <c r="G202"/>
      <c r="H202"/>
      <c r="R202" s="106"/>
      <c r="U202" s="129"/>
      <c r="V202" s="130"/>
      <c r="W202" s="131"/>
      <c r="X202" s="131"/>
      <c r="Y202" s="131"/>
      <c r="Z202" s="131"/>
      <c r="AA202" s="132"/>
      <c r="AB202" s="131"/>
      <c r="AC202" s="131"/>
      <c r="AD202" s="131"/>
      <c r="AE202" s="131"/>
      <c r="AF202" s="131"/>
      <c r="AG202" s="131"/>
      <c r="AH202" s="131"/>
      <c r="AI202" s="132"/>
      <c r="AJ202" s="131"/>
      <c r="AK202" s="131"/>
      <c r="AL202" s="131"/>
      <c r="AM202" s="131"/>
      <c r="AN202" s="131"/>
      <c r="AO202" s="131"/>
      <c r="AP202" s="131"/>
      <c r="AQ202" s="132"/>
      <c r="AR202" s="131"/>
      <c r="AS202" s="131"/>
      <c r="AT202" s="131"/>
      <c r="AU202" s="131"/>
      <c r="AV202" s="131"/>
      <c r="AW202" s="131"/>
      <c r="AX202" s="131"/>
      <c r="AY202" s="132"/>
      <c r="AZ202" s="131"/>
      <c r="BA202" s="131"/>
      <c r="BB202" s="131"/>
      <c r="BC202" s="131"/>
      <c r="BD202" s="131"/>
      <c r="BE202" s="131"/>
      <c r="BF202" s="131"/>
      <c r="BK202" s="95">
        <v>42388</v>
      </c>
    </row>
    <row r="203" spans="1:287" hidden="1">
      <c r="B203"/>
      <c r="C203"/>
      <c r="D203"/>
      <c r="E203"/>
      <c r="F203"/>
      <c r="G203"/>
      <c r="H203"/>
      <c r="R203" s="106"/>
      <c r="U203" s="129"/>
      <c r="V203" s="130"/>
      <c r="W203" s="131"/>
      <c r="X203" s="131"/>
      <c r="Y203" s="131"/>
      <c r="Z203" s="131"/>
      <c r="AA203" s="132"/>
      <c r="AB203" s="131"/>
      <c r="AC203" s="131"/>
      <c r="AD203" s="131"/>
      <c r="AE203" s="131"/>
      <c r="AF203" s="131"/>
      <c r="AG203" s="131"/>
      <c r="AH203" s="131"/>
      <c r="AI203" s="132"/>
      <c r="AJ203" s="131"/>
      <c r="AK203" s="131"/>
      <c r="AL203" s="131"/>
      <c r="AM203" s="131"/>
      <c r="AN203" s="131"/>
      <c r="AO203" s="131"/>
      <c r="AP203" s="131"/>
      <c r="AQ203" s="132"/>
      <c r="AR203" s="131"/>
      <c r="AS203" s="131"/>
      <c r="AT203" s="131"/>
      <c r="AU203" s="131"/>
      <c r="AV203" s="131"/>
      <c r="AW203" s="131"/>
      <c r="AX203" s="131"/>
      <c r="AY203" s="132"/>
      <c r="AZ203" s="131"/>
      <c r="BA203" s="131"/>
      <c r="BB203" s="131"/>
      <c r="BC203" s="131"/>
      <c r="BD203" s="131"/>
      <c r="BE203" s="131"/>
      <c r="BF203" s="131"/>
      <c r="BK203" s="95">
        <v>42432</v>
      </c>
    </row>
    <row r="204" spans="1:287" hidden="1">
      <c r="B204"/>
      <c r="C204"/>
      <c r="D204"/>
      <c r="E204"/>
      <c r="F204"/>
      <c r="G204"/>
      <c r="H204"/>
      <c r="R204" s="106"/>
      <c r="U204" s="129"/>
      <c r="V204" s="130"/>
      <c r="W204" s="131"/>
      <c r="X204" s="131"/>
      <c r="Y204" s="131"/>
      <c r="Z204" s="131"/>
      <c r="AA204" s="132"/>
      <c r="AB204" s="131"/>
      <c r="AC204" s="131"/>
      <c r="AD204" s="131"/>
      <c r="AE204" s="131"/>
      <c r="AF204" s="131"/>
      <c r="AG204" s="131"/>
      <c r="AH204" s="131"/>
      <c r="AI204" s="132"/>
      <c r="AJ204" s="131"/>
      <c r="AK204" s="131"/>
      <c r="AL204" s="131"/>
      <c r="AM204" s="131"/>
      <c r="AN204" s="131"/>
      <c r="AO204" s="131"/>
      <c r="AP204" s="131"/>
      <c r="AQ204" s="132"/>
      <c r="AR204" s="131"/>
      <c r="AS204" s="131"/>
      <c r="AT204" s="131"/>
      <c r="AU204" s="131"/>
      <c r="AV204" s="131"/>
      <c r="AW204" s="131"/>
      <c r="AX204" s="131"/>
      <c r="AY204" s="132"/>
      <c r="AZ204" s="131"/>
      <c r="BA204" s="131"/>
      <c r="BB204" s="131"/>
      <c r="BC204" s="131"/>
      <c r="BD204" s="131"/>
      <c r="BE204" s="131"/>
      <c r="BF204" s="131"/>
      <c r="BK204" s="95">
        <v>42437</v>
      </c>
    </row>
    <row r="205" spans="1:287" hidden="1">
      <c r="B205"/>
      <c r="C205"/>
      <c r="D205"/>
      <c r="E205"/>
      <c r="F205"/>
      <c r="G205"/>
      <c r="H205"/>
      <c r="R205" s="106"/>
      <c r="U205" s="129"/>
      <c r="V205" s="130"/>
      <c r="W205" s="131"/>
      <c r="X205" s="131"/>
      <c r="Y205" s="131"/>
      <c r="Z205" s="131"/>
      <c r="AA205" s="132"/>
      <c r="AB205" s="131"/>
      <c r="AC205" s="131"/>
      <c r="AD205" s="131"/>
      <c r="AE205" s="131"/>
      <c r="AF205" s="131"/>
      <c r="AG205" s="131"/>
      <c r="AH205" s="131"/>
      <c r="AI205" s="132"/>
      <c r="AJ205" s="131"/>
      <c r="AK205" s="131"/>
      <c r="AL205" s="131"/>
      <c r="AM205" s="131"/>
      <c r="AN205" s="131"/>
      <c r="AO205" s="131"/>
      <c r="AP205" s="131"/>
      <c r="AQ205" s="132"/>
      <c r="AR205" s="131"/>
      <c r="AS205" s="131"/>
      <c r="AT205" s="131"/>
      <c r="AU205" s="131"/>
      <c r="AV205" s="131"/>
      <c r="AW205" s="131"/>
      <c r="AX205" s="131"/>
      <c r="AY205" s="132"/>
      <c r="AZ205" s="131"/>
      <c r="BA205" s="131"/>
      <c r="BB205" s="131"/>
      <c r="BC205" s="131"/>
      <c r="BD205" s="131"/>
      <c r="BE205" s="131"/>
      <c r="BF205" s="131"/>
      <c r="BK205" s="95">
        <v>42469</v>
      </c>
    </row>
    <row r="206" spans="1:287" hidden="1">
      <c r="B206"/>
      <c r="C206"/>
      <c r="D206"/>
      <c r="E206"/>
      <c r="F206"/>
      <c r="G206"/>
      <c r="H206"/>
      <c r="R206" s="106"/>
      <c r="U206" s="129"/>
      <c r="V206" s="130"/>
      <c r="W206" s="131"/>
      <c r="X206" s="131"/>
      <c r="Y206" s="131"/>
      <c r="Z206" s="131"/>
      <c r="AA206" s="132"/>
      <c r="AB206" s="131"/>
      <c r="AC206" s="131"/>
      <c r="AD206" s="131"/>
      <c r="AE206" s="131"/>
      <c r="AF206" s="131"/>
      <c r="AG206" s="131"/>
      <c r="AH206" s="131"/>
      <c r="AI206" s="132"/>
      <c r="AJ206" s="131"/>
      <c r="AK206" s="131"/>
      <c r="AL206" s="131"/>
      <c r="AM206" s="131"/>
      <c r="AN206" s="131"/>
      <c r="AO206" s="131"/>
      <c r="AP206" s="131"/>
      <c r="AQ206" s="132"/>
      <c r="AR206" s="131"/>
      <c r="AS206" s="131"/>
      <c r="AT206" s="131"/>
      <c r="AU206" s="131"/>
      <c r="AV206" s="131"/>
      <c r="AW206" s="131"/>
      <c r="AX206" s="131"/>
      <c r="AY206" s="132"/>
      <c r="AZ206" s="131"/>
      <c r="BA206" s="131"/>
      <c r="BB206" s="131"/>
      <c r="BC206" s="131"/>
      <c r="BD206" s="131"/>
      <c r="BE206" s="131"/>
      <c r="BF206" s="131"/>
      <c r="BK206" s="95">
        <v>42489</v>
      </c>
    </row>
    <row r="207" spans="1:287" hidden="1">
      <c r="B207"/>
      <c r="C207"/>
      <c r="D207"/>
      <c r="E207"/>
      <c r="F207"/>
      <c r="G207"/>
      <c r="H207"/>
      <c r="R207" s="106"/>
      <c r="U207" s="129"/>
      <c r="V207" s="130"/>
      <c r="W207" s="131"/>
      <c r="X207" s="131"/>
      <c r="Y207" s="131"/>
      <c r="Z207" s="131"/>
      <c r="AA207" s="132"/>
      <c r="AB207" s="131"/>
      <c r="AC207" s="131"/>
      <c r="AD207" s="131"/>
      <c r="AE207" s="131"/>
      <c r="AF207" s="131"/>
      <c r="AG207" s="131"/>
      <c r="AH207" s="131"/>
      <c r="AI207" s="132"/>
      <c r="AJ207" s="131"/>
      <c r="AK207" s="131"/>
      <c r="AL207" s="131"/>
      <c r="AM207" s="131"/>
      <c r="AN207" s="131"/>
      <c r="AO207" s="131"/>
      <c r="AP207" s="131"/>
      <c r="AQ207" s="132"/>
      <c r="AR207" s="131"/>
      <c r="AS207" s="131"/>
      <c r="AT207" s="131"/>
      <c r="AU207" s="131"/>
      <c r="AV207" s="131"/>
      <c r="AW207" s="131"/>
      <c r="AX207" s="131"/>
      <c r="AY207" s="132"/>
      <c r="AZ207" s="131"/>
      <c r="BA207" s="131"/>
      <c r="BB207" s="131"/>
      <c r="BC207" s="131"/>
      <c r="BD207" s="131"/>
      <c r="BE207" s="131"/>
      <c r="BF207" s="131"/>
      <c r="BK207" s="95">
        <v>42492</v>
      </c>
    </row>
    <row r="208" spans="1:287" hidden="1">
      <c r="B208"/>
      <c r="C208"/>
      <c r="D208"/>
      <c r="E208"/>
      <c r="F208"/>
      <c r="G208"/>
      <c r="H208"/>
      <c r="R208" s="106"/>
      <c r="U208" s="129"/>
      <c r="V208" s="130"/>
      <c r="W208" s="131"/>
      <c r="X208" s="131"/>
      <c r="Y208" s="131"/>
      <c r="Z208" s="131"/>
      <c r="AA208" s="132"/>
      <c r="AB208" s="131"/>
      <c r="AC208" s="131"/>
      <c r="AD208" s="131"/>
      <c r="AE208" s="131"/>
      <c r="AF208" s="131"/>
      <c r="AG208" s="131"/>
      <c r="AH208" s="131"/>
      <c r="AI208" s="132"/>
      <c r="AJ208" s="131"/>
      <c r="AK208" s="131"/>
      <c r="AL208" s="131"/>
      <c r="AM208" s="131"/>
      <c r="AN208" s="131"/>
      <c r="AO208" s="131"/>
      <c r="AP208" s="131"/>
      <c r="AQ208" s="132"/>
      <c r="AR208" s="131"/>
      <c r="AS208" s="131"/>
      <c r="AT208" s="131"/>
      <c r="AU208" s="131"/>
      <c r="AV208" s="131"/>
      <c r="AW208" s="131"/>
      <c r="AX208" s="131"/>
      <c r="AY208" s="132"/>
      <c r="AZ208" s="131"/>
      <c r="BA208" s="131"/>
      <c r="BB208" s="131"/>
      <c r="BC208" s="131"/>
      <c r="BD208" s="131"/>
      <c r="BE208" s="131"/>
      <c r="BF208" s="131"/>
      <c r="BK208" s="95">
        <v>42499</v>
      </c>
    </row>
    <row r="209" spans="2:64" hidden="1">
      <c r="B209"/>
      <c r="C209"/>
      <c r="D209"/>
      <c r="E209"/>
      <c r="F209"/>
      <c r="G209"/>
      <c r="H209"/>
      <c r="R209" s="106"/>
      <c r="U209" s="129"/>
      <c r="V209" s="130"/>
      <c r="W209" s="131"/>
      <c r="X209" s="131"/>
      <c r="Y209" s="131"/>
      <c r="Z209" s="131"/>
      <c r="AA209" s="132"/>
      <c r="AB209" s="131"/>
      <c r="AC209" s="131"/>
      <c r="AD209" s="131"/>
      <c r="AE209" s="131"/>
      <c r="AF209" s="131"/>
      <c r="AG209" s="131"/>
      <c r="AH209" s="131"/>
      <c r="AI209" s="132"/>
      <c r="AJ209" s="131"/>
      <c r="AK209" s="131"/>
      <c r="AL209" s="131"/>
      <c r="AM209" s="131"/>
      <c r="AN209" s="131"/>
      <c r="AO209" s="131"/>
      <c r="AP209" s="131"/>
      <c r="AQ209" s="132"/>
      <c r="AR209" s="131"/>
      <c r="AS209" s="131"/>
      <c r="AT209" s="131"/>
      <c r="AU209" s="131"/>
      <c r="AV209" s="131"/>
      <c r="AW209" s="131"/>
      <c r="AX209" s="131"/>
      <c r="AY209" s="132"/>
      <c r="AZ209" s="131"/>
      <c r="BA209" s="131"/>
      <c r="BB209" s="131"/>
      <c r="BC209" s="131"/>
      <c r="BD209" s="131"/>
      <c r="BE209" s="131"/>
      <c r="BF209" s="131"/>
      <c r="BK209" s="95">
        <v>42502</v>
      </c>
    </row>
    <row r="210" spans="2:64" hidden="1">
      <c r="B210"/>
      <c r="C210"/>
      <c r="D210"/>
      <c r="E210"/>
      <c r="F210"/>
      <c r="G210"/>
      <c r="H210"/>
      <c r="R210" s="106"/>
      <c r="U210" s="129"/>
      <c r="V210" s="130"/>
      <c r="W210" s="131"/>
      <c r="X210" s="131"/>
      <c r="Y210" s="131"/>
      <c r="Z210" s="131"/>
      <c r="AA210" s="132"/>
      <c r="AB210" s="131"/>
      <c r="AC210" s="131"/>
      <c r="AD210" s="131"/>
      <c r="AE210" s="131"/>
      <c r="AF210" s="131"/>
      <c r="AG210" s="131"/>
      <c r="AH210" s="131"/>
      <c r="AI210" s="132"/>
      <c r="AJ210" s="131"/>
      <c r="AK210" s="131"/>
      <c r="AL210" s="131"/>
      <c r="AM210" s="131"/>
      <c r="AN210" s="131"/>
      <c r="AO210" s="131"/>
      <c r="AP210" s="131"/>
      <c r="AQ210" s="132"/>
      <c r="AR210" s="131"/>
      <c r="AS210" s="131"/>
      <c r="AT210" s="131"/>
      <c r="AU210" s="131"/>
      <c r="AV210" s="131"/>
      <c r="AW210" s="131"/>
      <c r="AX210" s="131"/>
      <c r="AY210" s="132"/>
      <c r="AZ210" s="131"/>
      <c r="BA210" s="131"/>
      <c r="BB210" s="131"/>
      <c r="BC210" s="131"/>
      <c r="BD210" s="131"/>
      <c r="BE210" s="131"/>
      <c r="BF210" s="131"/>
      <c r="BK210" s="95">
        <v>42516</v>
      </c>
    </row>
    <row r="211" spans="2:64" hidden="1">
      <c r="B211"/>
      <c r="C211"/>
      <c r="D211"/>
      <c r="E211"/>
      <c r="F211"/>
      <c r="G211"/>
      <c r="H211"/>
      <c r="R211" s="106"/>
      <c r="U211" s="129"/>
      <c r="V211" s="130"/>
      <c r="W211" s="131"/>
      <c r="X211" s="131"/>
      <c r="Y211" s="131"/>
      <c r="Z211" s="131"/>
      <c r="AA211" s="132"/>
      <c r="AB211" s="131"/>
      <c r="AC211" s="131"/>
      <c r="AD211" s="131"/>
      <c r="AE211" s="131"/>
      <c r="AF211" s="131"/>
      <c r="AG211" s="131"/>
      <c r="AH211" s="131"/>
      <c r="AI211" s="132"/>
      <c r="AJ211" s="131"/>
      <c r="AK211" s="131"/>
      <c r="AL211" s="131"/>
      <c r="AM211" s="131"/>
      <c r="AN211" s="131"/>
      <c r="AO211" s="131"/>
      <c r="AP211" s="131"/>
      <c r="AQ211" s="132"/>
      <c r="AR211" s="131"/>
      <c r="AS211" s="131"/>
      <c r="AT211" s="131"/>
      <c r="AU211" s="131"/>
      <c r="AV211" s="131"/>
      <c r="AW211" s="131"/>
      <c r="AX211" s="131"/>
      <c r="AY211" s="132"/>
      <c r="AZ211" s="131"/>
      <c r="BA211" s="131"/>
      <c r="BB211" s="131"/>
      <c r="BC211" s="131"/>
      <c r="BD211" s="131"/>
      <c r="BE211" s="131"/>
      <c r="BF211" s="131"/>
      <c r="BK211" s="95">
        <v>42610</v>
      </c>
    </row>
    <row r="212" spans="2:64" hidden="1">
      <c r="B212"/>
      <c r="C212"/>
      <c r="D212"/>
      <c r="E212"/>
      <c r="F212"/>
      <c r="G212"/>
      <c r="H212"/>
      <c r="R212" s="106"/>
      <c r="U212" s="129"/>
      <c r="V212" s="130"/>
      <c r="W212" s="131"/>
      <c r="X212" s="131"/>
      <c r="Y212" s="131"/>
      <c r="Z212" s="131"/>
      <c r="AA212" s="132"/>
      <c r="AB212" s="131"/>
      <c r="AC212" s="131"/>
      <c r="AD212" s="131"/>
      <c r="AE212" s="131"/>
      <c r="AF212" s="131"/>
      <c r="AG212" s="131"/>
      <c r="AH212" s="131"/>
      <c r="AI212" s="132"/>
      <c r="AJ212" s="131"/>
      <c r="AK212" s="131"/>
      <c r="AL212" s="131"/>
      <c r="AM212" s="131"/>
      <c r="AN212" s="131"/>
      <c r="AO212" s="131"/>
      <c r="AP212" s="131"/>
      <c r="AQ212" s="132"/>
      <c r="AR212" s="131"/>
      <c r="AS212" s="131"/>
      <c r="AT212" s="131"/>
      <c r="AU212" s="131"/>
      <c r="AV212" s="131"/>
      <c r="AW212" s="131"/>
      <c r="AX212" s="131"/>
      <c r="AY212" s="132"/>
      <c r="AZ212" s="131"/>
      <c r="BA212" s="131"/>
      <c r="BB212" s="131"/>
      <c r="BC212" s="131"/>
      <c r="BD212" s="131"/>
      <c r="BE212" s="131"/>
      <c r="BF212" s="131"/>
      <c r="BK212" s="95">
        <v>42657</v>
      </c>
      <c r="BL212" s="133"/>
    </row>
    <row r="213" spans="2:64" hidden="1">
      <c r="B213"/>
      <c r="C213"/>
      <c r="D213"/>
      <c r="E213"/>
      <c r="F213"/>
      <c r="G213"/>
      <c r="H213"/>
      <c r="R213" s="106"/>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K213" s="95">
        <v>42697</v>
      </c>
      <c r="BL213" s="133"/>
    </row>
    <row r="214" spans="2:64" hidden="1">
      <c r="B214"/>
      <c r="C214"/>
      <c r="D214"/>
      <c r="E214"/>
      <c r="F214"/>
      <c r="G214"/>
      <c r="H214"/>
      <c r="R214" s="106"/>
      <c r="BK214" s="95">
        <v>42736</v>
      </c>
      <c r="BL214" s="133"/>
    </row>
    <row r="215" spans="2:64" hidden="1">
      <c r="R215" s="106"/>
      <c r="BK215" s="95">
        <v>42737</v>
      </c>
      <c r="BL215" s="133"/>
    </row>
    <row r="216" spans="2:64" hidden="1">
      <c r="R216" s="106"/>
      <c r="BK216" s="95">
        <v>42742</v>
      </c>
      <c r="BL216" s="133"/>
    </row>
    <row r="217" spans="2:64" hidden="1">
      <c r="R217" s="106"/>
      <c r="BK217" s="95">
        <v>42754</v>
      </c>
      <c r="BL217" s="133"/>
    </row>
    <row r="218" spans="2:64" hidden="1">
      <c r="R218" s="106"/>
      <c r="BK218" s="95">
        <v>42797</v>
      </c>
      <c r="BL218" s="133"/>
    </row>
    <row r="219" spans="2:64" hidden="1">
      <c r="R219" s="106"/>
      <c r="BK219" s="95">
        <v>42802</v>
      </c>
      <c r="BL219" s="133"/>
    </row>
    <row r="220" spans="2:64" hidden="1">
      <c r="R220" s="106"/>
      <c r="BK220" s="95">
        <v>42834</v>
      </c>
      <c r="BL220" s="133"/>
    </row>
    <row r="221" spans="2:64" hidden="1">
      <c r="R221" s="106"/>
      <c r="BK221" s="95">
        <v>42839</v>
      </c>
      <c r="BL221" s="133"/>
    </row>
    <row r="222" spans="2:64" hidden="1">
      <c r="R222" s="106"/>
      <c r="BK222" s="95">
        <v>42842</v>
      </c>
      <c r="BL222" s="133"/>
    </row>
    <row r="223" spans="2:64" hidden="1">
      <c r="R223" s="106"/>
      <c r="BK223" s="95">
        <v>42864</v>
      </c>
      <c r="BL223" s="133"/>
    </row>
    <row r="224" spans="2:64" hidden="1">
      <c r="R224" s="106"/>
      <c r="BK224" s="95">
        <v>42867</v>
      </c>
      <c r="BL224" s="133"/>
    </row>
    <row r="225" spans="18:64" hidden="1">
      <c r="R225" s="106"/>
      <c r="BK225" s="95">
        <v>42881</v>
      </c>
      <c r="BL225" s="133"/>
    </row>
    <row r="226" spans="18:64" hidden="1">
      <c r="R226" s="106"/>
      <c r="BK226" s="95">
        <v>42975</v>
      </c>
      <c r="BL226" s="133"/>
    </row>
    <row r="227" spans="18:64" hidden="1">
      <c r="R227" s="106"/>
      <c r="BK227" s="95">
        <v>43022</v>
      </c>
      <c r="BL227" s="133"/>
    </row>
    <row r="228" spans="18:64" hidden="1">
      <c r="R228" s="106"/>
      <c r="BK228" s="95">
        <v>43062</v>
      </c>
      <c r="BL228" s="133"/>
    </row>
    <row r="229" spans="18:64" hidden="1">
      <c r="R229" s="106"/>
      <c r="BK229" s="95">
        <v>43101</v>
      </c>
    </row>
    <row r="230" spans="18:64" hidden="1">
      <c r="R230" s="106"/>
      <c r="BK230" s="95">
        <v>43102</v>
      </c>
    </row>
    <row r="231" spans="18:64" hidden="1">
      <c r="R231" s="106"/>
      <c r="BK231" s="95">
        <v>43107</v>
      </c>
    </row>
    <row r="232" spans="18:64" hidden="1">
      <c r="R232" s="106"/>
      <c r="BK232" s="95">
        <v>43119</v>
      </c>
    </row>
    <row r="233" spans="18:64" hidden="1">
      <c r="R233" s="106"/>
      <c r="BK233" s="95">
        <v>43162</v>
      </c>
    </row>
    <row r="234" spans="18:64" hidden="1">
      <c r="R234" s="106"/>
      <c r="BK234" s="95">
        <v>43167</v>
      </c>
    </row>
    <row r="235" spans="18:64" hidden="1">
      <c r="R235" s="106"/>
      <c r="BK235" s="95">
        <v>43196</v>
      </c>
    </row>
    <row r="236" spans="18:64" hidden="1">
      <c r="R236" s="106"/>
      <c r="BK236" s="95">
        <v>43199</v>
      </c>
    </row>
    <row r="237" spans="18:64" hidden="1">
      <c r="R237" s="106"/>
      <c r="BK237" s="95">
        <v>43229</v>
      </c>
    </row>
    <row r="238" spans="18:64" hidden="1">
      <c r="R238" s="106"/>
      <c r="BK238" s="95">
        <v>43232</v>
      </c>
    </row>
    <row r="239" spans="18:64" hidden="1">
      <c r="R239" s="106"/>
      <c r="BK239" s="95">
        <v>43246</v>
      </c>
    </row>
    <row r="240" spans="18:64" hidden="1">
      <c r="R240" s="106"/>
      <c r="BK240" s="95">
        <v>43340</v>
      </c>
    </row>
    <row r="241" spans="18:63" hidden="1">
      <c r="R241" s="106"/>
      <c r="BK241" s="95">
        <v>43387</v>
      </c>
    </row>
    <row r="242" spans="18:63" hidden="1">
      <c r="R242" s="106"/>
      <c r="BK242" s="95">
        <v>43427</v>
      </c>
    </row>
    <row r="243" spans="18:63" hidden="1">
      <c r="R243" s="106"/>
      <c r="BK243" s="95">
        <v>43466</v>
      </c>
    </row>
    <row r="244" spans="18:63" hidden="1">
      <c r="R244" s="106"/>
      <c r="BK244" s="95">
        <v>43467</v>
      </c>
    </row>
    <row r="245" spans="18:63" hidden="1">
      <c r="R245" s="106"/>
      <c r="BK245" s="95">
        <v>43472</v>
      </c>
    </row>
    <row r="246" spans="18:63" hidden="1">
      <c r="R246" s="106"/>
      <c r="BK246" s="95">
        <v>43484</v>
      </c>
    </row>
    <row r="247" spans="18:63" hidden="1">
      <c r="R247" s="106"/>
      <c r="BK247" s="95">
        <v>43527</v>
      </c>
    </row>
    <row r="248" spans="18:63" hidden="1">
      <c r="R248" s="106"/>
      <c r="BK248" s="95">
        <v>43532</v>
      </c>
    </row>
    <row r="249" spans="18:63" hidden="1">
      <c r="R249" s="106"/>
      <c r="BK249" s="95">
        <v>43564</v>
      </c>
    </row>
    <row r="250" spans="18:63" hidden="1">
      <c r="R250" s="106"/>
      <c r="BK250" s="95">
        <v>43581</v>
      </c>
    </row>
    <row r="251" spans="18:63" hidden="1">
      <c r="R251" s="106"/>
      <c r="BK251" s="95">
        <v>43584</v>
      </c>
    </row>
    <row r="252" spans="18:63" hidden="1">
      <c r="R252" s="106"/>
      <c r="BK252" s="95">
        <v>43594</v>
      </c>
    </row>
    <row r="253" spans="18:63" hidden="1">
      <c r="R253" s="106"/>
      <c r="BK253" s="95">
        <v>43597</v>
      </c>
    </row>
    <row r="254" spans="18:63" hidden="1">
      <c r="R254" s="106"/>
      <c r="BK254" s="95">
        <v>43611</v>
      </c>
    </row>
    <row r="255" spans="18:63" hidden="1">
      <c r="R255" s="106"/>
      <c r="BK255" s="95">
        <v>43705</v>
      </c>
    </row>
    <row r="256" spans="18:63" hidden="1">
      <c r="R256" s="106"/>
      <c r="BK256" s="95">
        <v>43752</v>
      </c>
    </row>
    <row r="257" spans="18:63" hidden="1">
      <c r="R257" s="106"/>
      <c r="BK257" s="95">
        <v>43792</v>
      </c>
    </row>
    <row r="258" spans="18:63" hidden="1">
      <c r="R258" s="106"/>
      <c r="BK258" s="95">
        <v>43831</v>
      </c>
    </row>
    <row r="259" spans="18:63" hidden="1">
      <c r="R259" s="106"/>
      <c r="BK259" s="95">
        <v>43832</v>
      </c>
    </row>
    <row r="260" spans="18:63" hidden="1">
      <c r="R260" s="106"/>
      <c r="BK260" s="95">
        <v>43837</v>
      </c>
    </row>
    <row r="261" spans="18:63" hidden="1">
      <c r="R261" s="106"/>
      <c r="BK261" s="95">
        <v>43849</v>
      </c>
    </row>
    <row r="262" spans="18:63" hidden="1">
      <c r="R262" s="106"/>
      <c r="BK262" s="95">
        <v>43893</v>
      </c>
    </row>
    <row r="263" spans="18:63" hidden="1">
      <c r="R263" s="106"/>
      <c r="BK263" s="95">
        <v>43898</v>
      </c>
    </row>
    <row r="264" spans="18:63" hidden="1">
      <c r="R264" s="106"/>
      <c r="BK264" s="95">
        <v>43930</v>
      </c>
    </row>
    <row r="265" spans="18:63" hidden="1">
      <c r="R265" s="106"/>
      <c r="BK265" s="95">
        <v>43938</v>
      </c>
    </row>
    <row r="266" spans="18:63" hidden="1">
      <c r="R266" s="106"/>
      <c r="BK266" s="95">
        <v>43941</v>
      </c>
    </row>
    <row r="267" spans="18:63" hidden="1">
      <c r="R267" s="106"/>
      <c r="BK267" s="95">
        <v>43960</v>
      </c>
    </row>
    <row r="268" spans="18:63" hidden="1">
      <c r="R268" s="106"/>
      <c r="BK268" s="95">
        <v>43963</v>
      </c>
    </row>
    <row r="269" spans="18:63" hidden="1">
      <c r="R269" s="106"/>
      <c r="BK269" s="95">
        <v>43977</v>
      </c>
    </row>
    <row r="270" spans="18:63" hidden="1">
      <c r="R270" s="106"/>
      <c r="BK270" s="95">
        <v>44071</v>
      </c>
    </row>
    <row r="271" spans="18:63" hidden="1">
      <c r="R271" s="106"/>
      <c r="BK271" s="95">
        <v>44118</v>
      </c>
    </row>
    <row r="272" spans="18:63" hidden="1">
      <c r="R272" s="106"/>
      <c r="BK272" s="95">
        <v>44158</v>
      </c>
    </row>
    <row r="273" spans="18:63" hidden="1">
      <c r="R273" s="106"/>
      <c r="BK273" s="95">
        <v>44197</v>
      </c>
    </row>
    <row r="274" spans="18:63" hidden="1">
      <c r="R274" s="106"/>
      <c r="BK274" s="95">
        <v>44198</v>
      </c>
    </row>
    <row r="275" spans="18:63" hidden="1">
      <c r="R275" s="106"/>
      <c r="BK275" s="95">
        <v>44203</v>
      </c>
    </row>
    <row r="276" spans="18:63" hidden="1">
      <c r="R276" s="106"/>
      <c r="BK276" s="95">
        <v>44215</v>
      </c>
    </row>
    <row r="277" spans="18:63" hidden="1">
      <c r="R277" s="106"/>
      <c r="BK277" s="95">
        <v>44258</v>
      </c>
    </row>
    <row r="278" spans="18:63" hidden="1">
      <c r="R278" s="106"/>
      <c r="BK278" s="95">
        <v>44263</v>
      </c>
    </row>
    <row r="279" spans="18:63" hidden="1">
      <c r="R279" s="106"/>
      <c r="BK279" s="95">
        <v>44295</v>
      </c>
    </row>
    <row r="280" spans="18:63" hidden="1">
      <c r="R280" s="106"/>
      <c r="BK280" s="95">
        <v>44316</v>
      </c>
    </row>
    <row r="281" spans="18:63" hidden="1">
      <c r="R281" s="106"/>
      <c r="BK281" s="95">
        <v>44319</v>
      </c>
    </row>
    <row r="282" spans="18:63" hidden="1">
      <c r="R282" s="106"/>
      <c r="BK282" s="95">
        <v>44325</v>
      </c>
    </row>
    <row r="283" spans="18:63" hidden="1">
      <c r="R283" s="106"/>
      <c r="BK283" s="95">
        <v>44328</v>
      </c>
    </row>
    <row r="284" spans="18:63" hidden="1">
      <c r="R284" s="106"/>
      <c r="BK284" s="95">
        <v>44342</v>
      </c>
    </row>
    <row r="285" spans="18:63" hidden="1">
      <c r="R285" s="106"/>
      <c r="BK285" s="95">
        <v>44436</v>
      </c>
    </row>
    <row r="286" spans="18:63" hidden="1">
      <c r="R286" s="106"/>
      <c r="BK286" s="95">
        <v>44483</v>
      </c>
    </row>
    <row r="287" spans="18:63" hidden="1">
      <c r="R287" s="106"/>
      <c r="BK287" s="95">
        <v>44523</v>
      </c>
    </row>
    <row r="288" spans="18:63" hidden="1">
      <c r="R288" s="106"/>
      <c r="BK288" s="95">
        <v>44562</v>
      </c>
    </row>
    <row r="289" spans="18:63" hidden="1">
      <c r="R289" s="106"/>
      <c r="BK289" s="95">
        <v>44563</v>
      </c>
    </row>
    <row r="290" spans="18:63" hidden="1">
      <c r="R290" s="106"/>
      <c r="BK290" s="95">
        <v>44568</v>
      </c>
    </row>
    <row r="291" spans="18:63" hidden="1">
      <c r="R291" s="106"/>
      <c r="BK291" s="95">
        <v>44580</v>
      </c>
    </row>
    <row r="292" spans="18:63" hidden="1">
      <c r="R292" s="106"/>
      <c r="BK292" s="95">
        <v>44623</v>
      </c>
    </row>
    <row r="293" spans="18:63" hidden="1">
      <c r="R293" s="106"/>
      <c r="BK293" s="95">
        <v>44628</v>
      </c>
    </row>
    <row r="294" spans="18:63" hidden="1">
      <c r="R294" s="106"/>
      <c r="BK294" s="95">
        <v>44660</v>
      </c>
    </row>
    <row r="295" spans="18:63" hidden="1">
      <c r="R295" s="106"/>
      <c r="BK295" s="95">
        <v>44673</v>
      </c>
    </row>
    <row r="296" spans="18:63" hidden="1">
      <c r="R296" s="106"/>
      <c r="BK296" s="95">
        <v>44676</v>
      </c>
    </row>
    <row r="297" spans="18:63" hidden="1">
      <c r="R297" s="106"/>
      <c r="BK297" s="95">
        <v>44690</v>
      </c>
    </row>
    <row r="298" spans="18:63" hidden="1">
      <c r="R298" s="106"/>
      <c r="BK298" s="95">
        <v>44693</v>
      </c>
    </row>
    <row r="299" spans="18:63" hidden="1">
      <c r="R299" s="106"/>
      <c r="BK299" s="95">
        <v>44707</v>
      </c>
    </row>
    <row r="300" spans="18:63" hidden="1">
      <c r="R300" s="106"/>
      <c r="BK300" s="95">
        <v>44801</v>
      </c>
    </row>
    <row r="301" spans="18:63" hidden="1">
      <c r="R301" s="106"/>
      <c r="BK301" s="95">
        <v>44848</v>
      </c>
    </row>
    <row r="302" spans="18:63" hidden="1">
      <c r="R302" s="106"/>
      <c r="BK302" s="95">
        <v>44888</v>
      </c>
    </row>
    <row r="303" spans="18:63" hidden="1">
      <c r="R303" s="106"/>
      <c r="BK303" s="95">
        <v>44927</v>
      </c>
    </row>
    <row r="304" spans="18:63" hidden="1">
      <c r="R304" s="106"/>
      <c r="BK304" s="95">
        <v>44928</v>
      </c>
    </row>
    <row r="305" spans="18:63" hidden="1">
      <c r="R305" s="106"/>
      <c r="BK305" s="95">
        <v>44933</v>
      </c>
    </row>
    <row r="306" spans="18:63" hidden="1">
      <c r="R306" s="106"/>
      <c r="BK306" s="95">
        <v>44945</v>
      </c>
    </row>
    <row r="307" spans="18:63" hidden="1">
      <c r="R307" s="106"/>
      <c r="BK307" s="95">
        <v>44988</v>
      </c>
    </row>
    <row r="308" spans="18:63" hidden="1">
      <c r="R308" s="106"/>
      <c r="BK308" s="95">
        <v>44993</v>
      </c>
    </row>
    <row r="309" spans="18:63" hidden="1">
      <c r="R309" s="106"/>
      <c r="BK309" s="95">
        <v>45025</v>
      </c>
    </row>
    <row r="310" spans="18:63" hidden="1">
      <c r="R310" s="106"/>
      <c r="BK310" s="95">
        <v>45030</v>
      </c>
    </row>
    <row r="311" spans="18:63" hidden="1">
      <c r="R311" s="106"/>
      <c r="BK311" s="95">
        <v>45033</v>
      </c>
    </row>
    <row r="312" spans="18:63" hidden="1">
      <c r="R312" s="106"/>
      <c r="BK312" s="95">
        <v>45055</v>
      </c>
    </row>
    <row r="313" spans="18:63" hidden="1">
      <c r="R313" s="106"/>
      <c r="BK313" s="95">
        <v>45058</v>
      </c>
    </row>
    <row r="314" spans="18:63" hidden="1">
      <c r="R314" s="106"/>
      <c r="BK314" s="95">
        <v>45072</v>
      </c>
    </row>
    <row r="315" spans="18:63" hidden="1">
      <c r="R315" s="106"/>
      <c r="BK315" s="95">
        <v>45166</v>
      </c>
    </row>
    <row r="316" spans="18:63" hidden="1">
      <c r="R316" s="106"/>
      <c r="BK316" s="95">
        <v>45213</v>
      </c>
    </row>
    <row r="317" spans="18:63" hidden="1">
      <c r="R317" s="106"/>
      <c r="BK317" s="95">
        <v>45253</v>
      </c>
    </row>
    <row r="318" spans="18:63" hidden="1">
      <c r="R318" s="106"/>
      <c r="BK318" s="95">
        <v>45292</v>
      </c>
    </row>
    <row r="319" spans="18:63" hidden="1">
      <c r="R319" s="106"/>
      <c r="BK319" s="95">
        <v>45293</v>
      </c>
    </row>
    <row r="320" spans="18:63" hidden="1">
      <c r="R320" s="106"/>
      <c r="BK320" s="95">
        <v>45298</v>
      </c>
    </row>
    <row r="321" spans="18:63" hidden="1">
      <c r="R321" s="106"/>
      <c r="BK321" s="95">
        <v>45310</v>
      </c>
    </row>
    <row r="322" spans="18:63" hidden="1">
      <c r="R322" s="106"/>
      <c r="BK322" s="95">
        <v>45354</v>
      </c>
    </row>
    <row r="323" spans="18:63" hidden="1">
      <c r="R323" s="106"/>
      <c r="BK323" s="95">
        <v>45359</v>
      </c>
    </row>
    <row r="324" spans="18:63" hidden="1">
      <c r="R324" s="106"/>
      <c r="BK324" s="95">
        <v>45391</v>
      </c>
    </row>
    <row r="325" spans="18:63" hidden="1">
      <c r="R325" s="106"/>
      <c r="BK325" s="95">
        <v>45415</v>
      </c>
    </row>
    <row r="326" spans="18:63" hidden="1">
      <c r="R326" s="106"/>
      <c r="BK326" s="95">
        <v>45418</v>
      </c>
    </row>
    <row r="327" spans="18:63" hidden="1">
      <c r="R327" s="106"/>
      <c r="BK327" s="95">
        <v>45421</v>
      </c>
    </row>
    <row r="328" spans="18:63" hidden="1">
      <c r="R328" s="106"/>
      <c r="BK328" s="95">
        <v>45424</v>
      </c>
    </row>
    <row r="329" spans="18:63" hidden="1">
      <c r="R329" s="106"/>
      <c r="BK329" s="95">
        <v>45438</v>
      </c>
    </row>
    <row r="330" spans="18:63" hidden="1">
      <c r="R330" s="106"/>
      <c r="BK330" s="95">
        <v>45532</v>
      </c>
    </row>
    <row r="331" spans="18:63" hidden="1">
      <c r="R331" s="106"/>
      <c r="BK331" s="95">
        <v>45579</v>
      </c>
    </row>
    <row r="332" spans="18:63" hidden="1">
      <c r="R332" s="106"/>
      <c r="BK332" s="95">
        <v>45619</v>
      </c>
    </row>
    <row r="333" spans="18:63" hidden="1">
      <c r="R333" s="106"/>
      <c r="BK333" s="95">
        <v>45658</v>
      </c>
    </row>
    <row r="334" spans="18:63" hidden="1">
      <c r="R334" s="106"/>
      <c r="BK334" s="95">
        <v>45659</v>
      </c>
    </row>
    <row r="335" spans="18:63" hidden="1">
      <c r="R335" s="106"/>
      <c r="BK335" s="95">
        <v>45664</v>
      </c>
    </row>
    <row r="336" spans="18:63" hidden="1">
      <c r="R336" s="106"/>
      <c r="BK336" s="95">
        <v>45676</v>
      </c>
    </row>
    <row r="337" spans="18:63" hidden="1">
      <c r="R337" s="106"/>
      <c r="BK337" s="95">
        <v>45719</v>
      </c>
    </row>
    <row r="338" spans="18:63" hidden="1">
      <c r="R338" s="106"/>
      <c r="BK338" s="95">
        <v>45724</v>
      </c>
    </row>
    <row r="339" spans="18:63" hidden="1">
      <c r="R339" s="106"/>
      <c r="BK339" s="95">
        <v>45756</v>
      </c>
    </row>
    <row r="340" spans="18:63" hidden="1">
      <c r="R340" s="106"/>
      <c r="BK340" s="95">
        <v>45765</v>
      </c>
    </row>
    <row r="341" spans="18:63" hidden="1">
      <c r="R341" s="106"/>
      <c r="BK341" s="95">
        <v>45768</v>
      </c>
    </row>
    <row r="342" spans="18:63" hidden="1">
      <c r="R342" s="106"/>
      <c r="BK342" s="95">
        <v>45786</v>
      </c>
    </row>
    <row r="343" spans="18:63" hidden="1">
      <c r="R343" s="106"/>
      <c r="BK343" s="95">
        <v>45789</v>
      </c>
    </row>
    <row r="344" spans="18:63" hidden="1">
      <c r="R344" s="106"/>
      <c r="BK344" s="95">
        <v>45803</v>
      </c>
    </row>
    <row r="345" spans="18:63" hidden="1">
      <c r="R345" s="106"/>
      <c r="BK345" s="95">
        <v>45897</v>
      </c>
    </row>
    <row r="346" spans="18:63" hidden="1">
      <c r="R346" s="106"/>
      <c r="BK346" s="95">
        <v>45944</v>
      </c>
    </row>
    <row r="347" spans="18:63" hidden="1">
      <c r="R347" s="106"/>
      <c r="BK347" s="95">
        <v>45984</v>
      </c>
    </row>
    <row r="348" spans="18:63" hidden="1">
      <c r="R348" s="106"/>
      <c r="BK348" s="95">
        <v>46023</v>
      </c>
    </row>
    <row r="349" spans="18:63" hidden="1">
      <c r="R349" s="106"/>
      <c r="BK349" s="95">
        <v>46024</v>
      </c>
    </row>
    <row r="350" spans="18:63" hidden="1">
      <c r="R350" s="106"/>
      <c r="BK350" s="95">
        <v>46029</v>
      </c>
    </row>
    <row r="351" spans="18:63" hidden="1">
      <c r="R351" s="106"/>
      <c r="BK351" s="95">
        <v>46041</v>
      </c>
    </row>
    <row r="352" spans="18:63" hidden="1">
      <c r="R352" s="106"/>
      <c r="BK352" s="95">
        <v>46084</v>
      </c>
    </row>
    <row r="353" spans="18:63" hidden="1">
      <c r="R353" s="106"/>
      <c r="BK353" s="95">
        <v>46089</v>
      </c>
    </row>
    <row r="354" spans="18:63" hidden="1">
      <c r="R354" s="106"/>
      <c r="BK354" s="95">
        <v>46121</v>
      </c>
    </row>
    <row r="355" spans="18:63" hidden="1">
      <c r="R355" s="106"/>
      <c r="BK355" s="95">
        <v>46122</v>
      </c>
    </row>
    <row r="356" spans="18:63" hidden="1">
      <c r="R356" s="106"/>
      <c r="BK356" s="95">
        <v>46125</v>
      </c>
    </row>
    <row r="357" spans="18:63" hidden="1">
      <c r="R357" s="106"/>
      <c r="BK357" s="95">
        <v>46151</v>
      </c>
    </row>
    <row r="358" spans="18:63" hidden="1">
      <c r="R358" s="106"/>
      <c r="BK358" s="95">
        <v>46154</v>
      </c>
    </row>
    <row r="359" spans="18:63" hidden="1">
      <c r="R359" s="106"/>
      <c r="BK359" s="95">
        <v>46168</v>
      </c>
    </row>
    <row r="360" spans="18:63" hidden="1">
      <c r="R360" s="106"/>
      <c r="BK360" s="95">
        <v>46262</v>
      </c>
    </row>
    <row r="361" spans="18:63" hidden="1">
      <c r="R361" s="106"/>
      <c r="BK361" s="95">
        <v>46309</v>
      </c>
    </row>
    <row r="362" spans="18:63" hidden="1">
      <c r="R362" s="106"/>
      <c r="BK362" s="95">
        <v>46349</v>
      </c>
    </row>
    <row r="363" spans="18:63" hidden="1">
      <c r="R363" s="106"/>
      <c r="BK363" s="95">
        <v>46388</v>
      </c>
    </row>
    <row r="364" spans="18:63" hidden="1">
      <c r="R364" s="106"/>
      <c r="BK364" s="95">
        <v>46389</v>
      </c>
    </row>
    <row r="365" spans="18:63" hidden="1">
      <c r="R365" s="106"/>
      <c r="BK365" s="95">
        <v>46394</v>
      </c>
    </row>
    <row r="366" spans="18:63" hidden="1">
      <c r="R366" s="106"/>
      <c r="BK366" s="95">
        <v>46406</v>
      </c>
    </row>
    <row r="367" spans="18:63" hidden="1">
      <c r="R367" s="106"/>
      <c r="BK367" s="95">
        <v>46449</v>
      </c>
    </row>
    <row r="368" spans="18:63" hidden="1">
      <c r="R368" s="106"/>
      <c r="BK368" s="95">
        <v>46454</v>
      </c>
    </row>
    <row r="369" spans="18:63" hidden="1">
      <c r="R369" s="106"/>
      <c r="BK369" s="95">
        <v>46486</v>
      </c>
    </row>
    <row r="370" spans="18:63" hidden="1">
      <c r="R370" s="106"/>
      <c r="BK370" s="95">
        <v>46507</v>
      </c>
    </row>
    <row r="371" spans="18:63" hidden="1">
      <c r="R371" s="106"/>
      <c r="BK371" s="95">
        <v>46510</v>
      </c>
    </row>
    <row r="372" spans="18:63" hidden="1">
      <c r="R372" s="106"/>
      <c r="BK372" s="95">
        <v>46516</v>
      </c>
    </row>
    <row r="373" spans="18:63" hidden="1">
      <c r="R373" s="106"/>
      <c r="BK373" s="95">
        <v>46519</v>
      </c>
    </row>
    <row r="374" spans="18:63" hidden="1">
      <c r="R374" s="106"/>
      <c r="BK374" s="95">
        <v>46533</v>
      </c>
    </row>
    <row r="375" spans="18:63" hidden="1">
      <c r="R375" s="106"/>
      <c r="BK375" s="95">
        <v>46627</v>
      </c>
    </row>
    <row r="376" spans="18:63" hidden="1">
      <c r="R376" s="106"/>
      <c r="BK376" s="95">
        <v>46674</v>
      </c>
    </row>
    <row r="377" spans="18:63" hidden="1">
      <c r="R377" s="106"/>
      <c r="BK377" s="95">
        <v>46714</v>
      </c>
    </row>
    <row r="378" spans="18:63" hidden="1">
      <c r="R378" s="106"/>
      <c r="BK378" s="95">
        <v>46753</v>
      </c>
    </row>
    <row r="379" spans="18:63" hidden="1">
      <c r="R379" s="106"/>
      <c r="BK379" s="95">
        <v>46754</v>
      </c>
    </row>
    <row r="380" spans="18:63" hidden="1">
      <c r="R380" s="106"/>
      <c r="BK380" s="95">
        <v>46759</v>
      </c>
    </row>
    <row r="381" spans="18:63" hidden="1">
      <c r="R381" s="106"/>
      <c r="BK381" s="95">
        <v>46771</v>
      </c>
    </row>
    <row r="382" spans="18:63" hidden="1">
      <c r="R382" s="106"/>
      <c r="BK382" s="95">
        <v>46815</v>
      </c>
    </row>
    <row r="383" spans="18:63" hidden="1">
      <c r="R383" s="106"/>
      <c r="BK383" s="95">
        <v>46820</v>
      </c>
    </row>
    <row r="384" spans="18:63" hidden="1">
      <c r="R384" s="106"/>
      <c r="BK384" s="95">
        <v>46852</v>
      </c>
    </row>
    <row r="385" spans="18:63" hidden="1">
      <c r="R385" s="106"/>
      <c r="BK385" s="95">
        <v>46857</v>
      </c>
    </row>
    <row r="386" spans="18:63" hidden="1">
      <c r="R386" s="106"/>
      <c r="BK386" s="95">
        <v>46860</v>
      </c>
    </row>
    <row r="387" spans="18:63" hidden="1">
      <c r="R387" s="106"/>
      <c r="BK387" s="95">
        <v>46882</v>
      </c>
    </row>
    <row r="388" spans="18:63" hidden="1">
      <c r="R388" s="106"/>
      <c r="BK388" s="95">
        <v>46885</v>
      </c>
    </row>
    <row r="389" spans="18:63" hidden="1">
      <c r="R389" s="106"/>
      <c r="BK389" s="95">
        <v>46899</v>
      </c>
    </row>
    <row r="390" spans="18:63" hidden="1">
      <c r="R390" s="106"/>
      <c r="BK390" s="95">
        <v>46993</v>
      </c>
    </row>
    <row r="391" spans="18:63" hidden="1">
      <c r="R391" s="106"/>
      <c r="BK391" s="95">
        <v>47040</v>
      </c>
    </row>
    <row r="392" spans="18:63" hidden="1">
      <c r="R392" s="106"/>
      <c r="BK392" s="95">
        <v>47080</v>
      </c>
    </row>
    <row r="393" spans="18:63" hidden="1">
      <c r="R393" s="106"/>
      <c r="BK393" s="95">
        <v>47119</v>
      </c>
    </row>
    <row r="394" spans="18:63" hidden="1">
      <c r="R394" s="106"/>
      <c r="BK394" s="95">
        <v>47120</v>
      </c>
    </row>
    <row r="395" spans="18:63" hidden="1">
      <c r="R395" s="106"/>
      <c r="BK395" s="95">
        <v>47125</v>
      </c>
    </row>
    <row r="396" spans="18:63" hidden="1">
      <c r="R396" s="106"/>
      <c r="BK396" s="95">
        <v>47137</v>
      </c>
    </row>
    <row r="397" spans="18:63" hidden="1">
      <c r="R397" s="106"/>
      <c r="BK397" s="95">
        <v>47180</v>
      </c>
    </row>
    <row r="398" spans="18:63" hidden="1">
      <c r="R398" s="106"/>
      <c r="BK398" s="95">
        <v>47185</v>
      </c>
    </row>
    <row r="399" spans="18:63" hidden="1">
      <c r="R399" s="106"/>
      <c r="BK399" s="95">
        <v>47214</v>
      </c>
    </row>
    <row r="400" spans="18:63" hidden="1">
      <c r="R400" s="106"/>
      <c r="BK400" s="95">
        <v>47217</v>
      </c>
    </row>
    <row r="401" spans="18:63" hidden="1">
      <c r="R401" s="106"/>
      <c r="BK401" s="95">
        <v>47247</v>
      </c>
    </row>
    <row r="402" spans="18:63" hidden="1">
      <c r="R402" s="106"/>
      <c r="BK402" s="95">
        <v>47250</v>
      </c>
    </row>
    <row r="403" spans="18:63" hidden="1">
      <c r="R403" s="106"/>
      <c r="BK403" s="95">
        <v>47264</v>
      </c>
    </row>
    <row r="404" spans="18:63" hidden="1">
      <c r="R404" s="106"/>
      <c r="BK404" s="95">
        <v>47358</v>
      </c>
    </row>
    <row r="405" spans="18:63" hidden="1">
      <c r="R405" s="106"/>
      <c r="BK405" s="95">
        <v>47405</v>
      </c>
    </row>
    <row r="406" spans="18:63" hidden="1">
      <c r="R406" s="106"/>
      <c r="BK406" s="95">
        <v>47445</v>
      </c>
    </row>
    <row r="407" spans="18:63" hidden="1">
      <c r="R407" s="106"/>
      <c r="BK407" s="95">
        <v>47484</v>
      </c>
    </row>
    <row r="408" spans="18:63" hidden="1">
      <c r="R408" s="106"/>
      <c r="BK408" s="95">
        <v>47485</v>
      </c>
    </row>
    <row r="409" spans="18:63" hidden="1">
      <c r="R409" s="106"/>
      <c r="BK409" s="95">
        <v>47490</v>
      </c>
    </row>
    <row r="410" spans="18:63" hidden="1">
      <c r="R410" s="106"/>
      <c r="BK410" s="95">
        <v>47502</v>
      </c>
    </row>
    <row r="411" spans="18:63" hidden="1">
      <c r="R411" s="106"/>
      <c r="BK411" s="95">
        <v>47545</v>
      </c>
    </row>
    <row r="412" spans="18:63" hidden="1">
      <c r="R412" s="106"/>
      <c r="BK412" s="95">
        <v>47550</v>
      </c>
    </row>
    <row r="413" spans="18:63" hidden="1">
      <c r="R413" s="106"/>
      <c r="BK413" s="95">
        <v>47582</v>
      </c>
    </row>
    <row r="414" spans="18:63" hidden="1">
      <c r="R414" s="106"/>
      <c r="BK414" s="95">
        <v>47599</v>
      </c>
    </row>
    <row r="415" spans="18:63" hidden="1">
      <c r="R415" s="106"/>
      <c r="BK415" s="95">
        <v>47602</v>
      </c>
    </row>
    <row r="416" spans="18:63" hidden="1">
      <c r="R416" s="106"/>
      <c r="BK416" s="95">
        <v>47612</v>
      </c>
    </row>
    <row r="417" spans="18:63" hidden="1">
      <c r="R417" s="106"/>
      <c r="BK417" s="95">
        <v>47615</v>
      </c>
    </row>
    <row r="418" spans="18:63" hidden="1">
      <c r="R418" s="106"/>
      <c r="BK418" s="95">
        <v>47629</v>
      </c>
    </row>
    <row r="419" spans="18:63" hidden="1">
      <c r="R419" s="106"/>
      <c r="BK419" s="95">
        <v>47723</v>
      </c>
    </row>
    <row r="420" spans="18:63" hidden="1">
      <c r="R420" s="106"/>
      <c r="BK420" s="95">
        <v>47770</v>
      </c>
    </row>
    <row r="421" spans="18:63" hidden="1">
      <c r="R421" s="106"/>
      <c r="BK421" s="95">
        <v>47810</v>
      </c>
    </row>
    <row r="422" spans="18:63" hidden="1">
      <c r="R422" s="106"/>
      <c r="BK422" s="95">
        <v>47849</v>
      </c>
    </row>
    <row r="423" spans="18:63" hidden="1">
      <c r="R423" s="106"/>
      <c r="BK423" s="95">
        <v>47850</v>
      </c>
    </row>
    <row r="424" spans="18:63" hidden="1">
      <c r="R424" s="106"/>
      <c r="BK424" s="95">
        <v>47855</v>
      </c>
    </row>
    <row r="425" spans="18:63" hidden="1">
      <c r="R425" s="106"/>
      <c r="BK425" s="95">
        <v>47867</v>
      </c>
    </row>
    <row r="426" spans="18:63" hidden="1">
      <c r="R426" s="106"/>
      <c r="BK426" s="95">
        <v>47910</v>
      </c>
    </row>
    <row r="427" spans="18:63" hidden="1">
      <c r="R427" s="106"/>
      <c r="BK427" s="95">
        <v>47915</v>
      </c>
    </row>
    <row r="428" spans="18:63" hidden="1">
      <c r="R428" s="106"/>
      <c r="BK428" s="95">
        <v>47947</v>
      </c>
    </row>
    <row r="429" spans="18:63" hidden="1">
      <c r="R429" s="106"/>
      <c r="BK429" s="95">
        <v>47949</v>
      </c>
    </row>
    <row r="430" spans="18:63" hidden="1">
      <c r="R430" s="106"/>
      <c r="BK430" s="95">
        <v>47952</v>
      </c>
    </row>
    <row r="431" spans="18:63" hidden="1">
      <c r="R431" s="106"/>
      <c r="BK431" s="95">
        <v>47977</v>
      </c>
    </row>
    <row r="432" spans="18:63" hidden="1">
      <c r="R432" s="106"/>
      <c r="BK432" s="95">
        <v>47980</v>
      </c>
    </row>
    <row r="433" spans="18:63" hidden="1">
      <c r="R433" s="106"/>
      <c r="BK433" s="95">
        <v>47994</v>
      </c>
    </row>
    <row r="434" spans="18:63" hidden="1">
      <c r="R434" s="106"/>
      <c r="BK434" s="95">
        <v>48088</v>
      </c>
    </row>
    <row r="435" spans="18:63" hidden="1">
      <c r="R435" s="106"/>
      <c r="BK435" s="95">
        <v>48135</v>
      </c>
    </row>
    <row r="436" spans="18:63" hidden="1">
      <c r="R436" s="106"/>
      <c r="BK436" s="95">
        <v>48175</v>
      </c>
    </row>
    <row r="437" spans="18:63" hidden="1">
      <c r="R437" s="106"/>
      <c r="BK437" s="95">
        <v>48214</v>
      </c>
    </row>
    <row r="438" spans="18:63" hidden="1">
      <c r="R438" s="106"/>
      <c r="BK438" s="95">
        <v>48215</v>
      </c>
    </row>
    <row r="439" spans="18:63" hidden="1">
      <c r="R439" s="106"/>
      <c r="BK439" s="95">
        <v>48220</v>
      </c>
    </row>
    <row r="440" spans="18:63" hidden="1">
      <c r="R440" s="106"/>
      <c r="BK440" s="95">
        <v>48232</v>
      </c>
    </row>
    <row r="441" spans="18:63" hidden="1">
      <c r="R441" s="106"/>
      <c r="BK441" s="95">
        <v>48276</v>
      </c>
    </row>
    <row r="442" spans="18:63" hidden="1">
      <c r="R442" s="106"/>
      <c r="BK442" s="95">
        <v>48281</v>
      </c>
    </row>
    <row r="443" spans="18:63" hidden="1">
      <c r="R443" s="106"/>
      <c r="BK443" s="95">
        <v>48313</v>
      </c>
    </row>
    <row r="444" spans="18:63" hidden="1">
      <c r="R444" s="106"/>
      <c r="BK444" s="95">
        <v>48334</v>
      </c>
    </row>
    <row r="445" spans="18:63" hidden="1">
      <c r="R445" s="106"/>
      <c r="BK445" s="95">
        <v>48337</v>
      </c>
    </row>
    <row r="446" spans="18:63" hidden="1">
      <c r="R446" s="106"/>
      <c r="BK446" s="95">
        <v>48343</v>
      </c>
    </row>
    <row r="447" spans="18:63" hidden="1">
      <c r="R447" s="106"/>
      <c r="BK447" s="95">
        <v>48346</v>
      </c>
    </row>
    <row r="448" spans="18:63" hidden="1">
      <c r="R448" s="106"/>
      <c r="BK448" s="95">
        <v>48360</v>
      </c>
    </row>
    <row r="449" spans="18:63" hidden="1">
      <c r="R449" s="106"/>
      <c r="BK449" s="95">
        <v>48454</v>
      </c>
    </row>
    <row r="450" spans="18:63" hidden="1">
      <c r="R450" s="106"/>
      <c r="BK450" s="95">
        <v>48501</v>
      </c>
    </row>
    <row r="451" spans="18:63" hidden="1">
      <c r="R451" s="106"/>
      <c r="BK451" s="95">
        <v>48541</v>
      </c>
    </row>
    <row r="452" spans="18:63" hidden="1">
      <c r="R452" s="106"/>
      <c r="BK452" s="95">
        <v>48580</v>
      </c>
    </row>
    <row r="453" spans="18:63" hidden="1">
      <c r="R453" s="106"/>
      <c r="BK453" s="95">
        <v>48581</v>
      </c>
    </row>
    <row r="454" spans="18:63" hidden="1">
      <c r="R454" s="106"/>
      <c r="BK454" s="95">
        <v>48586</v>
      </c>
    </row>
    <row r="455" spans="18:63" hidden="1">
      <c r="R455" s="106"/>
      <c r="BK455" s="95">
        <v>48598</v>
      </c>
    </row>
    <row r="456" spans="18:63" hidden="1">
      <c r="R456" s="106"/>
      <c r="BK456" s="95">
        <v>48641</v>
      </c>
    </row>
    <row r="457" spans="18:63" hidden="1">
      <c r="R457" s="106"/>
      <c r="BK457" s="95">
        <v>48646</v>
      </c>
    </row>
    <row r="458" spans="18:63" hidden="1">
      <c r="R458" s="106"/>
      <c r="BK458" s="95">
        <v>48678</v>
      </c>
    </row>
    <row r="459" spans="18:63" hidden="1">
      <c r="R459" s="106"/>
      <c r="BK459" s="95">
        <v>48691</v>
      </c>
    </row>
    <row r="460" spans="18:63" hidden="1">
      <c r="R460" s="106"/>
      <c r="BK460" s="95">
        <v>48694</v>
      </c>
    </row>
    <row r="461" spans="18:63" hidden="1">
      <c r="R461" s="106"/>
      <c r="BK461" s="95">
        <v>48708</v>
      </c>
    </row>
    <row r="462" spans="18:63" hidden="1">
      <c r="R462" s="106"/>
      <c r="BK462" s="95">
        <v>48711</v>
      </c>
    </row>
    <row r="463" spans="18:63" hidden="1">
      <c r="R463" s="106"/>
      <c r="BK463" s="95">
        <v>48725</v>
      </c>
    </row>
    <row r="464" spans="18:63" hidden="1">
      <c r="R464" s="106"/>
      <c r="BK464" s="95">
        <v>48819</v>
      </c>
    </row>
    <row r="465" spans="18:63" hidden="1">
      <c r="R465" s="106"/>
      <c r="BK465" s="95">
        <v>48866</v>
      </c>
    </row>
    <row r="466" spans="18:63" hidden="1">
      <c r="R466" s="106"/>
      <c r="BK466" s="95">
        <v>48906</v>
      </c>
    </row>
    <row r="467" spans="18:63" hidden="1">
      <c r="R467" s="106"/>
      <c r="BK467" s="95">
        <v>48945</v>
      </c>
    </row>
    <row r="468" spans="18:63" hidden="1">
      <c r="R468" s="106"/>
      <c r="BK468" s="95">
        <v>48946</v>
      </c>
    </row>
    <row r="469" spans="18:63" hidden="1">
      <c r="R469" s="106"/>
      <c r="BK469" s="95">
        <v>48951</v>
      </c>
    </row>
    <row r="470" spans="18:63" hidden="1">
      <c r="R470" s="106"/>
      <c r="BK470" s="95">
        <v>48963</v>
      </c>
    </row>
    <row r="471" spans="18:63" hidden="1">
      <c r="R471" s="106"/>
      <c r="BK471" s="95">
        <v>49006</v>
      </c>
    </row>
    <row r="472" spans="18:63" hidden="1">
      <c r="R472" s="106"/>
      <c r="BK472" s="95">
        <v>49011</v>
      </c>
    </row>
    <row r="473" spans="18:63" hidden="1">
      <c r="R473" s="106"/>
      <c r="BK473" s="95">
        <v>49041</v>
      </c>
    </row>
    <row r="474" spans="18:63" hidden="1">
      <c r="R474" s="106"/>
      <c r="BK474" s="95">
        <v>49043</v>
      </c>
    </row>
    <row r="475" spans="18:63" hidden="1">
      <c r="R475" s="106"/>
      <c r="BK475" s="95">
        <v>49044</v>
      </c>
    </row>
    <row r="476" spans="18:63" hidden="1">
      <c r="R476" s="106"/>
      <c r="BK476" s="95">
        <v>49073</v>
      </c>
    </row>
    <row r="477" spans="18:63" hidden="1">
      <c r="R477" s="106"/>
      <c r="BK477" s="95">
        <v>49076</v>
      </c>
    </row>
    <row r="478" spans="18:63" hidden="1">
      <c r="R478" s="106"/>
      <c r="BK478" s="95">
        <v>49090</v>
      </c>
    </row>
    <row r="479" spans="18:63" hidden="1">
      <c r="R479" s="106"/>
      <c r="BK479" s="95">
        <v>49184</v>
      </c>
    </row>
    <row r="480" spans="18:63" hidden="1">
      <c r="R480" s="106"/>
      <c r="BK480" s="95">
        <v>49231</v>
      </c>
    </row>
    <row r="481" spans="18:63" hidden="1">
      <c r="R481" s="106"/>
      <c r="BK481" s="95">
        <v>49271</v>
      </c>
    </row>
    <row r="482" spans="18:63" hidden="1">
      <c r="R482" s="106"/>
      <c r="BK482" s="95">
        <v>49310</v>
      </c>
    </row>
    <row r="483" spans="18:63" hidden="1">
      <c r="R483" s="106"/>
      <c r="BK483" s="95">
        <v>49311</v>
      </c>
    </row>
    <row r="484" spans="18:63" hidden="1">
      <c r="R484" s="106"/>
      <c r="BK484" s="95">
        <v>49316</v>
      </c>
    </row>
    <row r="485" spans="18:63" hidden="1">
      <c r="R485" s="106"/>
      <c r="BK485" s="95">
        <v>49328</v>
      </c>
    </row>
    <row r="486" spans="18:63" hidden="1">
      <c r="R486" s="106"/>
      <c r="BK486" s="95">
        <v>49371</v>
      </c>
    </row>
    <row r="487" spans="18:63" hidden="1">
      <c r="R487" s="106"/>
      <c r="BK487" s="95">
        <v>49376</v>
      </c>
    </row>
    <row r="488" spans="18:63" hidden="1">
      <c r="R488" s="106"/>
      <c r="BK488" s="95">
        <v>49408</v>
      </c>
    </row>
    <row r="489" spans="18:63" hidden="1">
      <c r="R489" s="106"/>
      <c r="BK489" s="95">
        <v>49426</v>
      </c>
    </row>
    <row r="490" spans="18:63" hidden="1">
      <c r="R490" s="106"/>
      <c r="BK490" s="95">
        <v>49429</v>
      </c>
    </row>
    <row r="491" spans="18:63" hidden="1">
      <c r="R491" s="106"/>
      <c r="BK491" s="95">
        <v>49438</v>
      </c>
    </row>
    <row r="492" spans="18:63" hidden="1">
      <c r="R492" s="106"/>
      <c r="BK492" s="95">
        <v>49441</v>
      </c>
    </row>
    <row r="493" spans="18:63" hidden="1">
      <c r="R493" s="106"/>
      <c r="BK493" s="95">
        <v>49455</v>
      </c>
    </row>
    <row r="494" spans="18:63" hidden="1">
      <c r="R494" s="106"/>
      <c r="BK494" s="95">
        <v>49549</v>
      </c>
    </row>
    <row r="495" spans="18:63" hidden="1">
      <c r="R495" s="106"/>
      <c r="BK495" s="95">
        <v>49596</v>
      </c>
    </row>
    <row r="496" spans="18:63" hidden="1">
      <c r="R496" s="106"/>
      <c r="BK496" s="95">
        <v>49636</v>
      </c>
    </row>
    <row r="497" spans="18:63" hidden="1">
      <c r="R497" s="106"/>
      <c r="BK497" s="95">
        <v>49675</v>
      </c>
    </row>
    <row r="498" spans="18:63" hidden="1">
      <c r="R498" s="106"/>
      <c r="BK498" s="95">
        <v>49676</v>
      </c>
    </row>
    <row r="499" spans="18:63" hidden="1">
      <c r="R499" s="106"/>
      <c r="BK499" s="95">
        <v>49681</v>
      </c>
    </row>
    <row r="500" spans="18:63" hidden="1">
      <c r="R500" s="106"/>
      <c r="BK500" s="95">
        <v>49693</v>
      </c>
    </row>
    <row r="501" spans="18:63" hidden="1">
      <c r="R501" s="106"/>
      <c r="BK501" s="95">
        <v>49737</v>
      </c>
    </row>
    <row r="502" spans="18:63" hidden="1">
      <c r="R502" s="106"/>
      <c r="BK502" s="95">
        <v>49742</v>
      </c>
    </row>
    <row r="503" spans="18:63" hidden="1">
      <c r="R503" s="106"/>
      <c r="BK503" s="95">
        <v>49774</v>
      </c>
    </row>
    <row r="504" spans="18:63" hidden="1">
      <c r="R504" s="106"/>
      <c r="BK504" s="95">
        <v>49783</v>
      </c>
    </row>
    <row r="505" spans="18:63" hidden="1">
      <c r="R505" s="106"/>
      <c r="BK505" s="95">
        <v>49786</v>
      </c>
    </row>
    <row r="506" spans="18:63" hidden="1">
      <c r="R506" s="106"/>
      <c r="BK506" s="95">
        <v>49804</v>
      </c>
    </row>
    <row r="507" spans="18:63" hidden="1">
      <c r="R507" s="106"/>
      <c r="BK507" s="95">
        <v>49807</v>
      </c>
    </row>
    <row r="508" spans="18:63" hidden="1">
      <c r="R508" s="106"/>
      <c r="BK508" s="95">
        <v>49821</v>
      </c>
    </row>
    <row r="509" spans="18:63" hidden="1">
      <c r="R509" s="106"/>
      <c r="BK509" s="95">
        <v>49915</v>
      </c>
    </row>
    <row r="510" spans="18:63" hidden="1">
      <c r="R510" s="106"/>
      <c r="BK510" s="95">
        <v>49962</v>
      </c>
    </row>
    <row r="511" spans="18:63" hidden="1">
      <c r="R511" s="106"/>
      <c r="BK511" s="95">
        <v>50002</v>
      </c>
    </row>
    <row r="512" spans="18:63" hidden="1">
      <c r="R512" s="106"/>
      <c r="BK512" s="95">
        <v>50041</v>
      </c>
    </row>
    <row r="513" spans="18:63" hidden="1">
      <c r="R513" s="106"/>
      <c r="BK513" s="95">
        <v>50042</v>
      </c>
    </row>
    <row r="514" spans="18:63" hidden="1">
      <c r="R514" s="106"/>
      <c r="BK514" s="95">
        <v>50047</v>
      </c>
    </row>
    <row r="515" spans="18:63" hidden="1">
      <c r="R515" s="106"/>
      <c r="BK515" s="95">
        <v>50059</v>
      </c>
    </row>
    <row r="516" spans="18:63" hidden="1">
      <c r="R516" s="106"/>
      <c r="BK516" s="95">
        <v>50102</v>
      </c>
    </row>
    <row r="517" spans="18:63" hidden="1">
      <c r="R517" s="106"/>
      <c r="BK517" s="95">
        <v>50107</v>
      </c>
    </row>
    <row r="518" spans="18:63" hidden="1">
      <c r="R518" s="106"/>
      <c r="BK518" s="95">
        <v>50133</v>
      </c>
    </row>
    <row r="519" spans="18:63" hidden="1">
      <c r="R519" s="106"/>
      <c r="BK519" s="95">
        <v>50136</v>
      </c>
    </row>
    <row r="520" spans="18:63" hidden="1">
      <c r="R520" s="106"/>
      <c r="BK520" s="95">
        <v>50139</v>
      </c>
    </row>
    <row r="521" spans="18:63" hidden="1">
      <c r="R521" s="106"/>
      <c r="BK521" s="95">
        <v>50169</v>
      </c>
    </row>
    <row r="522" spans="18:63" hidden="1">
      <c r="R522" s="106"/>
      <c r="BK522" s="95">
        <v>50172</v>
      </c>
    </row>
    <row r="523" spans="18:63" hidden="1">
      <c r="R523" s="106"/>
      <c r="BK523" s="95">
        <v>50186</v>
      </c>
    </row>
    <row r="524" spans="18:63" hidden="1">
      <c r="R524" s="106"/>
      <c r="BK524" s="95">
        <v>50280</v>
      </c>
    </row>
    <row r="525" spans="18:63" hidden="1">
      <c r="R525" s="106"/>
      <c r="BK525" s="95">
        <v>50327</v>
      </c>
    </row>
    <row r="526" spans="18:63" hidden="1">
      <c r="R526" s="106"/>
      <c r="BK526" s="95">
        <v>50367</v>
      </c>
    </row>
    <row r="527" spans="18:63" hidden="1">
      <c r="R527" s="106"/>
      <c r="BK527" s="95">
        <v>50406</v>
      </c>
    </row>
    <row r="528" spans="18:63" hidden="1">
      <c r="R528" s="106"/>
      <c r="BK528" s="95">
        <v>50407</v>
      </c>
    </row>
    <row r="529" spans="18:63" hidden="1">
      <c r="R529" s="106"/>
      <c r="BK529" s="95">
        <v>50412</v>
      </c>
    </row>
    <row r="530" spans="18:63" hidden="1">
      <c r="R530" s="106"/>
      <c r="BK530" s="95">
        <v>50424</v>
      </c>
    </row>
    <row r="531" spans="18:63" hidden="1">
      <c r="R531" s="106"/>
      <c r="BK531" s="95">
        <v>50467</v>
      </c>
    </row>
    <row r="532" spans="18:63" hidden="1">
      <c r="R532" s="106"/>
      <c r="BK532" s="95">
        <v>50472</v>
      </c>
    </row>
    <row r="533" spans="18:63" hidden="1">
      <c r="R533" s="106"/>
      <c r="BK533" s="95">
        <v>50504</v>
      </c>
    </row>
    <row r="534" spans="18:63" hidden="1">
      <c r="R534" s="106"/>
      <c r="BK534" s="95">
        <v>50518</v>
      </c>
    </row>
    <row r="535" spans="18:63" hidden="1">
      <c r="R535" s="106"/>
      <c r="BK535" s="95">
        <v>50521</v>
      </c>
    </row>
    <row r="536" spans="18:63" hidden="1">
      <c r="R536" s="106"/>
      <c r="BK536" s="95">
        <v>50534</v>
      </c>
    </row>
    <row r="537" spans="18:63" hidden="1">
      <c r="R537" s="106"/>
      <c r="BK537" s="95">
        <v>50537</v>
      </c>
    </row>
    <row r="538" spans="18:63" hidden="1">
      <c r="R538" s="106"/>
      <c r="BK538" s="95">
        <v>50551</v>
      </c>
    </row>
    <row r="539" spans="18:63" hidden="1">
      <c r="R539" s="106"/>
      <c r="BK539" s="95">
        <v>50645</v>
      </c>
    </row>
    <row r="540" spans="18:63" hidden="1">
      <c r="R540" s="106"/>
      <c r="BK540" s="95">
        <v>50692</v>
      </c>
    </row>
    <row r="541" spans="18:63" hidden="1">
      <c r="R541" s="106"/>
      <c r="BK541" s="95">
        <v>50732</v>
      </c>
    </row>
    <row r="542" spans="18:63" hidden="1">
      <c r="R542" s="106"/>
      <c r="BK542" s="95">
        <v>50771</v>
      </c>
    </row>
    <row r="543" spans="18:63" hidden="1">
      <c r="R543" s="106"/>
      <c r="BK543" s="95">
        <v>50772</v>
      </c>
    </row>
    <row r="544" spans="18:63" hidden="1">
      <c r="R544" s="106"/>
      <c r="BK544" s="95">
        <v>50777</v>
      </c>
    </row>
    <row r="545" spans="18:63" hidden="1">
      <c r="R545" s="106"/>
      <c r="BK545" s="95">
        <v>50789</v>
      </c>
    </row>
    <row r="546" spans="18:63" hidden="1">
      <c r="R546" s="106"/>
      <c r="BK546" s="95">
        <v>50832</v>
      </c>
    </row>
    <row r="547" spans="18:63" hidden="1">
      <c r="R547" s="106"/>
      <c r="BK547" s="95">
        <v>50837</v>
      </c>
    </row>
    <row r="548" spans="18:63" hidden="1">
      <c r="R548" s="106"/>
      <c r="BK548" s="95">
        <v>50869</v>
      </c>
    </row>
    <row r="549" spans="18:63" hidden="1">
      <c r="R549" s="106"/>
      <c r="BK549" s="95">
        <v>50875</v>
      </c>
    </row>
    <row r="550" spans="18:63" hidden="1">
      <c r="R550" s="106"/>
      <c r="BK550" s="95">
        <v>50878</v>
      </c>
    </row>
    <row r="551" spans="18:63" hidden="1">
      <c r="R551" s="106"/>
      <c r="BK551" s="95">
        <v>50899</v>
      </c>
    </row>
    <row r="552" spans="18:63" hidden="1">
      <c r="R552" s="106"/>
      <c r="BK552" s="95">
        <v>50902</v>
      </c>
    </row>
    <row r="553" spans="18:63" hidden="1">
      <c r="R553" s="106"/>
      <c r="BK553" s="95">
        <v>50916</v>
      </c>
    </row>
    <row r="554" spans="18:63" hidden="1">
      <c r="R554" s="106"/>
      <c r="BK554" s="95">
        <v>51010</v>
      </c>
    </row>
    <row r="555" spans="18:63" hidden="1">
      <c r="R555" s="106"/>
      <c r="BK555" s="95">
        <v>51057</v>
      </c>
    </row>
    <row r="556" spans="18:63" hidden="1">
      <c r="R556" s="106"/>
      <c r="BK556" s="95">
        <v>51097</v>
      </c>
    </row>
    <row r="557" spans="18:63" hidden="1">
      <c r="R557" s="106"/>
      <c r="BK557" s="95">
        <v>51136</v>
      </c>
    </row>
    <row r="558" spans="18:63" hidden="1">
      <c r="R558" s="106"/>
      <c r="BK558" s="95">
        <v>51137</v>
      </c>
    </row>
    <row r="559" spans="18:63" hidden="1">
      <c r="R559" s="106"/>
      <c r="BK559" s="95">
        <v>51142</v>
      </c>
    </row>
    <row r="560" spans="18:63" hidden="1">
      <c r="R560" s="106"/>
      <c r="BK560" s="95">
        <v>51154</v>
      </c>
    </row>
    <row r="561" spans="18:63" hidden="1">
      <c r="R561" s="106"/>
      <c r="BK561" s="95">
        <v>51198</v>
      </c>
    </row>
    <row r="562" spans="18:63" hidden="1">
      <c r="R562" s="106"/>
      <c r="BK562" s="95">
        <v>51203</v>
      </c>
    </row>
    <row r="563" spans="18:63" hidden="1">
      <c r="R563" s="106"/>
      <c r="BK563" s="95">
        <v>51235</v>
      </c>
    </row>
    <row r="564" spans="18:63" hidden="1">
      <c r="R564" s="106"/>
      <c r="BK564" s="95">
        <v>51260</v>
      </c>
    </row>
    <row r="565" spans="18:63" hidden="1">
      <c r="R565" s="106"/>
      <c r="BK565" s="95">
        <v>51263</v>
      </c>
    </row>
    <row r="566" spans="18:63" hidden="1">
      <c r="R566" s="106"/>
      <c r="BK566" s="95">
        <v>51265</v>
      </c>
    </row>
    <row r="567" spans="18:63" hidden="1">
      <c r="R567" s="106"/>
      <c r="BK567" s="95">
        <v>51268</v>
      </c>
    </row>
    <row r="568" spans="18:63" hidden="1">
      <c r="R568" s="106"/>
      <c r="BK568" s="95">
        <v>51282</v>
      </c>
    </row>
    <row r="569" spans="18:63" hidden="1">
      <c r="R569" s="106"/>
      <c r="BK569" s="95">
        <v>51376</v>
      </c>
    </row>
    <row r="570" spans="18:63" hidden="1">
      <c r="R570" s="106"/>
      <c r="BK570" s="95">
        <v>51423</v>
      </c>
    </row>
    <row r="571" spans="18:63" hidden="1">
      <c r="R571" s="106"/>
      <c r="BK571" s="95">
        <v>51463</v>
      </c>
    </row>
    <row r="572" spans="18:63" hidden="1">
      <c r="R572" s="106"/>
    </row>
    <row r="573" spans="18:63" hidden="1">
      <c r="R573" s="106"/>
    </row>
    <row r="574" spans="18:63" hidden="1">
      <c r="R574" s="106"/>
    </row>
    <row r="575" spans="18:63" hidden="1">
      <c r="R575" s="106"/>
    </row>
    <row r="576" spans="18:63" hidden="1">
      <c r="R576" s="106"/>
    </row>
    <row r="577" spans="18:18" hidden="1">
      <c r="R577" s="106"/>
    </row>
    <row r="578" spans="18:18" hidden="1">
      <c r="R578" s="106"/>
    </row>
    <row r="579" spans="18:18" hidden="1">
      <c r="R579" s="106"/>
    </row>
    <row r="580" spans="18:18" hidden="1">
      <c r="R580" s="106"/>
    </row>
    <row r="581" spans="18:18" hidden="1">
      <c r="R581" s="106"/>
    </row>
    <row r="582" spans="18:18" hidden="1">
      <c r="R582" s="106"/>
    </row>
    <row r="583" spans="18:18" hidden="1">
      <c r="R583" s="106"/>
    </row>
    <row r="584" spans="18:18" ht="15" hidden="1" customHeight="1">
      <c r="R584" s="106"/>
    </row>
    <row r="585" spans="18:18" ht="15" hidden="1" customHeight="1">
      <c r="R585" s="106"/>
    </row>
    <row r="586" spans="18:18" ht="15" hidden="1" customHeight="1">
      <c r="R586" s="106"/>
    </row>
    <row r="587" spans="18:18" ht="0" hidden="1" customHeight="1"/>
    <row r="588" spans="18:18" ht="0" hidden="1" customHeight="1"/>
    <row r="589" spans="18:18" ht="0" hidden="1" customHeight="1"/>
    <row r="590" spans="18:18" ht="0" hidden="1" customHeight="1"/>
    <row r="591" spans="18:18" ht="0" hidden="1" customHeight="1"/>
    <row r="592" spans="18:18" ht="0" hidden="1" customHeight="1"/>
    <row r="593" ht="0" hidden="1" customHeight="1"/>
    <row r="594" ht="0" hidden="1" customHeight="1"/>
    <row r="595" ht="0" hidden="1" customHeight="1"/>
    <row r="596" ht="0" hidden="1" customHeight="1"/>
    <row r="597" ht="0" hidden="1" customHeight="1"/>
    <row r="598" ht="0" hidden="1" customHeight="1"/>
    <row r="599" ht="0" hidden="1" customHeight="1"/>
  </sheetData>
  <sheetProtection algorithmName="SHA-512" hashValue="2ggo6Y/St2fyCQltjgl/AfQ7rycf0AnOR+VvcIifT9Dz9+fZ5MfhzZAPyg9U8JXTytcpHmGx2vzCu9lzBcxvgQ==" saltValue="bqsv03tS5X2oZB4+MSpqXQ==" spinCount="100000" sheet="1" objects="1" scenarios="1"/>
  <mergeCells count="9">
    <mergeCell ref="J46:J48"/>
    <mergeCell ref="F52:G52"/>
    <mergeCell ref="BW79:CE79"/>
    <mergeCell ref="F10:H10"/>
    <mergeCell ref="J10:J28"/>
    <mergeCell ref="G12:H12"/>
    <mergeCell ref="O28:Q28"/>
    <mergeCell ref="Q30:R30"/>
    <mergeCell ref="F36:G36"/>
  </mergeCells>
  <conditionalFormatting sqref="BM80:BM91">
    <cfRule type="cellIs" dxfId="81" priority="68" stopIfTrue="1" operator="notEqual">
      <formula>""</formula>
    </cfRule>
  </conditionalFormatting>
  <conditionalFormatting sqref="L7">
    <cfRule type="expression" dxfId="80" priority="64">
      <formula>$F$10&lt;&gt;"ბიზნეს ოვერდრაფტი"</formula>
    </cfRule>
  </conditionalFormatting>
  <conditionalFormatting sqref="R7">
    <cfRule type="expression" dxfId="79" priority="62">
      <formula>$F$10&lt;&gt;"ბიზნეს ოვერდრაფტი"</formula>
    </cfRule>
  </conditionalFormatting>
  <conditionalFormatting sqref="P34">
    <cfRule type="expression" dxfId="78" priority="37">
      <formula>$H$3&gt;100%</formula>
    </cfRule>
  </conditionalFormatting>
  <conditionalFormatting sqref="R34">
    <cfRule type="expression" dxfId="77" priority="36">
      <formula>$H$3&gt;100%</formula>
    </cfRule>
  </conditionalFormatting>
  <conditionalFormatting sqref="R36">
    <cfRule type="expression" dxfId="76" priority="28">
      <formula>$O$28="დეპოზიტით უზრუნველყოფილი"</formula>
    </cfRule>
  </conditionalFormatting>
  <conditionalFormatting sqref="R38">
    <cfRule type="expression" dxfId="75" priority="27">
      <formula>$O$28="დეპოზიტით უზრუნველყოფილი"</formula>
    </cfRule>
  </conditionalFormatting>
  <conditionalFormatting sqref="R40">
    <cfRule type="expression" dxfId="74" priority="24">
      <formula>$O$28="დეპოზიტით უზრუნველყოფილი"</formula>
    </cfRule>
  </conditionalFormatting>
  <conditionalFormatting sqref="BK212:BL228 BK80:BK211 BK229:BK571">
    <cfRule type="cellIs" dxfId="73" priority="69" stopIfTrue="1" operator="notEqual">
      <formula>""</formula>
    </cfRule>
  </conditionalFormatting>
  <conditionalFormatting sqref="B18">
    <cfRule type="expression" dxfId="72" priority="67">
      <formula>$H$16="GEL"</formula>
    </cfRule>
  </conditionalFormatting>
  <conditionalFormatting sqref="H18">
    <cfRule type="expression" dxfId="71" priority="66">
      <formula>$H$16="GEL"</formula>
    </cfRule>
  </conditionalFormatting>
  <conditionalFormatting sqref="B7">
    <cfRule type="expression" dxfId="70" priority="65">
      <formula>$F$10&lt;&gt;"ბიზნეს ოვერდრაფტი"</formula>
    </cfRule>
  </conditionalFormatting>
  <conditionalFormatting sqref="H7">
    <cfRule type="expression" dxfId="69" priority="63">
      <formula>$F$10&lt;&gt;"ბიზნეს ოვერდრაფტი"</formula>
    </cfRule>
  </conditionalFormatting>
  <conditionalFormatting sqref="L22 R22 L24 R24">
    <cfRule type="expression" dxfId="68" priority="61">
      <formula>$F$10&lt;&gt;"ბიზნეს ოვერდრაფტი"</formula>
    </cfRule>
  </conditionalFormatting>
  <conditionalFormatting sqref="R22 R24">
    <cfRule type="expression" dxfId="67" priority="60">
      <formula>$F$10&lt;&gt;"ბიზნეს ოვერდრაფტი"</formula>
    </cfRule>
  </conditionalFormatting>
  <conditionalFormatting sqref="H36">
    <cfRule type="expression" dxfId="66" priority="59">
      <formula>$F$36="თვის ბოლო"</formula>
    </cfRule>
  </conditionalFormatting>
  <conditionalFormatting sqref="C201:C212">
    <cfRule type="expression" dxfId="65" priority="58">
      <formula>C201=0</formula>
    </cfRule>
  </conditionalFormatting>
  <conditionalFormatting sqref="L3 L7">
    <cfRule type="expression" dxfId="64" priority="57">
      <formula>$H$16="GEL"</formula>
    </cfRule>
  </conditionalFormatting>
  <conditionalFormatting sqref="R3 R7">
    <cfRule type="expression" dxfId="63" priority="56">
      <formula>$H$16="GEL"</formula>
    </cfRule>
  </conditionalFormatting>
  <conditionalFormatting sqref="J79:J200">
    <cfRule type="expression" dxfId="62" priority="54">
      <formula>B79=""</formula>
    </cfRule>
    <cfRule type="expression" dxfId="61" priority="55">
      <formula>OR($F$10="ანუიტეტური",$F$10="საშეღავათო",$F$10="ნულოვანი საშეღავათო",$F$10="სამომხმარებლო",$F$10="ბიზნეს ოვერდრაფტი",$F$10="დეპოზიტით უზრუნველყოფილი")</formula>
    </cfRule>
  </conditionalFormatting>
  <conditionalFormatting sqref="C81:C200">
    <cfRule type="expression" dxfId="60" priority="16">
      <formula>B81=""</formula>
    </cfRule>
  </conditionalFormatting>
  <conditionalFormatting sqref="H20">
    <cfRule type="expression" dxfId="59" priority="52">
      <formula>$F$10="დეპოზიტით უზრუნველყოფილი"</formula>
    </cfRule>
  </conditionalFormatting>
  <conditionalFormatting sqref="G20">
    <cfRule type="expression" dxfId="58" priority="51">
      <formula>$F$10&lt;&gt;"დეპოზიტით უზრუნველყოფილი"</formula>
    </cfRule>
  </conditionalFormatting>
  <conditionalFormatting sqref="F32:H32 F34:H34 B36 F36:H36 L10 R10 L12 R12 L14 R14 L16 P16 R16 L18 L20 R18 P18 R20">
    <cfRule type="expression" dxfId="57" priority="50">
      <formula>$F$10="დეპოზიტით უზრუნველყოფილი"</formula>
    </cfRule>
  </conditionalFormatting>
  <conditionalFormatting sqref="G12:H12">
    <cfRule type="expression" dxfId="56" priority="45">
      <formula>AND($F$10="სამომხმარებლო",ISNUMBER(G12))</formula>
    </cfRule>
    <cfRule type="expression" dxfId="55" priority="46">
      <formula>AND(OR($F$10="საშეღავათო",$F$10="ნულოვანი საშეღავათო"),ISTEXT(G12))</formula>
    </cfRule>
    <cfRule type="expression" dxfId="54" priority="49">
      <formula>OR($F$10="ანუიტეტური",$F$10="ასიმეტრიული",$F$10="ასიმეტრიული პროცენტით",$F$10="ბიზნეს ოვერდრაფტი",$F$10="დეპოზიტით უზრუნველყოფილი")</formula>
    </cfRule>
  </conditionalFormatting>
  <conditionalFormatting sqref="L24">
    <cfRule type="expression" dxfId="53" priority="48">
      <formula>$F$10&lt;&gt;"ბიზნეს ოვერდრაფტი"</formula>
    </cfRule>
  </conditionalFormatting>
  <conditionalFormatting sqref="H3 H14 H20 H22 H24 R14 R16 R20 J10">
    <cfRule type="expression" dxfId="52" priority="1">
      <formula>$H$3&gt;50%</formula>
    </cfRule>
  </conditionalFormatting>
  <conditionalFormatting sqref="L81:L200">
    <cfRule type="expression" dxfId="51" priority="33">
      <formula>K81=""</formula>
    </cfRule>
  </conditionalFormatting>
  <conditionalFormatting sqref="R28">
    <cfRule type="expression" dxfId="50" priority="41">
      <formula>$H$3&gt;50%</formula>
    </cfRule>
  </conditionalFormatting>
  <conditionalFormatting sqref="Q32">
    <cfRule type="expression" dxfId="49" priority="40">
      <formula>AND($P$32="GEL",$H$16="GEL")</formula>
    </cfRule>
  </conditionalFormatting>
  <conditionalFormatting sqref="R32">
    <cfRule type="expression" dxfId="48" priority="39">
      <formula>$O$28="დეპოზიტით უზრუნველყოფილი"</formula>
    </cfRule>
  </conditionalFormatting>
  <conditionalFormatting sqref="R32">
    <cfRule type="expression" dxfId="47" priority="38">
      <formula>$H$3&gt;100%</formula>
    </cfRule>
  </conditionalFormatting>
  <conditionalFormatting sqref="H52">
    <cfRule type="expression" dxfId="46" priority="35">
      <formula>$F$52="თვის ბოლო"</formula>
    </cfRule>
  </conditionalFormatting>
  <conditionalFormatting sqref="F52 H52">
    <cfRule type="expression" dxfId="45" priority="34">
      <formula>$O$28="დეპოზიტით უზრუნველყოფილი"</formula>
    </cfRule>
  </conditionalFormatting>
  <conditionalFormatting sqref="R79:R586">
    <cfRule type="expression" dxfId="44" priority="43">
      <formula>K79=""</formula>
    </cfRule>
    <cfRule type="expression" dxfId="43" priority="44">
      <formula>OR($O$28="ანუიტეტური",$O$28="საშეღავათო",$O$28="ნულოვანი საშეღავათო",$O$28="სამომხმარებლო",$O$28="ბიზნეს ოვერდრაფტი",$O$28="დეპოზიტით უზრუნველყოფილი")</formula>
    </cfRule>
  </conditionalFormatting>
  <conditionalFormatting sqref="Q30:R30">
    <cfRule type="expression" dxfId="42" priority="30">
      <formula>AND($O$28="სამომხმარებლო",ISNUMBER(Q30))</formula>
    </cfRule>
    <cfRule type="expression" dxfId="41" priority="31">
      <formula>AND(OR($O$28="საშეღავათო",$O$28="ნულოვანი საშეღავათო"),ISTEXT(Q30))</formula>
    </cfRule>
    <cfRule type="expression" dxfId="40" priority="32">
      <formula>OR($O$28="ანუიტეტური",$O$28="ასიმეტრიული",$O$28="ასიმეტრიული პროცენტით",$O$28="ბიზნეს ოვერდრაფტი",$O$28="დეპოზიტით უზრუნველყოფილი")</formula>
    </cfRule>
  </conditionalFormatting>
  <conditionalFormatting sqref="Q36">
    <cfRule type="expression" dxfId="39" priority="29">
      <formula>$O$28="დეპოზიტით უზრუნველყოფილი"</formula>
    </cfRule>
  </conditionalFormatting>
  <conditionalFormatting sqref="R38">
    <cfRule type="expression" dxfId="38" priority="26">
      <formula>$H$3&gt;100%</formula>
    </cfRule>
  </conditionalFormatting>
  <conditionalFormatting sqref="P40">
    <cfRule type="expression" dxfId="37" priority="25">
      <formula>$O$28="დეპოზიტით უზრუნველყოფილი"</formula>
    </cfRule>
  </conditionalFormatting>
  <conditionalFormatting sqref="R40">
    <cfRule type="expression" dxfId="36" priority="23">
      <formula>$H$3&gt;100%</formula>
    </cfRule>
  </conditionalFormatting>
  <conditionalFormatting sqref="R42">
    <cfRule type="expression" dxfId="35" priority="22">
      <formula>$O$28="დეპოზიტით უზრუნველყოფილი"</formula>
    </cfRule>
  </conditionalFormatting>
  <conditionalFormatting sqref="K81:Q200">
    <cfRule type="expression" dxfId="34" priority="14">
      <formula>K81=""</formula>
    </cfRule>
  </conditionalFormatting>
  <conditionalFormatting sqref="L48 R48 R50">
    <cfRule type="expression" dxfId="33" priority="21">
      <formula>$O$28&lt;&gt;"ბიზნეს ოვერდრაფტი"</formula>
    </cfRule>
  </conditionalFormatting>
  <conditionalFormatting sqref="R48">
    <cfRule type="expression" dxfId="32" priority="20">
      <formula>$O$28&lt;&gt;"ბიზნეს ოვერდრაფტი"</formula>
    </cfRule>
  </conditionalFormatting>
  <conditionalFormatting sqref="L50">
    <cfRule type="expression" dxfId="31" priority="19">
      <formula>$O$28&lt;&gt;"ბიზნეს ოვერდრაფტი"</formula>
    </cfRule>
  </conditionalFormatting>
  <conditionalFormatting sqref="R50">
    <cfRule type="expression" dxfId="30" priority="18">
      <formula>$O$28&lt;&gt;"ბიზნეს ოვერდრაფტი"</formula>
    </cfRule>
  </conditionalFormatting>
  <conditionalFormatting sqref="L50">
    <cfRule type="expression" dxfId="29" priority="17">
      <formula>$O$28&lt;&gt;"ბიზნეს ოვერდრაფტი"</formula>
    </cfRule>
  </conditionalFormatting>
  <conditionalFormatting sqref="L81:Q200">
    <cfRule type="expression" dxfId="28" priority="42">
      <formula>$O81&lt;0</formula>
    </cfRule>
  </conditionalFormatting>
  <conditionalFormatting sqref="J46:J48">
    <cfRule type="expression" dxfId="27" priority="72">
      <formula>$H$46=""</formula>
    </cfRule>
    <cfRule type="expression" dxfId="26" priority="73">
      <formula>$G$46=""</formula>
    </cfRule>
    <cfRule type="expression" dxfId="25" priority="74">
      <formula>$F$46=""</formula>
    </cfRule>
    <cfRule type="expression" dxfId="24" priority="75">
      <formula>DATE($F$46,$G$46,$H$46)&gt;=DATE($F$34,$G$34,$H$34)</formula>
    </cfRule>
  </conditionalFormatting>
  <conditionalFormatting sqref="B81:H200">
    <cfRule type="expression" dxfId="23" priority="15">
      <formula>$F81&lt;0</formula>
    </cfRule>
    <cfRule type="expression" dxfId="22" priority="53">
      <formula>B81=""</formula>
    </cfRule>
  </conditionalFormatting>
  <conditionalFormatting sqref="L46">
    <cfRule type="expression" dxfId="21" priority="10">
      <formula>$H$46=""</formula>
    </cfRule>
    <cfRule type="expression" dxfId="20" priority="11">
      <formula>$F$46=""</formula>
    </cfRule>
    <cfRule type="expression" dxfId="19" priority="12">
      <formula>$G$46=""</formula>
    </cfRule>
    <cfRule type="expression" dxfId="18" priority="13">
      <formula>WORKDAY(DATE($F$34,$G$34,$H$34),4,$BK$80:$BK$571)&lt;DATE($F$46,$G$46,$H$46)</formula>
    </cfRule>
  </conditionalFormatting>
  <conditionalFormatting sqref="K79:S200">
    <cfRule type="expression" dxfId="17" priority="70">
      <formula>DATE($F$34,$G$34,$H$34)&lt;=DATE($F$46,$G$46,$H$46)</formula>
    </cfRule>
    <cfRule type="expression" dxfId="16" priority="71">
      <formula>$F$46=""</formula>
    </cfRule>
  </conditionalFormatting>
  <conditionalFormatting sqref="P20">
    <cfRule type="expression" dxfId="15" priority="9">
      <formula>$F$10="დეპოზიტით უზრუნველყოფილი"</formula>
    </cfRule>
  </conditionalFormatting>
  <conditionalFormatting sqref="P46">
    <cfRule type="expression" dxfId="14" priority="4">
      <formula>$O$28="დეპოზიტით უზრუნველყოფილი"</formula>
    </cfRule>
  </conditionalFormatting>
  <conditionalFormatting sqref="P46">
    <cfRule type="expression" dxfId="13" priority="5">
      <formula>$H$46=""</formula>
    </cfRule>
    <cfRule type="expression" dxfId="12" priority="6">
      <formula>$F$46=""</formula>
    </cfRule>
    <cfRule type="expression" dxfId="11" priority="7">
      <formula>$G$46=""</formula>
    </cfRule>
    <cfRule type="expression" dxfId="10" priority="8">
      <formula>WORKDAY(DATE($F$34,$G$34,$H$34),4,$BK$80:$BK$571)&lt;DATE($F$46,$G$46,$H$46)</formula>
    </cfRule>
  </conditionalFormatting>
  <conditionalFormatting sqref="R46">
    <cfRule type="expression" dxfId="9" priority="3">
      <formula>$F$10="დეპოზიტით უზრუნველყოფილი"</formula>
    </cfRule>
  </conditionalFormatting>
  <conditionalFormatting sqref="R46">
    <cfRule type="expression" dxfId="8" priority="2">
      <formula>$H$3&gt;100%</formula>
    </cfRule>
  </conditionalFormatting>
  <conditionalFormatting sqref="L48 R48 L50 R50 K26:S26 A44:S44 B48 F48:H48 B50 F50:H50 B52 F52 H52 L28 O28 R28 L30 Q30 L32 P32:R32 L34 O34:R34 L36 Q36:R36 L38 R38 L40 L42 R42 F53:G53 F51:G51 O27:Q27 O29:Q29 K27:K43 P40:R40 L46 P46:R46">
    <cfRule type="expression" dxfId="7" priority="76">
      <formula>$H$46=""</formula>
    </cfRule>
    <cfRule type="expression" dxfId="6" priority="77">
      <formula>$F$46=""</formula>
    </cfRule>
    <cfRule type="expression" dxfId="5" priority="78">
      <formula>$G$46=""</formula>
    </cfRule>
    <cfRule type="expression" dxfId="4" priority="79">
      <formula>DATE($F$34,$G$34,$H$34)&lt;=DATE($F$46,$G$46,$H$46)</formula>
    </cfRule>
  </conditionalFormatting>
  <conditionalFormatting sqref="H3 H20 H22 H24 J10">
    <cfRule type="expression" dxfId="3" priority="47">
      <formula>AND($H$3&lt;=49%,$H$14&lt;=4000)</formula>
    </cfRule>
  </conditionalFormatting>
  <dataValidations count="26">
    <dataValidation type="list" allowBlank="1" showInputMessage="1" showErrorMessage="1" sqref="J46">
      <formula1>IF(DATE($F$46,$G$46,$H$46)&lt;DATE($F$34,$G$34,$H$34),$BR$80:$BR$81,"")</formula1>
    </dataValidation>
    <dataValidation showInputMessage="1" showErrorMessage="1" sqref="R20 R46"/>
    <dataValidation allowBlank="1" showInputMessage="1" showErrorMessage="1" prompt="ივსება თუ კლიენტს აქვს არასტანდარტული სიცოცხლის დაზღვევის საკომისიო!" sqref="P20 P46"/>
    <dataValidation allowBlank="1" showInputMessage="1" showErrorMessage="1" prompt="ივსება თუ კლიენტს აქვს არასტანდარტული განაღდების საკომისიო!" sqref="P16 P18"/>
    <dataValidation allowBlank="1" showInputMessage="1" showErrorMessage="1" prompt="გთხოვთ შეიყვანოთ სესხის გაცემის დღეს ეროვნული ბანკის ლარის აშშ დოლართან არსებული გაცვლითი კურსი!" sqref="H18"/>
    <dataValidation allowBlank="1" showInputMessage="1" showErrorMessage="1" prompt="ივსება თუ კლიენტს აქვს სტანდარტულზე ნაკლები წინსწრების საკომისიო!" sqref="P56"/>
    <dataValidation type="whole" allowBlank="1" showInputMessage="1" showErrorMessage="1" error="მნიშვნელბა უნდა იყოს 1 - 31 შუალედში!" sqref="H28 H30 H36 H32 H34 H50 H46 H52 H48">
      <formula1>1</formula1>
      <formula2>31</formula2>
    </dataValidation>
    <dataValidation type="whole" allowBlank="1" showInputMessage="1" showErrorMessage="1" error="მნიშვნელბა უნდა იყოს 1 - 12 შუალედში!" sqref="G28 G30 G32 G34 G56 G46 Q38 G48 G50 Q46">
      <formula1>1</formula1>
      <formula2>12</formula2>
    </dataValidation>
    <dataValidation type="whole" allowBlank="1" showInputMessage="1" showErrorMessage="1" error="მნიშვნელბა უნდა იყოს 2000 - 2030 შუალედში!" sqref="F28 F30 F32 F34 F56 F46 P38 F48 F50">
      <formula1>2000</formula1>
      <formula2>2030</formula2>
    </dataValidation>
    <dataValidation type="list" allowBlank="1" showInputMessage="1" showErrorMessage="1" error="მნიშვნელობა უნდა იყოს 1 - 120 შუალედში!" sqref="H20 R32">
      <formula1>$BL$80:$BL$199</formula1>
    </dataValidation>
    <dataValidation type="list" allowBlank="1" showInputMessage="1" showErrorMessage="1" sqref="H16 P32">
      <formula1>"GEL, USD"</formula1>
    </dataValidation>
    <dataValidation type="list" allowBlank="1" showInputMessage="1" showErrorMessage="1" sqref="F36:G36 F52">
      <formula1>"ფიქსირებული, თვის ბოლო"</formula1>
    </dataValidation>
    <dataValidation type="list" showInputMessage="1" showErrorMessage="1" prompt="ირჩევა სერვის პაკეტის ტარიფი. 0 ტარიფის არჩევა მოხდება მხოლოდ გამონაკლის კლიენტებზე." sqref="R14 R38">
      <formula1>$BQ$80:$BQ$82</formula1>
    </dataValidation>
    <dataValidation type="list" allowBlank="1" showInputMessage="1" showErrorMessage="1" sqref="F10:H10 O28:Q28">
      <formula1>$BP$80:$BP$87</formula1>
    </dataValidation>
    <dataValidation type="custom" allowBlank="1" showInputMessage="1" showErrorMessage="1" error="გადასახდელი თანხა არის საპროცენტო თანხაზე ნაკლები. გთხოვთ შეამოწმოთ!" sqref="J81:J200">
      <formula1>IF(J81&lt;&gt;0,J81&gt;G81,J81&lt;G81)</formula1>
    </dataValidation>
    <dataValidation showErrorMessage="1" promptTitle="გადასანაწილებელი თანხა" prompt="თანხა, რომელიც თანაბრად უნდა გადანაწილდეს მთელ პერიოდზე" sqref="R16 R40"/>
    <dataValidation allowBlank="1" showInputMessage="1" showErrorMessage="1" prompt="გთხოვთ შეიყვანოთ ეროვნული ბანკის ლარის აშშ დოლართან დღევანდელი გაცვლითი კურსი!" sqref="Q32"/>
    <dataValidation allowBlank="1" showInputMessage="1" showErrorMessage="1" prompt="ივსება მხოლოდ არასტანდარტული საპროცენტო განაკვეთის / დეპოზიტით უზრუნველყოფილი სესხის შემთხვევაში!" sqref="F22 O34"/>
    <dataValidation allowBlank="1" showInputMessage="1" showErrorMessage="1" prompt="ივსება მხოლოდ არასტანდარტული გაცემის საკომისიოს შემთხვევაში!" sqref="Q34"/>
    <dataValidation allowBlank="1" showInputMessage="1" showErrorMessage="1" prompt="ეთითება იპოთეკის ან გირავნობის ხელშეკრულების რეგისტრაციის და მოხსნის ადმინისტრაციული გადასახდელების ჯამი." sqref="R10 Q36"/>
    <dataValidation allowBlank="1" showInputMessage="1" showErrorMessage="1" prompt="ეთითება ყველა გაწეული ხარჯის ჯამი, რაც არ იყო მითითებული და რისი გაწევაც უწევს კლიენტს ბანკის მოთხოვნით." sqref="R12 R36"/>
    <dataValidation allowBlank="1" showInputMessage="1" showErrorMessage="1" prompt="ივსება თუ კლიენტს აქვს არასტანდარტული განაღდების საკომისიოს!" sqref="P40"/>
    <dataValidation type="list" allowBlank="1" showInputMessage="1" showErrorMessage="1" sqref="G12:H12">
      <formula1>IF(OR(F10="საშეღავათო",F10="ნულოვანი საშეღავათო"),$BM$80:$BM$91,IF(F10="სამომხმარებლო",$BN$80:$BN$81))</formula1>
    </dataValidation>
    <dataValidation type="list" allowBlank="1" showInputMessage="1" showErrorMessage="1" sqref="Q30:R30">
      <formula1>IF(OR(O28="საშეღავათო",O28="ნულოვანი საშეღავათო"),$BM$80:$BM$91,IF(O28="სამომხმარებლო",$BN$80:$BN$81))</formula1>
    </dataValidation>
    <dataValidation type="custom" allowBlank="1" showInputMessage="1" showErrorMessage="1" error="გადასახდელი თანხა არის საპროცენტო თანხაზე ნაკლები. გთხოვთ შეამოწმოთ!" sqref="R81:R586">
      <formula1>IF(R81&lt;&gt;0,R81&gt;P81,R81&lt;P81)</formula1>
    </dataValidation>
    <dataValidation type="decimal" allowBlank="1" showInputMessage="1" showErrorMessage="1" error="სესხის გაცემის საკომისიოს რეინჯია 1.0 - 3.0%!" prompt="ივსება მხოლოდ არასტანდარტული გაცემის საკომისიოს შემთხვევაში!" sqref="F24">
      <formula1>0.01</formula1>
      <formula2>0.03</formula2>
    </dataValidation>
  </dataValidations>
  <pageMargins left="0.7" right="0.7" top="0.75" bottom="0.75" header="0.3" footer="0.3"/>
  <pageSetup scale="4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view="pageBreakPreview" zoomScale="90" zoomScaleNormal="100" zoomScaleSheetLayoutView="90" workbookViewId="0">
      <selection activeCell="A3" sqref="A3"/>
    </sheetView>
  </sheetViews>
  <sheetFormatPr defaultColWidth="35" defaultRowHeight="12.75"/>
  <cols>
    <col min="1" max="1" width="37.28515625" style="143" customWidth="1"/>
    <col min="2" max="2" width="12.5703125" style="137" customWidth="1"/>
    <col min="3" max="3" width="9" style="137" customWidth="1"/>
    <col min="4" max="4" width="9.7109375" style="137" customWidth="1"/>
    <col min="5" max="5" width="8.85546875" style="137" customWidth="1"/>
    <col min="6" max="6" width="8.5703125" style="137" customWidth="1"/>
    <col min="7" max="7" width="6.5703125" style="137" customWidth="1"/>
    <col min="8" max="8" width="9.28515625" style="137" customWidth="1"/>
    <col min="9" max="9" width="17.7109375" style="137" customWidth="1"/>
    <col min="10" max="22" width="17.7109375" style="137" hidden="1" customWidth="1"/>
    <col min="23" max="38" width="17.7109375" style="134" hidden="1" customWidth="1"/>
    <col min="39" max="39" width="17.7109375" style="134" customWidth="1"/>
    <col min="40" max="40" width="26.28515625" style="134" customWidth="1"/>
    <col min="41" max="56" width="15.140625" style="134" customWidth="1"/>
    <col min="57" max="16384" width="35" style="134"/>
  </cols>
  <sheetData>
    <row r="1" spans="1:39" ht="19.5" thickBot="1">
      <c r="A1" s="164" t="str">
        <f>საქმიანობა!A1</f>
        <v>Version 04-მარტი-2019</v>
      </c>
      <c r="B1" s="771" t="s">
        <v>398</v>
      </c>
      <c r="C1" s="772"/>
      <c r="D1" s="772"/>
      <c r="E1" s="772"/>
      <c r="F1" s="772"/>
      <c r="G1" s="772"/>
      <c r="H1" s="772"/>
      <c r="I1" s="772"/>
      <c r="J1" s="134"/>
      <c r="K1" s="134"/>
      <c r="L1" s="134"/>
      <c r="M1" s="134"/>
      <c r="N1" s="134"/>
      <c r="O1" s="134"/>
      <c r="P1" s="134"/>
      <c r="Q1" s="134"/>
      <c r="R1" s="134"/>
      <c r="S1" s="134"/>
      <c r="T1" s="134"/>
      <c r="U1" s="134"/>
      <c r="V1" s="134"/>
    </row>
    <row r="2" spans="1:39" ht="14.25" thickTop="1" thickBot="1">
      <c r="A2" s="766" t="s">
        <v>622</v>
      </c>
      <c r="B2" s="767"/>
      <c r="C2" s="767"/>
      <c r="D2" s="767"/>
      <c r="E2" s="767"/>
      <c r="F2" s="767"/>
      <c r="G2" s="767"/>
      <c r="H2" s="767"/>
      <c r="I2" s="767"/>
      <c r="J2" s="134"/>
      <c r="K2" s="134"/>
      <c r="L2" s="134"/>
      <c r="M2" s="134"/>
      <c r="N2" s="134"/>
      <c r="O2" s="134"/>
      <c r="P2" s="134"/>
      <c r="Q2" s="134"/>
      <c r="R2" s="134"/>
      <c r="S2" s="134"/>
      <c r="T2" s="134"/>
      <c r="U2" s="134"/>
      <c r="V2" s="134"/>
    </row>
    <row r="3" spans="1:39" ht="14.25" thickTop="1" thickBot="1">
      <c r="A3" s="135" t="s">
        <v>0</v>
      </c>
      <c r="B3" s="768"/>
      <c r="C3" s="769"/>
      <c r="D3" s="769"/>
      <c r="E3" s="769"/>
      <c r="F3" s="769"/>
      <c r="G3" s="769"/>
      <c r="H3" s="769"/>
      <c r="I3" s="770"/>
      <c r="J3" s="134"/>
      <c r="K3" s="134"/>
      <c r="L3" s="134"/>
      <c r="M3" s="134"/>
      <c r="N3" s="134"/>
      <c r="O3" s="134"/>
      <c r="P3" s="134"/>
      <c r="Q3" s="134"/>
      <c r="R3" s="134"/>
      <c r="S3" s="134"/>
      <c r="T3" s="134"/>
      <c r="U3" s="134"/>
      <c r="V3" s="134"/>
    </row>
    <row r="4" spans="1:39" ht="14.25" thickTop="1" thickBot="1">
      <c r="A4" s="135" t="s">
        <v>84</v>
      </c>
      <c r="B4" s="546"/>
      <c r="C4" s="547"/>
      <c r="D4" s="547"/>
      <c r="E4" s="547"/>
      <c r="F4" s="547"/>
      <c r="G4" s="547"/>
      <c r="H4" s="547"/>
      <c r="I4" s="548"/>
      <c r="J4" s="134"/>
      <c r="K4" s="134"/>
      <c r="L4" s="134"/>
      <c r="M4" s="134"/>
      <c r="N4" s="134"/>
      <c r="O4" s="134"/>
      <c r="P4" s="134"/>
      <c r="Q4" s="134"/>
      <c r="R4" s="134"/>
      <c r="S4" s="134"/>
      <c r="T4" s="134"/>
      <c r="U4" s="134"/>
      <c r="V4" s="134"/>
    </row>
    <row r="5" spans="1:39" ht="14.25" thickTop="1" thickBot="1">
      <c r="A5" s="135" t="s">
        <v>309</v>
      </c>
      <c r="B5" s="546"/>
      <c r="C5" s="547"/>
      <c r="D5" s="547"/>
      <c r="E5" s="547"/>
      <c r="F5" s="547"/>
      <c r="G5" s="547"/>
      <c r="H5" s="547"/>
      <c r="I5" s="548"/>
      <c r="J5" s="134"/>
      <c r="K5" s="134"/>
      <c r="L5" s="134"/>
      <c r="M5" s="134"/>
      <c r="N5" s="134"/>
      <c r="O5" s="134"/>
      <c r="P5" s="134"/>
      <c r="Q5" s="134"/>
      <c r="R5" s="134"/>
      <c r="S5" s="134"/>
      <c r="T5" s="134"/>
      <c r="U5" s="134"/>
      <c r="V5" s="134"/>
    </row>
    <row r="6" spans="1:39" ht="14.25" thickTop="1" thickBot="1">
      <c r="A6" s="766" t="s">
        <v>350</v>
      </c>
      <c r="B6" s="767"/>
      <c r="C6" s="767"/>
      <c r="D6" s="767"/>
      <c r="E6" s="767"/>
      <c r="F6" s="767"/>
      <c r="G6" s="767"/>
      <c r="H6" s="767"/>
      <c r="I6" s="767"/>
      <c r="J6" s="134"/>
      <c r="K6" s="134"/>
      <c r="L6" s="134"/>
      <c r="M6" s="134"/>
      <c r="N6" s="134"/>
      <c r="O6" s="134"/>
      <c r="P6" s="134"/>
      <c r="Q6" s="134"/>
      <c r="R6" s="134"/>
      <c r="S6" s="134"/>
      <c r="T6" s="134"/>
      <c r="U6" s="134"/>
      <c r="V6" s="134"/>
    </row>
    <row r="7" spans="1:39" ht="14.25" thickTop="1" thickBot="1">
      <c r="A7" s="135" t="s">
        <v>351</v>
      </c>
      <c r="B7" s="531"/>
      <c r="C7" s="532"/>
      <c r="D7" s="532"/>
      <c r="E7" s="532"/>
      <c r="F7" s="532"/>
      <c r="G7" s="532"/>
      <c r="H7" s="532"/>
      <c r="I7" s="533"/>
      <c r="J7" s="134"/>
      <c r="K7" s="134"/>
      <c r="L7" s="134"/>
      <c r="M7" s="134"/>
      <c r="N7" s="134"/>
      <c r="O7" s="134"/>
      <c r="P7" s="134"/>
      <c r="Q7" s="134"/>
      <c r="R7" s="134"/>
      <c r="S7" s="134"/>
      <c r="T7" s="134"/>
      <c r="U7" s="134"/>
      <c r="V7" s="134"/>
    </row>
    <row r="8" spans="1:39" ht="14.25" thickTop="1" thickBot="1">
      <c r="A8" s="135" t="s">
        <v>158</v>
      </c>
      <c r="B8" s="776" t="str">
        <f>IF(B7="","",VLOOKUP(B7,lists!AK3:AL15,2,1))</f>
        <v/>
      </c>
      <c r="C8" s="777"/>
      <c r="D8" s="777"/>
      <c r="E8" s="777"/>
      <c r="F8" s="777"/>
      <c r="G8" s="777"/>
      <c r="H8" s="777"/>
      <c r="I8" s="778"/>
      <c r="J8" s="134"/>
      <c r="K8" s="134"/>
      <c r="L8" s="134"/>
      <c r="M8" s="134"/>
      <c r="N8" s="134"/>
      <c r="O8" s="134"/>
      <c r="P8" s="134"/>
      <c r="Q8" s="134"/>
      <c r="R8" s="134"/>
      <c r="S8" s="134"/>
      <c r="T8" s="134"/>
      <c r="U8" s="134"/>
      <c r="V8" s="134"/>
    </row>
    <row r="9" spans="1:39" ht="14.25" thickTop="1" thickBot="1">
      <c r="A9" s="766" t="s">
        <v>145</v>
      </c>
      <c r="B9" s="767"/>
      <c r="C9" s="767"/>
      <c r="D9" s="767"/>
      <c r="E9" s="767"/>
      <c r="F9" s="767"/>
      <c r="G9" s="767"/>
      <c r="H9" s="767"/>
      <c r="I9" s="767"/>
      <c r="J9" s="134"/>
      <c r="K9" s="134"/>
      <c r="L9" s="134"/>
      <c r="M9" s="134"/>
      <c r="N9" s="134"/>
      <c r="O9" s="134"/>
      <c r="P9" s="134"/>
      <c r="Q9" s="134"/>
      <c r="R9" s="134"/>
      <c r="S9" s="134"/>
      <c r="T9" s="134"/>
      <c r="U9" s="134"/>
      <c r="V9" s="134"/>
      <c r="AE9" s="137"/>
      <c r="AF9" s="137"/>
      <c r="AG9" s="137"/>
      <c r="AH9" s="137"/>
      <c r="AI9" s="137"/>
      <c r="AJ9" s="137"/>
      <c r="AK9" s="137"/>
      <c r="AL9" s="137"/>
      <c r="AM9" s="137"/>
    </row>
    <row r="10" spans="1:39" ht="14.25" thickTop="1" thickBot="1">
      <c r="A10" s="135" t="s">
        <v>1</v>
      </c>
      <c r="B10" s="779"/>
      <c r="C10" s="780"/>
      <c r="D10" s="780"/>
      <c r="E10" s="780"/>
      <c r="F10" s="780"/>
      <c r="G10" s="780"/>
      <c r="H10" s="780"/>
      <c r="I10" s="781"/>
      <c r="J10" s="134"/>
      <c r="K10" s="134"/>
      <c r="L10" s="134"/>
      <c r="N10" s="146"/>
      <c r="O10" s="134"/>
      <c r="Q10" s="134"/>
      <c r="R10" s="134"/>
      <c r="S10" s="134"/>
      <c r="T10" s="134"/>
      <c r="U10" s="134"/>
      <c r="V10" s="134"/>
      <c r="AE10" s="137"/>
      <c r="AF10" s="137"/>
      <c r="AG10" s="137"/>
      <c r="AH10" s="137"/>
      <c r="AI10" s="137"/>
      <c r="AJ10" s="137"/>
      <c r="AK10" s="137"/>
      <c r="AL10" s="137"/>
      <c r="AM10" s="137"/>
    </row>
    <row r="11" spans="1:39" ht="14.25" thickTop="1" thickBot="1">
      <c r="A11" s="135" t="s">
        <v>85</v>
      </c>
      <c r="B11" s="531"/>
      <c r="C11" s="532"/>
      <c r="D11" s="532"/>
      <c r="E11" s="532"/>
      <c r="F11" s="532"/>
      <c r="G11" s="532"/>
      <c r="H11" s="532"/>
      <c r="I11" s="533"/>
      <c r="J11" s="134"/>
      <c r="K11" s="134"/>
      <c r="L11" s="134"/>
      <c r="N11" s="146"/>
      <c r="O11" s="134"/>
      <c r="Q11" s="134"/>
      <c r="R11" s="134"/>
      <c r="S11" s="134"/>
      <c r="T11" s="134"/>
      <c r="U11" s="134"/>
      <c r="V11" s="134"/>
      <c r="AE11" s="137"/>
      <c r="AF11" s="137"/>
      <c r="AG11" s="137"/>
      <c r="AH11" s="137"/>
      <c r="AI11" s="137"/>
      <c r="AJ11" s="137"/>
      <c r="AK11" s="137"/>
      <c r="AL11" s="137"/>
      <c r="AM11" s="137"/>
    </row>
    <row r="12" spans="1:39" ht="14.25" thickTop="1" thickBot="1">
      <c r="A12" s="135" t="s">
        <v>2</v>
      </c>
      <c r="B12" s="782"/>
      <c r="C12" s="783"/>
      <c r="D12" s="783"/>
      <c r="E12" s="783"/>
      <c r="F12" s="783"/>
      <c r="G12" s="783"/>
      <c r="H12" s="783"/>
      <c r="I12" s="784"/>
      <c r="J12" s="134"/>
      <c r="K12" s="134"/>
      <c r="L12" s="134"/>
      <c r="N12" s="146"/>
      <c r="O12" s="134"/>
      <c r="Q12" s="153"/>
      <c r="R12" s="153"/>
      <c r="S12" s="153"/>
      <c r="T12" s="154"/>
      <c r="U12" s="154"/>
      <c r="V12" s="154"/>
      <c r="W12" s="154"/>
      <c r="X12" s="154"/>
      <c r="Y12" s="154"/>
      <c r="Z12" s="154"/>
      <c r="AA12" s="139"/>
      <c r="AB12" s="139"/>
      <c r="AC12" s="139"/>
      <c r="AD12" s="139"/>
      <c r="AE12" s="137"/>
      <c r="AF12" s="137"/>
      <c r="AG12" s="137"/>
      <c r="AH12" s="137"/>
      <c r="AI12" s="137"/>
      <c r="AJ12" s="137"/>
      <c r="AK12" s="137"/>
      <c r="AL12" s="137"/>
      <c r="AM12" s="137"/>
    </row>
    <row r="13" spans="1:39" ht="13.5" thickTop="1">
      <c r="A13" s="766" t="s">
        <v>146</v>
      </c>
      <c r="B13" s="767"/>
      <c r="C13" s="767"/>
      <c r="D13" s="767"/>
      <c r="E13" s="767"/>
      <c r="F13" s="767"/>
      <c r="G13" s="767"/>
      <c r="H13" s="767"/>
      <c r="I13" s="767"/>
      <c r="J13" s="152">
        <v>1</v>
      </c>
      <c r="K13" s="153" t="s">
        <v>90</v>
      </c>
      <c r="L13" s="153"/>
      <c r="M13" s="153"/>
      <c r="N13" s="152"/>
      <c r="O13" s="152" t="s">
        <v>86</v>
      </c>
      <c r="P13" s="152"/>
      <c r="Q13" s="152"/>
      <c r="R13" s="152"/>
      <c r="S13" s="152" t="s">
        <v>87</v>
      </c>
      <c r="T13" s="142"/>
      <c r="U13" s="142"/>
      <c r="V13" s="142"/>
      <c r="W13" s="152" t="s">
        <v>88</v>
      </c>
      <c r="X13" s="142"/>
      <c r="Y13" s="142"/>
      <c r="Z13" s="142"/>
      <c r="AA13" s="152" t="s">
        <v>89</v>
      </c>
      <c r="AB13" s="138"/>
      <c r="AC13" s="138"/>
      <c r="AD13" s="152" t="s">
        <v>149</v>
      </c>
      <c r="AE13" s="152" t="s">
        <v>353</v>
      </c>
      <c r="AF13" s="152" t="s">
        <v>148</v>
      </c>
    </row>
    <row r="14" spans="1:39" ht="13.5" thickBot="1">
      <c r="A14" s="140"/>
      <c r="B14" s="773" t="s">
        <v>340</v>
      </c>
      <c r="C14" s="773"/>
      <c r="D14" s="773"/>
      <c r="E14" s="774"/>
      <c r="F14" s="775" t="s">
        <v>339</v>
      </c>
      <c r="G14" s="773"/>
      <c r="H14" s="773"/>
      <c r="I14" s="773"/>
      <c r="J14" s="152">
        <v>2</v>
      </c>
      <c r="K14" s="152"/>
      <c r="L14" s="152" t="s">
        <v>134</v>
      </c>
      <c r="M14" s="152" t="s">
        <v>135</v>
      </c>
      <c r="N14" s="152"/>
      <c r="O14" s="152"/>
      <c r="P14" s="152"/>
      <c r="Q14" s="152"/>
      <c r="R14" s="152"/>
      <c r="S14" s="152"/>
      <c r="T14" s="142"/>
      <c r="U14" s="142"/>
      <c r="V14" s="142"/>
      <c r="X14" s="142"/>
      <c r="Y14" s="142"/>
      <c r="Z14" s="142"/>
      <c r="AA14" s="138"/>
      <c r="AB14" s="138"/>
      <c r="AC14" s="138"/>
      <c r="AD14" s="138"/>
      <c r="AE14" s="138"/>
      <c r="AF14" s="138"/>
      <c r="AJ14" s="148">
        <f>B15</f>
        <v>0</v>
      </c>
      <c r="AK14" s="149">
        <f>F15</f>
        <v>0</v>
      </c>
    </row>
    <row r="15" spans="1:39" ht="14.25" thickTop="1" thickBot="1">
      <c r="A15" s="141" t="e">
        <f>HLOOKUP($B$10,$K$13:$AF$29,J15,0)</f>
        <v>#N/A</v>
      </c>
      <c r="B15" s="509"/>
      <c r="C15" s="510"/>
      <c r="D15" s="510"/>
      <c r="E15" s="785"/>
      <c r="F15" s="786"/>
      <c r="G15" s="787"/>
      <c r="H15" s="787"/>
      <c r="I15" s="788"/>
      <c r="J15" s="152">
        <v>3</v>
      </c>
      <c r="K15" s="152" t="s">
        <v>6</v>
      </c>
      <c r="L15" s="152"/>
      <c r="M15" s="152"/>
      <c r="N15" s="152"/>
      <c r="O15" s="152" t="s">
        <v>314</v>
      </c>
      <c r="P15" s="152"/>
      <c r="Q15" s="152"/>
      <c r="R15" s="152"/>
      <c r="S15" s="152" t="s">
        <v>314</v>
      </c>
      <c r="T15" s="142"/>
      <c r="U15" s="142"/>
      <c r="V15" s="142"/>
      <c r="W15" s="152" t="s">
        <v>326</v>
      </c>
      <c r="X15" s="142"/>
      <c r="Y15" s="142"/>
      <c r="Z15" s="142"/>
      <c r="AA15" s="152" t="s">
        <v>326</v>
      </c>
      <c r="AB15" s="138"/>
      <c r="AC15" s="138"/>
      <c r="AD15" s="152" t="s">
        <v>338</v>
      </c>
      <c r="AE15" s="152" t="s">
        <v>338</v>
      </c>
      <c r="AF15" s="152" t="s">
        <v>338</v>
      </c>
      <c r="AJ15" s="148">
        <f>B16</f>
        <v>0</v>
      </c>
      <c r="AK15" s="149">
        <f>F16</f>
        <v>0</v>
      </c>
    </row>
    <row r="16" spans="1:39" ht="14.25" thickTop="1" thickBot="1">
      <c r="A16" s="141" t="e">
        <f>HLOOKUP($B$10,$K$13:$AE$29,J16,0)</f>
        <v>#N/A</v>
      </c>
      <c r="B16" s="509"/>
      <c r="C16" s="510"/>
      <c r="D16" s="510"/>
      <c r="E16" s="785"/>
      <c r="F16" s="419"/>
      <c r="G16" s="789"/>
      <c r="H16" s="789"/>
      <c r="I16" s="420"/>
      <c r="J16" s="152">
        <v>4</v>
      </c>
      <c r="K16" s="152" t="s">
        <v>7</v>
      </c>
      <c r="L16" s="152"/>
      <c r="M16" s="152"/>
      <c r="N16" s="152"/>
      <c r="O16" s="152" t="s">
        <v>315</v>
      </c>
      <c r="P16" s="152"/>
      <c r="Q16" s="152"/>
      <c r="R16" s="152"/>
      <c r="S16" s="152" t="s">
        <v>315</v>
      </c>
      <c r="T16" s="142"/>
      <c r="U16" s="142"/>
      <c r="V16" s="142"/>
      <c r="W16" s="152" t="s">
        <v>313</v>
      </c>
      <c r="X16" s="142"/>
      <c r="Y16" s="142"/>
      <c r="Z16" s="142"/>
      <c r="AA16" s="152" t="s">
        <v>313</v>
      </c>
      <c r="AB16" s="138"/>
      <c r="AC16" s="138"/>
      <c r="AD16" s="152" t="s">
        <v>313</v>
      </c>
      <c r="AE16" s="152" t="s">
        <v>313</v>
      </c>
      <c r="AF16" s="152" t="s">
        <v>313</v>
      </c>
      <c r="AJ16" s="148">
        <f t="shared" ref="AJ16:AJ29" si="0">B17</f>
        <v>0</v>
      </c>
      <c r="AK16" s="149">
        <f t="shared" ref="AK16:AK29" si="1">F17</f>
        <v>0</v>
      </c>
    </row>
    <row r="17" spans="1:37" ht="14.25" thickTop="1" thickBot="1">
      <c r="A17" s="141" t="e">
        <f t="shared" ref="A17:A29" si="2">HLOOKUP($B$10,$K$13:$AE$29,J17,0)</f>
        <v>#N/A</v>
      </c>
      <c r="B17" s="509"/>
      <c r="C17" s="510"/>
      <c r="D17" s="510"/>
      <c r="E17" s="785"/>
      <c r="F17" s="419"/>
      <c r="G17" s="789"/>
      <c r="H17" s="789"/>
      <c r="I17" s="420"/>
      <c r="J17" s="152">
        <v>5</v>
      </c>
      <c r="K17" s="152" t="s">
        <v>8</v>
      </c>
      <c r="L17" s="152"/>
      <c r="M17" s="152"/>
      <c r="N17" s="152"/>
      <c r="O17" s="152" t="s">
        <v>313</v>
      </c>
      <c r="P17" s="152"/>
      <c r="Q17" s="152"/>
      <c r="R17" s="152"/>
      <c r="S17" s="152" t="s">
        <v>313</v>
      </c>
      <c r="T17" s="142"/>
      <c r="U17" s="142"/>
      <c r="V17" s="142"/>
      <c r="W17" s="152" t="s">
        <v>327</v>
      </c>
      <c r="X17" s="142"/>
      <c r="Y17" s="142"/>
      <c r="Z17" s="142"/>
      <c r="AA17" s="152" t="s">
        <v>313</v>
      </c>
      <c r="AB17" s="138"/>
      <c r="AC17" s="138"/>
      <c r="AD17" s="152" t="s">
        <v>313</v>
      </c>
      <c r="AE17" s="152" t="s">
        <v>313</v>
      </c>
      <c r="AF17" s="152" t="s">
        <v>313</v>
      </c>
      <c r="AJ17" s="148">
        <f t="shared" si="0"/>
        <v>0</v>
      </c>
      <c r="AK17" s="149">
        <f t="shared" si="1"/>
        <v>0</v>
      </c>
    </row>
    <row r="18" spans="1:37" ht="14.25" thickTop="1" thickBot="1">
      <c r="A18" s="141" t="e">
        <f t="shared" si="2"/>
        <v>#N/A</v>
      </c>
      <c r="B18" s="509"/>
      <c r="C18" s="510"/>
      <c r="D18" s="510"/>
      <c r="E18" s="785"/>
      <c r="F18" s="419"/>
      <c r="G18" s="789"/>
      <c r="H18" s="789"/>
      <c r="I18" s="420"/>
      <c r="J18" s="152">
        <v>6</v>
      </c>
      <c r="K18" s="152" t="s">
        <v>301</v>
      </c>
      <c r="L18" s="152"/>
      <c r="M18" s="152"/>
      <c r="N18" s="152"/>
      <c r="O18" s="152" t="s">
        <v>313</v>
      </c>
      <c r="P18" s="152"/>
      <c r="Q18" s="152"/>
      <c r="R18" s="152"/>
      <c r="S18" s="152" t="s">
        <v>313</v>
      </c>
      <c r="T18" s="142"/>
      <c r="U18" s="142"/>
      <c r="V18" s="142"/>
      <c r="W18" s="152" t="s">
        <v>328</v>
      </c>
      <c r="X18" s="142"/>
      <c r="Y18" s="142"/>
      <c r="Z18" s="142"/>
      <c r="AA18" s="152" t="s">
        <v>336</v>
      </c>
      <c r="AB18" s="138"/>
      <c r="AC18" s="138"/>
      <c r="AD18" s="152" t="s">
        <v>313</v>
      </c>
      <c r="AE18" s="152" t="s">
        <v>313</v>
      </c>
      <c r="AF18" s="152" t="s">
        <v>313</v>
      </c>
      <c r="AJ18" s="148">
        <f t="shared" si="0"/>
        <v>0</v>
      </c>
      <c r="AK18" s="149">
        <f t="shared" si="1"/>
        <v>0</v>
      </c>
    </row>
    <row r="19" spans="1:37" ht="14.25" thickTop="1" thickBot="1">
      <c r="A19" s="141" t="e">
        <f t="shared" si="2"/>
        <v>#N/A</v>
      </c>
      <c r="B19" s="509"/>
      <c r="C19" s="510"/>
      <c r="D19" s="510"/>
      <c r="E19" s="785"/>
      <c r="F19" s="419"/>
      <c r="G19" s="789"/>
      <c r="H19" s="789"/>
      <c r="I19" s="420"/>
      <c r="J19" s="152">
        <v>7</v>
      </c>
      <c r="K19" s="152" t="s">
        <v>302</v>
      </c>
      <c r="L19" s="152"/>
      <c r="M19" s="152"/>
      <c r="N19" s="152"/>
      <c r="O19" s="152" t="s">
        <v>316</v>
      </c>
      <c r="P19" s="152"/>
      <c r="Q19" s="152"/>
      <c r="R19" s="152"/>
      <c r="S19" s="152" t="s">
        <v>316</v>
      </c>
      <c r="T19" s="142"/>
      <c r="U19" s="142"/>
      <c r="V19" s="142"/>
      <c r="W19" s="152" t="s">
        <v>329</v>
      </c>
      <c r="X19" s="142"/>
      <c r="Y19" s="142"/>
      <c r="Z19" s="142"/>
      <c r="AA19" s="152" t="s">
        <v>337</v>
      </c>
      <c r="AB19" s="138"/>
      <c r="AC19" s="138"/>
      <c r="AD19" s="152" t="s">
        <v>313</v>
      </c>
      <c r="AE19" s="152" t="s">
        <v>313</v>
      </c>
      <c r="AF19" s="152" t="s">
        <v>313</v>
      </c>
      <c r="AJ19" s="148">
        <f t="shared" si="0"/>
        <v>0</v>
      </c>
      <c r="AK19" s="149">
        <f t="shared" si="1"/>
        <v>0</v>
      </c>
    </row>
    <row r="20" spans="1:37" ht="14.25" thickTop="1" thickBot="1">
      <c r="A20" s="141" t="e">
        <f t="shared" si="2"/>
        <v>#N/A</v>
      </c>
      <c r="B20" s="509"/>
      <c r="C20" s="510"/>
      <c r="D20" s="510"/>
      <c r="E20" s="785"/>
      <c r="F20" s="419"/>
      <c r="G20" s="789"/>
      <c r="H20" s="789"/>
      <c r="I20" s="420"/>
      <c r="J20" s="152">
        <v>8</v>
      </c>
      <c r="K20" s="152" t="s">
        <v>9</v>
      </c>
      <c r="L20" s="152"/>
      <c r="M20" s="152"/>
      <c r="N20" s="152"/>
      <c r="O20" s="152" t="s">
        <v>317</v>
      </c>
      <c r="P20" s="152"/>
      <c r="Q20" s="152"/>
      <c r="R20" s="152"/>
      <c r="S20" s="152" t="s">
        <v>317</v>
      </c>
      <c r="T20" s="142"/>
      <c r="U20" s="142"/>
      <c r="V20" s="142"/>
      <c r="W20" s="152" t="s">
        <v>330</v>
      </c>
      <c r="X20" s="142"/>
      <c r="Y20" s="142"/>
      <c r="Z20" s="142"/>
      <c r="AA20" s="152" t="s">
        <v>313</v>
      </c>
      <c r="AB20" s="138"/>
      <c r="AC20" s="138"/>
      <c r="AD20" s="152" t="s">
        <v>313</v>
      </c>
      <c r="AE20" s="152" t="s">
        <v>313</v>
      </c>
      <c r="AF20" s="152" t="s">
        <v>313</v>
      </c>
      <c r="AJ20" s="148">
        <f t="shared" si="0"/>
        <v>0</v>
      </c>
      <c r="AK20" s="149">
        <f t="shared" si="1"/>
        <v>0</v>
      </c>
    </row>
    <row r="21" spans="1:37" ht="14.25" thickTop="1" thickBot="1">
      <c r="A21" s="141" t="e">
        <f t="shared" si="2"/>
        <v>#N/A</v>
      </c>
      <c r="B21" s="509"/>
      <c r="C21" s="510"/>
      <c r="D21" s="510"/>
      <c r="E21" s="785"/>
      <c r="F21" s="790"/>
      <c r="G21" s="791"/>
      <c r="H21" s="791"/>
      <c r="I21" s="792"/>
      <c r="J21" s="152">
        <v>9</v>
      </c>
      <c r="K21" s="152" t="s">
        <v>10</v>
      </c>
      <c r="L21" s="152"/>
      <c r="M21" s="152"/>
      <c r="N21" s="152"/>
      <c r="O21" s="152" t="s">
        <v>318</v>
      </c>
      <c r="P21" s="152"/>
      <c r="Q21" s="152"/>
      <c r="R21" s="152"/>
      <c r="S21" s="152" t="s">
        <v>313</v>
      </c>
      <c r="T21" s="142"/>
      <c r="U21" s="142"/>
      <c r="V21" s="142"/>
      <c r="W21" s="152" t="s">
        <v>331</v>
      </c>
      <c r="X21" s="142"/>
      <c r="Y21" s="142"/>
      <c r="Z21" s="142"/>
      <c r="AA21" s="152" t="s">
        <v>313</v>
      </c>
      <c r="AB21" s="138"/>
      <c r="AC21" s="138"/>
      <c r="AD21" s="152" t="s">
        <v>313</v>
      </c>
      <c r="AE21" s="152" t="s">
        <v>313</v>
      </c>
      <c r="AF21" s="152" t="s">
        <v>313</v>
      </c>
      <c r="AJ21" s="148">
        <f t="shared" si="0"/>
        <v>0</v>
      </c>
      <c r="AK21" s="149">
        <f t="shared" si="1"/>
        <v>0</v>
      </c>
    </row>
    <row r="22" spans="1:37" ht="14.25" thickTop="1" thickBot="1">
      <c r="A22" s="141" t="e">
        <f t="shared" si="2"/>
        <v>#N/A</v>
      </c>
      <c r="B22" s="509"/>
      <c r="C22" s="510"/>
      <c r="D22" s="510"/>
      <c r="E22" s="785"/>
      <c r="F22" s="419"/>
      <c r="G22" s="789"/>
      <c r="H22" s="789"/>
      <c r="I22" s="420"/>
      <c r="J22" s="152">
        <v>10</v>
      </c>
      <c r="K22" s="152" t="s">
        <v>11</v>
      </c>
      <c r="L22" s="152"/>
      <c r="M22" s="152"/>
      <c r="N22" s="152"/>
      <c r="O22" s="152" t="s">
        <v>319</v>
      </c>
      <c r="P22" s="152"/>
      <c r="Q22" s="152"/>
      <c r="R22" s="152"/>
      <c r="S22" s="152" t="s">
        <v>313</v>
      </c>
      <c r="T22" s="142"/>
      <c r="U22" s="142"/>
      <c r="V22" s="142"/>
      <c r="W22" s="152" t="s">
        <v>319</v>
      </c>
      <c r="X22" s="142"/>
      <c r="Y22" s="142"/>
      <c r="Z22" s="142"/>
      <c r="AA22" s="152" t="s">
        <v>313</v>
      </c>
      <c r="AB22" s="138"/>
      <c r="AC22" s="138"/>
      <c r="AD22" s="152" t="s">
        <v>313</v>
      </c>
      <c r="AE22" s="152" t="s">
        <v>313</v>
      </c>
      <c r="AF22" s="152" t="s">
        <v>313</v>
      </c>
      <c r="AJ22" s="148">
        <f t="shared" si="0"/>
        <v>0</v>
      </c>
      <c r="AK22" s="149">
        <f t="shared" si="1"/>
        <v>0</v>
      </c>
    </row>
    <row r="23" spans="1:37" ht="14.25" thickTop="1" thickBot="1">
      <c r="A23" s="141" t="e">
        <f t="shared" si="2"/>
        <v>#N/A</v>
      </c>
      <c r="B23" s="509"/>
      <c r="C23" s="510"/>
      <c r="D23" s="510"/>
      <c r="E23" s="785"/>
      <c r="F23" s="793"/>
      <c r="G23" s="789"/>
      <c r="H23" s="789"/>
      <c r="I23" s="420"/>
      <c r="J23" s="152">
        <v>11</v>
      </c>
      <c r="K23" s="152" t="s">
        <v>303</v>
      </c>
      <c r="L23" s="152"/>
      <c r="M23" s="152"/>
      <c r="N23" s="152"/>
      <c r="O23" s="152" t="s">
        <v>320</v>
      </c>
      <c r="P23" s="152"/>
      <c r="Q23" s="152"/>
      <c r="R23" s="152"/>
      <c r="S23" s="152" t="s">
        <v>320</v>
      </c>
      <c r="T23" s="142"/>
      <c r="U23" s="142"/>
      <c r="V23" s="142"/>
      <c r="W23" s="152" t="s">
        <v>332</v>
      </c>
      <c r="X23" s="142"/>
      <c r="Y23" s="142"/>
      <c r="Z23" s="142"/>
      <c r="AA23" s="152" t="s">
        <v>313</v>
      </c>
      <c r="AB23" s="138"/>
      <c r="AC23" s="138"/>
      <c r="AD23" s="152" t="s">
        <v>313</v>
      </c>
      <c r="AE23" s="152" t="s">
        <v>313</v>
      </c>
      <c r="AF23" s="152" t="s">
        <v>313</v>
      </c>
      <c r="AJ23" s="148">
        <f t="shared" si="0"/>
        <v>0</v>
      </c>
      <c r="AK23" s="149">
        <f t="shared" si="1"/>
        <v>0</v>
      </c>
    </row>
    <row r="24" spans="1:37" ht="14.25" thickTop="1" thickBot="1">
      <c r="A24" s="141" t="e">
        <f t="shared" si="2"/>
        <v>#N/A</v>
      </c>
      <c r="B24" s="509"/>
      <c r="C24" s="510"/>
      <c r="D24" s="510"/>
      <c r="E24" s="785"/>
      <c r="F24" s="419"/>
      <c r="G24" s="789"/>
      <c r="H24" s="789"/>
      <c r="I24" s="420"/>
      <c r="J24" s="152">
        <v>12</v>
      </c>
      <c r="K24" s="152" t="s">
        <v>304</v>
      </c>
      <c r="L24" s="152"/>
      <c r="M24" s="152"/>
      <c r="N24" s="152"/>
      <c r="O24" s="152" t="s">
        <v>321</v>
      </c>
      <c r="P24" s="152"/>
      <c r="Q24" s="152"/>
      <c r="R24" s="152"/>
      <c r="S24" s="152" t="s">
        <v>321</v>
      </c>
      <c r="T24" s="142"/>
      <c r="U24" s="142"/>
      <c r="V24" s="142"/>
      <c r="W24" s="152" t="s">
        <v>333</v>
      </c>
      <c r="X24" s="142"/>
      <c r="Y24" s="142"/>
      <c r="Z24" s="142"/>
      <c r="AA24" s="152" t="s">
        <v>321</v>
      </c>
      <c r="AB24" s="138"/>
      <c r="AC24" s="138"/>
      <c r="AD24" s="152" t="s">
        <v>313</v>
      </c>
      <c r="AE24" s="152" t="s">
        <v>313</v>
      </c>
      <c r="AF24" s="152" t="s">
        <v>313</v>
      </c>
      <c r="AJ24" s="148">
        <f t="shared" si="0"/>
        <v>0</v>
      </c>
      <c r="AK24" s="149">
        <f t="shared" si="1"/>
        <v>0</v>
      </c>
    </row>
    <row r="25" spans="1:37" ht="14.25" thickTop="1" thickBot="1">
      <c r="A25" s="141" t="e">
        <f t="shared" si="2"/>
        <v>#N/A</v>
      </c>
      <c r="B25" s="509"/>
      <c r="C25" s="510"/>
      <c r="D25" s="510"/>
      <c r="E25" s="785"/>
      <c r="F25" s="790"/>
      <c r="G25" s="791"/>
      <c r="H25" s="791"/>
      <c r="I25" s="792"/>
      <c r="J25" s="152">
        <v>13</v>
      </c>
      <c r="K25" s="152" t="s">
        <v>12</v>
      </c>
      <c r="L25" s="152"/>
      <c r="M25" s="152"/>
      <c r="N25" s="152"/>
      <c r="O25" s="152" t="s">
        <v>322</v>
      </c>
      <c r="P25" s="152"/>
      <c r="Q25" s="152"/>
      <c r="R25" s="152"/>
      <c r="S25" s="152" t="s">
        <v>322</v>
      </c>
      <c r="T25" s="142"/>
      <c r="U25" s="142"/>
      <c r="V25" s="142"/>
      <c r="W25" s="152" t="s">
        <v>334</v>
      </c>
      <c r="X25" s="142"/>
      <c r="Y25" s="142"/>
      <c r="Z25" s="142"/>
      <c r="AA25" s="152" t="s">
        <v>322</v>
      </c>
      <c r="AB25" s="138"/>
      <c r="AC25" s="138"/>
      <c r="AD25" s="152" t="s">
        <v>313</v>
      </c>
      <c r="AE25" s="152" t="s">
        <v>313</v>
      </c>
      <c r="AF25" s="152" t="s">
        <v>313</v>
      </c>
      <c r="AJ25" s="148">
        <f t="shared" si="0"/>
        <v>0</v>
      </c>
      <c r="AK25" s="149">
        <f t="shared" si="1"/>
        <v>0</v>
      </c>
    </row>
    <row r="26" spans="1:37" ht="14.25" thickTop="1" thickBot="1">
      <c r="A26" s="141" t="e">
        <f t="shared" si="2"/>
        <v>#N/A</v>
      </c>
      <c r="B26" s="509"/>
      <c r="C26" s="510"/>
      <c r="D26" s="510"/>
      <c r="E26" s="785"/>
      <c r="F26" s="419"/>
      <c r="G26" s="789"/>
      <c r="H26" s="789"/>
      <c r="I26" s="420"/>
      <c r="J26" s="152">
        <v>14</v>
      </c>
      <c r="K26" s="152" t="s">
        <v>13</v>
      </c>
      <c r="L26" s="152"/>
      <c r="M26" s="152"/>
      <c r="N26" s="152"/>
      <c r="O26" s="152" t="s">
        <v>323</v>
      </c>
      <c r="P26" s="152"/>
      <c r="Q26" s="152"/>
      <c r="R26" s="152"/>
      <c r="S26" s="152" t="s">
        <v>323</v>
      </c>
      <c r="T26" s="142"/>
      <c r="U26" s="142"/>
      <c r="V26" s="142"/>
      <c r="W26" s="152" t="s">
        <v>323</v>
      </c>
      <c r="X26" s="142"/>
      <c r="Y26" s="142"/>
      <c r="Z26" s="142"/>
      <c r="AA26" s="152" t="s">
        <v>323</v>
      </c>
      <c r="AB26" s="138"/>
      <c r="AC26" s="138"/>
      <c r="AD26" s="152" t="s">
        <v>313</v>
      </c>
      <c r="AE26" s="152" t="s">
        <v>313</v>
      </c>
      <c r="AF26" s="152" t="s">
        <v>313</v>
      </c>
      <c r="AJ26" s="148">
        <f t="shared" si="0"/>
        <v>0</v>
      </c>
      <c r="AK26" s="149">
        <f t="shared" si="1"/>
        <v>0</v>
      </c>
    </row>
    <row r="27" spans="1:37" ht="14.25" thickTop="1" thickBot="1">
      <c r="A27" s="141" t="e">
        <f t="shared" si="2"/>
        <v>#N/A</v>
      </c>
      <c r="B27" s="509"/>
      <c r="C27" s="510"/>
      <c r="D27" s="510"/>
      <c r="E27" s="785"/>
      <c r="F27" s="419"/>
      <c r="G27" s="789"/>
      <c r="H27" s="789"/>
      <c r="I27" s="420"/>
      <c r="J27" s="152">
        <v>15</v>
      </c>
      <c r="K27" s="152" t="s">
        <v>14</v>
      </c>
      <c r="L27" s="152"/>
      <c r="M27" s="152"/>
      <c r="N27" s="152"/>
      <c r="O27" s="152" t="s">
        <v>324</v>
      </c>
      <c r="P27" s="152"/>
      <c r="Q27" s="152"/>
      <c r="R27" s="152"/>
      <c r="S27" s="152" t="s">
        <v>324</v>
      </c>
      <c r="T27" s="142"/>
      <c r="U27" s="142"/>
      <c r="V27" s="142"/>
      <c r="W27" s="152" t="s">
        <v>335</v>
      </c>
      <c r="X27" s="142"/>
      <c r="Y27" s="142"/>
      <c r="Z27" s="142"/>
      <c r="AA27" s="152" t="s">
        <v>313</v>
      </c>
      <c r="AB27" s="138"/>
      <c r="AC27" s="138"/>
      <c r="AD27" s="152" t="s">
        <v>313</v>
      </c>
      <c r="AE27" s="152" t="s">
        <v>313</v>
      </c>
      <c r="AF27" s="152" t="s">
        <v>313</v>
      </c>
      <c r="AJ27" s="148">
        <f t="shared" si="0"/>
        <v>0</v>
      </c>
      <c r="AK27" s="149">
        <f t="shared" si="1"/>
        <v>0</v>
      </c>
    </row>
    <row r="28" spans="1:37" ht="14.25" thickTop="1" thickBot="1">
      <c r="A28" s="141" t="e">
        <f t="shared" si="2"/>
        <v>#N/A</v>
      </c>
      <c r="B28" s="509"/>
      <c r="C28" s="510"/>
      <c r="D28" s="510"/>
      <c r="E28" s="785"/>
      <c r="F28" s="419"/>
      <c r="G28" s="789"/>
      <c r="H28" s="789"/>
      <c r="I28" s="420"/>
      <c r="J28" s="152">
        <v>16</v>
      </c>
      <c r="K28" s="152" t="s">
        <v>305</v>
      </c>
      <c r="L28" s="152"/>
      <c r="M28" s="152"/>
      <c r="N28" s="152"/>
      <c r="O28" s="152" t="s">
        <v>325</v>
      </c>
      <c r="P28" s="152"/>
      <c r="Q28" s="152"/>
      <c r="R28" s="152"/>
      <c r="S28" s="152" t="s">
        <v>325</v>
      </c>
      <c r="T28" s="142"/>
      <c r="U28" s="142"/>
      <c r="V28" s="142"/>
      <c r="W28" s="152" t="s">
        <v>325</v>
      </c>
      <c r="X28" s="142"/>
      <c r="Y28" s="142"/>
      <c r="Z28" s="142"/>
      <c r="AA28" s="152" t="s">
        <v>325</v>
      </c>
      <c r="AB28" s="138"/>
      <c r="AC28" s="138"/>
      <c r="AD28" s="152" t="s">
        <v>313</v>
      </c>
      <c r="AE28" s="152" t="s">
        <v>313</v>
      </c>
      <c r="AF28" s="152" t="s">
        <v>313</v>
      </c>
      <c r="AJ28" s="148">
        <f t="shared" si="0"/>
        <v>0</v>
      </c>
      <c r="AK28" s="149">
        <f t="shared" si="1"/>
        <v>0</v>
      </c>
    </row>
    <row r="29" spans="1:37" ht="14.25" thickTop="1" thickBot="1">
      <c r="A29" s="141" t="e">
        <f t="shared" si="2"/>
        <v>#N/A</v>
      </c>
      <c r="B29" s="509"/>
      <c r="C29" s="510"/>
      <c r="D29" s="510"/>
      <c r="E29" s="785"/>
      <c r="F29" s="419"/>
      <c r="G29" s="789"/>
      <c r="H29" s="789"/>
      <c r="I29" s="420"/>
      <c r="J29" s="152">
        <v>17</v>
      </c>
      <c r="K29" s="152" t="s">
        <v>306</v>
      </c>
      <c r="L29" s="152"/>
      <c r="M29" s="152"/>
      <c r="N29" s="152"/>
      <c r="O29" s="134" t="s">
        <v>313</v>
      </c>
      <c r="P29" s="142"/>
      <c r="Q29" s="142"/>
      <c r="R29" s="142"/>
      <c r="S29" s="134" t="s">
        <v>313</v>
      </c>
      <c r="T29" s="142"/>
      <c r="U29" s="142"/>
      <c r="V29" s="142"/>
      <c r="W29" s="134" t="s">
        <v>313</v>
      </c>
      <c r="X29" s="142"/>
      <c r="Y29" s="142"/>
      <c r="Z29" s="142"/>
      <c r="AA29" s="134" t="s">
        <v>313</v>
      </c>
      <c r="AB29" s="138"/>
      <c r="AC29" s="138"/>
      <c r="AD29" s="152" t="s">
        <v>313</v>
      </c>
      <c r="AE29" s="152" t="s">
        <v>313</v>
      </c>
      <c r="AF29" s="152" t="s">
        <v>313</v>
      </c>
      <c r="AG29" s="142"/>
      <c r="AH29" s="142"/>
      <c r="AI29" s="142"/>
      <c r="AJ29" s="148">
        <f t="shared" si="0"/>
        <v>0</v>
      </c>
      <c r="AK29" s="149">
        <f t="shared" si="1"/>
        <v>0</v>
      </c>
    </row>
    <row r="30" spans="1:37" ht="14.25" thickTop="1" thickBot="1">
      <c r="A30" s="797" t="s">
        <v>375</v>
      </c>
      <c r="B30" s="798"/>
      <c r="C30" s="798"/>
      <c r="D30" s="798"/>
      <c r="E30" s="798"/>
      <c r="F30" s="798"/>
      <c r="G30" s="798"/>
      <c r="H30" s="798"/>
      <c r="I30" s="798"/>
      <c r="J30" s="134"/>
      <c r="K30" s="134"/>
      <c r="L30" s="134"/>
      <c r="M30" s="134"/>
      <c r="N30" s="134"/>
      <c r="O30" s="134"/>
      <c r="P30" s="134"/>
      <c r="Q30" s="134"/>
      <c r="R30" s="134"/>
      <c r="S30" s="134"/>
      <c r="T30" s="134"/>
      <c r="U30" s="134"/>
      <c r="V30" s="134"/>
      <c r="AD30" s="152" t="s">
        <v>313</v>
      </c>
      <c r="AE30" s="152" t="s">
        <v>313</v>
      </c>
      <c r="AF30" s="152" t="s">
        <v>313</v>
      </c>
    </row>
    <row r="31" spans="1:37" ht="14.25" thickTop="1" thickBot="1">
      <c r="A31" s="136" t="s">
        <v>15</v>
      </c>
      <c r="B31" s="794">
        <f>IFERROR(VLOOKUP(B10,'აგრო ბარათი დამატებითი'!D86:E93,2,0),)</f>
        <v>0</v>
      </c>
      <c r="C31" s="795"/>
      <c r="D31" s="795"/>
      <c r="E31" s="795"/>
      <c r="F31" s="795"/>
      <c r="G31" s="795"/>
      <c r="H31" s="795"/>
      <c r="I31" s="796"/>
      <c r="J31" s="134"/>
      <c r="K31" s="134"/>
      <c r="L31" s="134"/>
      <c r="M31" s="134"/>
      <c r="N31" s="134"/>
      <c r="O31" s="134"/>
      <c r="P31" s="134"/>
      <c r="Q31" s="134"/>
      <c r="R31" s="134"/>
      <c r="S31" s="134"/>
      <c r="T31" s="134"/>
      <c r="U31" s="134"/>
      <c r="V31" s="134"/>
      <c r="AD31" s="152" t="s">
        <v>313</v>
      </c>
      <c r="AE31" s="152" t="s">
        <v>313</v>
      </c>
      <c r="AF31" s="152" t="s">
        <v>313</v>
      </c>
    </row>
    <row r="32" spans="1:37" ht="14.25" thickTop="1" thickBot="1">
      <c r="A32" s="136" t="s">
        <v>376</v>
      </c>
      <c r="B32" s="794">
        <f>IFERROR(VLOOKUP(B10,'აგრო ბარათი დამატებითი'!D86:F93,3,0),)</f>
        <v>0</v>
      </c>
      <c r="C32" s="795"/>
      <c r="D32" s="795"/>
      <c r="E32" s="795"/>
      <c r="F32" s="795"/>
      <c r="G32" s="795"/>
      <c r="H32" s="795"/>
      <c r="I32" s="796"/>
      <c r="J32" s="134"/>
      <c r="K32" s="134"/>
      <c r="L32" s="134"/>
      <c r="M32" s="134"/>
      <c r="N32" s="134"/>
      <c r="O32" s="134"/>
      <c r="P32" s="134"/>
      <c r="Q32" s="134"/>
      <c r="R32" s="134"/>
      <c r="S32" s="134"/>
      <c r="T32" s="134"/>
      <c r="U32" s="134"/>
      <c r="V32" s="134"/>
    </row>
    <row r="33" spans="1:28" ht="14.25" thickTop="1" thickBot="1">
      <c r="A33" s="136" t="s">
        <v>157</v>
      </c>
      <c r="B33" s="794">
        <f>B31-B32</f>
        <v>0</v>
      </c>
      <c r="C33" s="795"/>
      <c r="D33" s="795"/>
      <c r="E33" s="795"/>
      <c r="F33" s="795"/>
      <c r="G33" s="795"/>
      <c r="H33" s="795"/>
      <c r="I33" s="796"/>
      <c r="J33" s="134"/>
      <c r="K33" s="134"/>
      <c r="L33" s="134"/>
      <c r="M33" s="134"/>
      <c r="N33" s="134"/>
      <c r="O33" s="134"/>
      <c r="P33" s="134"/>
      <c r="Q33" s="134"/>
      <c r="R33" s="134"/>
      <c r="S33" s="134"/>
      <c r="T33" s="134"/>
      <c r="U33" s="134"/>
      <c r="V33" s="134"/>
    </row>
    <row r="34" spans="1:28" ht="24" thickTop="1" thickBot="1">
      <c r="A34" s="136" t="s">
        <v>371</v>
      </c>
      <c r="B34" s="490"/>
      <c r="C34" s="486"/>
      <c r="D34" s="486"/>
      <c r="E34" s="486"/>
      <c r="F34" s="486"/>
      <c r="G34" s="486"/>
      <c r="H34" s="486"/>
      <c r="I34" s="487"/>
      <c r="J34" s="134"/>
      <c r="K34" s="134"/>
      <c r="L34" s="134"/>
      <c r="M34" s="134"/>
      <c r="N34" s="134"/>
      <c r="O34" s="134"/>
      <c r="P34" s="134"/>
      <c r="Q34" s="134"/>
      <c r="R34" s="134"/>
      <c r="S34" s="134"/>
      <c r="T34" s="134"/>
      <c r="U34" s="134"/>
      <c r="V34" s="134"/>
    </row>
    <row r="35" spans="1:28" ht="24" thickTop="1" thickBot="1">
      <c r="A35" s="136" t="s">
        <v>372</v>
      </c>
      <c r="B35" s="490"/>
      <c r="C35" s="486"/>
      <c r="D35" s="486"/>
      <c r="E35" s="486"/>
      <c r="F35" s="486"/>
      <c r="G35" s="486"/>
      <c r="H35" s="486"/>
      <c r="I35" s="487"/>
      <c r="J35" s="134"/>
      <c r="K35" s="134"/>
      <c r="L35" s="134"/>
      <c r="M35" s="134"/>
      <c r="N35" s="134"/>
      <c r="O35" s="134"/>
      <c r="P35" s="134"/>
      <c r="Q35" s="134"/>
      <c r="R35" s="134"/>
      <c r="S35" s="134"/>
      <c r="T35" s="134"/>
      <c r="U35" s="134"/>
      <c r="V35" s="134"/>
    </row>
    <row r="36" spans="1:28" ht="19.5" customHeight="1" thickTop="1" thickBot="1">
      <c r="A36" s="136" t="s">
        <v>156</v>
      </c>
      <c r="B36" s="794">
        <f>B33-B34-B35</f>
        <v>0</v>
      </c>
      <c r="C36" s="795"/>
      <c r="D36" s="795"/>
      <c r="E36" s="795"/>
      <c r="F36" s="795"/>
      <c r="G36" s="795"/>
      <c r="H36" s="795"/>
      <c r="I36" s="796"/>
      <c r="J36" s="134"/>
      <c r="K36" s="134"/>
      <c r="L36" s="134"/>
      <c r="M36" s="134"/>
      <c r="N36" s="134"/>
      <c r="O36" s="134"/>
      <c r="P36" s="134"/>
      <c r="Q36" s="134"/>
      <c r="R36" s="134"/>
      <c r="S36" s="134"/>
      <c r="T36" s="134"/>
      <c r="U36" s="134"/>
      <c r="V36" s="134"/>
    </row>
    <row r="37" spans="1:28" ht="14.25" thickTop="1" thickBot="1">
      <c r="A37" s="797" t="s">
        <v>377</v>
      </c>
      <c r="B37" s="798"/>
      <c r="C37" s="798"/>
      <c r="D37" s="798"/>
      <c r="E37" s="798"/>
      <c r="F37" s="798"/>
      <c r="G37" s="798"/>
      <c r="H37" s="798"/>
      <c r="I37" s="798"/>
      <c r="J37" s="134"/>
      <c r="K37" s="134"/>
      <c r="L37" s="134"/>
      <c r="M37" s="134"/>
      <c r="N37" s="134"/>
      <c r="O37" s="134"/>
      <c r="P37" s="134"/>
      <c r="Q37" s="134"/>
      <c r="R37" s="134"/>
      <c r="S37" s="134"/>
      <c r="T37" s="134"/>
      <c r="U37" s="134"/>
      <c r="V37" s="134"/>
    </row>
    <row r="38" spans="1:28" ht="13.5" thickTop="1">
      <c r="A38" s="473"/>
      <c r="B38" s="474"/>
      <c r="C38" s="474"/>
      <c r="D38" s="474"/>
      <c r="E38" s="474"/>
      <c r="F38" s="474"/>
      <c r="G38" s="474"/>
      <c r="H38" s="474"/>
      <c r="I38" s="475"/>
      <c r="J38" s="134"/>
      <c r="K38" s="134"/>
      <c r="L38" s="134"/>
      <c r="M38" s="134"/>
      <c r="N38" s="134"/>
      <c r="O38" s="134"/>
      <c r="P38" s="134"/>
      <c r="Q38" s="134"/>
      <c r="R38" s="134"/>
      <c r="S38" s="134"/>
      <c r="T38" s="134"/>
      <c r="U38" s="134"/>
      <c r="V38" s="134"/>
    </row>
    <row r="39" spans="1:28">
      <c r="A39" s="476"/>
      <c r="B39" s="477"/>
      <c r="C39" s="477"/>
      <c r="D39" s="477"/>
      <c r="E39" s="477"/>
      <c r="F39" s="477"/>
      <c r="G39" s="477"/>
      <c r="H39" s="477"/>
      <c r="I39" s="478"/>
      <c r="J39" s="134"/>
      <c r="K39" s="134"/>
      <c r="L39" s="134"/>
      <c r="M39" s="134"/>
      <c r="N39" s="134"/>
      <c r="O39" s="134"/>
      <c r="P39" s="134"/>
      <c r="Q39" s="134"/>
      <c r="R39" s="134"/>
      <c r="S39" s="134"/>
      <c r="T39" s="134"/>
      <c r="U39" s="134"/>
      <c r="V39" s="134"/>
    </row>
    <row r="40" spans="1:28">
      <c r="A40" s="476"/>
      <c r="B40" s="477"/>
      <c r="C40" s="477"/>
      <c r="D40" s="477"/>
      <c r="E40" s="477"/>
      <c r="F40" s="477"/>
      <c r="G40" s="477"/>
      <c r="H40" s="477"/>
      <c r="I40" s="478"/>
      <c r="J40" s="134"/>
      <c r="K40" s="134"/>
      <c r="L40" s="134"/>
      <c r="M40" s="134"/>
      <c r="N40" s="134"/>
      <c r="O40" s="134"/>
      <c r="P40" s="134"/>
      <c r="Q40" s="134"/>
      <c r="R40" s="134"/>
      <c r="S40" s="134"/>
      <c r="T40" s="134"/>
      <c r="U40" s="134"/>
      <c r="V40" s="134"/>
    </row>
    <row r="41" spans="1:28" ht="13.5" thickBot="1">
      <c r="A41" s="479"/>
      <c r="B41" s="480"/>
      <c r="C41" s="480"/>
      <c r="D41" s="480"/>
      <c r="E41" s="480"/>
      <c r="F41" s="480"/>
      <c r="G41" s="480"/>
      <c r="H41" s="480"/>
      <c r="I41" s="481"/>
      <c r="W41" s="137"/>
      <c r="X41" s="137"/>
      <c r="Y41" s="137"/>
      <c r="Z41" s="137"/>
      <c r="AA41" s="137"/>
      <c r="AB41" s="137"/>
    </row>
    <row r="42" spans="1:28" ht="13.5" thickTop="1">
      <c r="W42" s="137"/>
      <c r="X42" s="137"/>
      <c r="Y42" s="137"/>
      <c r="Z42" s="137"/>
      <c r="AA42" s="137"/>
      <c r="AB42" s="137"/>
    </row>
    <row r="43" spans="1:28">
      <c r="A43" s="150"/>
      <c r="B43" s="150"/>
      <c r="C43" s="150"/>
      <c r="D43" s="150"/>
      <c r="E43" s="150"/>
      <c r="F43" s="150"/>
      <c r="G43" s="150"/>
      <c r="H43" s="150"/>
      <c r="I43" s="150"/>
      <c r="J43" s="147"/>
      <c r="K43" s="147"/>
      <c r="L43" s="147"/>
    </row>
    <row r="44" spans="1:28">
      <c r="A44" s="150"/>
      <c r="B44" s="151"/>
      <c r="C44" s="159"/>
      <c r="D44" s="160"/>
      <c r="E44" s="160"/>
      <c r="F44" s="160"/>
      <c r="G44" s="160"/>
      <c r="H44" s="160"/>
      <c r="I44" s="161"/>
    </row>
    <row r="45" spans="1:28">
      <c r="A45" s="150"/>
      <c r="B45" s="151"/>
      <c r="C45" s="159"/>
      <c r="D45" s="160"/>
      <c r="E45" s="160"/>
      <c r="F45" s="160"/>
      <c r="G45" s="160"/>
      <c r="H45" s="160"/>
      <c r="I45" s="161"/>
    </row>
    <row r="46" spans="1:28">
      <c r="A46" s="150"/>
      <c r="B46" s="151"/>
      <c r="C46" s="159"/>
      <c r="D46" s="160"/>
      <c r="E46" s="160"/>
      <c r="F46" s="160"/>
      <c r="G46" s="160"/>
      <c r="H46" s="160"/>
      <c r="I46" s="161"/>
    </row>
    <row r="47" spans="1:28">
      <c r="A47" s="150"/>
      <c r="B47" s="151"/>
      <c r="C47" s="159"/>
      <c r="D47" s="160"/>
      <c r="E47" s="160"/>
      <c r="F47" s="160"/>
      <c r="G47" s="160"/>
      <c r="H47" s="160"/>
      <c r="I47" s="161"/>
    </row>
    <row r="48" spans="1:28">
      <c r="A48" s="150"/>
      <c r="B48" s="151"/>
      <c r="C48" s="159"/>
      <c r="D48" s="160"/>
      <c r="E48" s="160"/>
      <c r="F48" s="160"/>
      <c r="G48" s="160"/>
      <c r="H48" s="160"/>
      <c r="I48" s="161"/>
    </row>
    <row r="49" spans="1:9">
      <c r="A49" s="150"/>
      <c r="B49" s="151"/>
      <c r="C49" s="159"/>
      <c r="D49" s="160"/>
      <c r="E49" s="160"/>
      <c r="F49" s="160"/>
      <c r="G49" s="160"/>
      <c r="H49" s="160"/>
      <c r="I49" s="161"/>
    </row>
    <row r="50" spans="1:9">
      <c r="A50" s="150"/>
      <c r="B50" s="151"/>
      <c r="C50" s="159"/>
      <c r="D50" s="160"/>
      <c r="E50" s="160"/>
      <c r="F50" s="160"/>
      <c r="G50" s="160"/>
      <c r="H50" s="160"/>
      <c r="I50" s="161"/>
    </row>
    <row r="51" spans="1:9">
      <c r="A51" s="150"/>
      <c r="B51" s="151"/>
      <c r="C51" s="159"/>
      <c r="D51" s="160"/>
      <c r="E51" s="160"/>
      <c r="F51" s="160"/>
      <c r="G51" s="160"/>
      <c r="H51" s="160"/>
      <c r="I51" s="161"/>
    </row>
    <row r="52" spans="1:9">
      <c r="A52" s="150"/>
      <c r="B52" s="151"/>
      <c r="C52" s="159"/>
      <c r="D52" s="160"/>
      <c r="E52" s="160"/>
      <c r="F52" s="160"/>
      <c r="G52" s="160"/>
      <c r="H52" s="160"/>
      <c r="I52" s="161"/>
    </row>
    <row r="53" spans="1:9">
      <c r="A53" s="150"/>
      <c r="B53" s="151"/>
      <c r="C53" s="159"/>
      <c r="D53" s="160"/>
      <c r="E53" s="160"/>
      <c r="F53" s="160"/>
      <c r="G53" s="160"/>
      <c r="H53" s="160"/>
      <c r="I53" s="161"/>
    </row>
    <row r="54" spans="1:9">
      <c r="A54" s="150"/>
      <c r="B54" s="151"/>
      <c r="C54" s="159"/>
      <c r="D54" s="160"/>
      <c r="E54" s="160"/>
      <c r="F54" s="160"/>
      <c r="G54" s="160"/>
      <c r="H54" s="160"/>
      <c r="I54" s="161"/>
    </row>
    <row r="55" spans="1:9">
      <c r="A55" s="150"/>
      <c r="B55" s="151"/>
      <c r="C55" s="159"/>
      <c r="D55" s="160"/>
      <c r="E55" s="160"/>
      <c r="F55" s="160"/>
      <c r="G55" s="160"/>
      <c r="H55" s="160"/>
      <c r="I55" s="161"/>
    </row>
    <row r="56" spans="1:9">
      <c r="A56" s="150"/>
      <c r="B56" s="151"/>
      <c r="C56" s="159"/>
      <c r="D56" s="160"/>
      <c r="E56" s="160"/>
      <c r="F56" s="160"/>
      <c r="G56" s="160"/>
      <c r="H56" s="160"/>
      <c r="I56" s="161"/>
    </row>
    <row r="57" spans="1:9">
      <c r="A57" s="150"/>
      <c r="B57" s="151"/>
      <c r="C57" s="159"/>
      <c r="D57" s="160"/>
      <c r="E57" s="160"/>
      <c r="F57" s="160"/>
      <c r="G57" s="160"/>
      <c r="H57" s="160"/>
      <c r="I57" s="161"/>
    </row>
    <row r="58" spans="1:9">
      <c r="A58" s="150"/>
      <c r="B58" s="151"/>
      <c r="C58" s="159"/>
      <c r="D58" s="160"/>
      <c r="E58" s="160"/>
      <c r="F58" s="160"/>
      <c r="G58" s="160"/>
      <c r="H58" s="160"/>
      <c r="I58" s="161"/>
    </row>
    <row r="59" spans="1:9">
      <c r="A59" s="150"/>
      <c r="B59" s="151"/>
      <c r="C59" s="159"/>
      <c r="D59" s="160"/>
      <c r="E59" s="160"/>
      <c r="F59" s="160"/>
      <c r="G59" s="160"/>
      <c r="H59" s="160"/>
      <c r="I59" s="161"/>
    </row>
    <row r="60" spans="1:9">
      <c r="A60" s="150"/>
      <c r="B60" s="151"/>
      <c r="C60" s="159"/>
      <c r="D60" s="160"/>
      <c r="E60" s="160"/>
      <c r="F60" s="160"/>
      <c r="G60" s="160"/>
      <c r="H60" s="160"/>
      <c r="I60" s="161"/>
    </row>
    <row r="61" spans="1:9">
      <c r="A61" s="150"/>
      <c r="B61" s="151"/>
      <c r="C61" s="159"/>
      <c r="D61" s="160"/>
      <c r="E61" s="160"/>
      <c r="F61" s="160"/>
      <c r="G61" s="160"/>
      <c r="H61" s="160"/>
      <c r="I61" s="161"/>
    </row>
    <row r="62" spans="1:9">
      <c r="A62" s="150"/>
      <c r="B62" s="151"/>
      <c r="C62" s="159"/>
      <c r="D62" s="160"/>
      <c r="E62" s="160"/>
      <c r="F62" s="160"/>
      <c r="G62" s="160"/>
      <c r="H62" s="160"/>
      <c r="I62" s="161"/>
    </row>
    <row r="63" spans="1:9">
      <c r="A63" s="150"/>
      <c r="B63" s="151"/>
      <c r="C63" s="159"/>
      <c r="D63" s="160"/>
      <c r="E63" s="160"/>
      <c r="F63" s="160"/>
      <c r="G63" s="160"/>
      <c r="H63" s="160"/>
      <c r="I63" s="161"/>
    </row>
    <row r="64" spans="1:9">
      <c r="A64" s="150"/>
      <c r="B64" s="151"/>
      <c r="C64" s="159"/>
      <c r="D64" s="160"/>
      <c r="E64" s="160"/>
      <c r="F64" s="160"/>
      <c r="G64" s="160"/>
      <c r="H64" s="160"/>
      <c r="I64" s="161"/>
    </row>
    <row r="65" spans="1:9">
      <c r="A65" s="150"/>
      <c r="B65" s="151"/>
      <c r="C65" s="159"/>
      <c r="D65" s="160"/>
      <c r="E65" s="160"/>
      <c r="F65" s="160"/>
      <c r="G65" s="160"/>
      <c r="H65" s="160"/>
      <c r="I65" s="161"/>
    </row>
    <row r="66" spans="1:9">
      <c r="A66" s="150"/>
      <c r="B66" s="151"/>
      <c r="C66" s="159"/>
      <c r="D66" s="160"/>
      <c r="E66" s="160"/>
      <c r="F66" s="160"/>
      <c r="G66" s="160"/>
      <c r="H66" s="160"/>
      <c r="I66" s="161"/>
    </row>
    <row r="67" spans="1:9">
      <c r="A67" s="150"/>
      <c r="B67" s="151"/>
      <c r="C67" s="159"/>
      <c r="D67" s="160"/>
      <c r="E67" s="160"/>
      <c r="F67" s="160"/>
      <c r="G67" s="160"/>
      <c r="H67" s="160"/>
      <c r="I67" s="161"/>
    </row>
    <row r="69" spans="1:9">
      <c r="C69" s="158"/>
      <c r="D69" s="158"/>
      <c r="E69" s="158"/>
      <c r="F69" s="158"/>
      <c r="G69" s="158"/>
      <c r="H69" s="158"/>
      <c r="I69" s="158"/>
    </row>
  </sheetData>
  <sheetProtection algorithmName="SHA-512" hashValue="fZCk0Z0wHQ5Ibjk+pXmoBthCyDOec71d2IEkP9RyvpS41vv74Y8C+eqkIEo4s4NLFsMkjQXwiCQ3pcBJfRWagQ==" saltValue="4toMhu0sPphxArMD9OqOIA==" spinCount="100000" sheet="1" objects="1" scenarios="1"/>
  <mergeCells count="54">
    <mergeCell ref="B36:I36"/>
    <mergeCell ref="A37:I37"/>
    <mergeCell ref="A38:I41"/>
    <mergeCell ref="A30:I30"/>
    <mergeCell ref="B31:I31"/>
    <mergeCell ref="B32:I32"/>
    <mergeCell ref="B33:I33"/>
    <mergeCell ref="B34:I34"/>
    <mergeCell ref="B35:I35"/>
    <mergeCell ref="B27:E27"/>
    <mergeCell ref="F27:I27"/>
    <mergeCell ref="B28:E28"/>
    <mergeCell ref="F28:I28"/>
    <mergeCell ref="B29:E29"/>
    <mergeCell ref="F29:I29"/>
    <mergeCell ref="B24:E24"/>
    <mergeCell ref="F24:I24"/>
    <mergeCell ref="B25:E25"/>
    <mergeCell ref="F25:I25"/>
    <mergeCell ref="B26:E26"/>
    <mergeCell ref="F26:I26"/>
    <mergeCell ref="B21:E21"/>
    <mergeCell ref="F21:I21"/>
    <mergeCell ref="B22:E22"/>
    <mergeCell ref="F22:I22"/>
    <mergeCell ref="B23:E23"/>
    <mergeCell ref="F23:I23"/>
    <mergeCell ref="B18:E18"/>
    <mergeCell ref="F18:I18"/>
    <mergeCell ref="B19:E19"/>
    <mergeCell ref="F19:I19"/>
    <mergeCell ref="B20:E20"/>
    <mergeCell ref="F20:I20"/>
    <mergeCell ref="B15:E15"/>
    <mergeCell ref="F15:I15"/>
    <mergeCell ref="B16:E16"/>
    <mergeCell ref="F16:I16"/>
    <mergeCell ref="B17:E17"/>
    <mergeCell ref="F17:I17"/>
    <mergeCell ref="B14:E14"/>
    <mergeCell ref="F14:I14"/>
    <mergeCell ref="A6:I6"/>
    <mergeCell ref="B7:I7"/>
    <mergeCell ref="B8:I8"/>
    <mergeCell ref="A9:I9"/>
    <mergeCell ref="B10:I10"/>
    <mergeCell ref="B11:I11"/>
    <mergeCell ref="B12:I12"/>
    <mergeCell ref="A13:I13"/>
    <mergeCell ref="A2:I2"/>
    <mergeCell ref="B3:I3"/>
    <mergeCell ref="B4:I4"/>
    <mergeCell ref="B5:I5"/>
    <mergeCell ref="B1:I1"/>
  </mergeCells>
  <conditionalFormatting sqref="A11:B11">
    <cfRule type="expression" dxfId="2" priority="8">
      <formula>$B$10="ხელფასი"</formula>
    </cfRule>
    <cfRule type="expression" dxfId="1" priority="9">
      <formula>$B$10="გზავნილი"</formula>
    </cfRule>
  </conditionalFormatting>
  <conditionalFormatting sqref="F15:F29">
    <cfRule type="expression" dxfId="0" priority="1">
      <formula>A15="-"</formula>
    </cfRule>
  </conditionalFormatting>
  <dataValidations count="5">
    <dataValidation type="textLength" allowBlank="1" showInputMessage="1" showErrorMessage="1" sqref="B4">
      <formula1>11</formula1>
      <formula2>11</formula2>
    </dataValidation>
    <dataValidation type="list" allowBlank="1" showInputMessage="1" showErrorMessage="1" sqref="B20:B24">
      <formula1>IF($B$10="აგრო",list2,"")</formula1>
    </dataValidation>
    <dataValidation type="list" allowBlank="1" showInputMessage="1" showErrorMessage="1" sqref="B15:B19">
      <formula1>IF($B$10="აგრო",list1,"")</formula1>
    </dataValidation>
    <dataValidation type="list" allowBlank="1" showInputMessage="1" showErrorMessage="1" sqref="B25:B29">
      <formula1>IF($B$10="აგრო",list3,"")</formula1>
    </dataValidation>
    <dataValidation type="list" allowBlank="1" showInputMessage="1" showErrorMessage="1" sqref="J9">
      <formula1>SAQ</formula1>
    </dataValidation>
  </dataValidations>
  <pageMargins left="0.7" right="0.7" top="0.75" bottom="0.75" header="0.3" footer="0.3"/>
  <pageSetup scale="6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lists!$C$1:$C$8</xm:f>
          </x14:formula1>
          <xm:sqref>B10:I10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view="pageBreakPreview" zoomScale="90" zoomScaleNormal="100" zoomScaleSheetLayoutView="90" workbookViewId="0">
      <selection activeCell="A4" sqref="A4"/>
    </sheetView>
  </sheetViews>
  <sheetFormatPr defaultColWidth="36.7109375" defaultRowHeight="23.25" customHeight="1"/>
  <cols>
    <col min="1" max="1" width="64" style="344" customWidth="1"/>
    <col min="2" max="16384" width="36.7109375" style="344"/>
  </cols>
  <sheetData>
    <row r="1" spans="1:2" ht="23.25" customHeight="1">
      <c r="A1" s="799" t="s">
        <v>406</v>
      </c>
      <c r="B1" s="800"/>
    </row>
    <row r="2" spans="1:2" ht="23.25" customHeight="1">
      <c r="A2" s="345" t="s">
        <v>407</v>
      </c>
      <c r="B2" s="346">
        <f>საქმიანობა!B128</f>
        <v>11000</v>
      </c>
    </row>
    <row r="3" spans="1:2" ht="45" customHeight="1">
      <c r="A3" s="347" t="s">
        <v>606</v>
      </c>
      <c r="B3" s="348">
        <f>IFERROR(საქმიანობა!J95*100,0)</f>
        <v>44.389103638581965</v>
      </c>
    </row>
    <row r="4" spans="1:2" ht="45" customHeight="1">
      <c r="A4" s="347" t="s">
        <v>607</v>
      </c>
      <c r="B4" s="348">
        <f>IFERROR(საქმიანობა!J96*100,0)</f>
        <v>0</v>
      </c>
    </row>
    <row r="5" spans="1:2" ht="37.5" customHeight="1">
      <c r="A5" s="347" t="s">
        <v>565</v>
      </c>
      <c r="B5" s="348">
        <f>IFERROR(საქმიანობა!J97*100,0)</f>
        <v>0</v>
      </c>
    </row>
    <row r="6" spans="1:2" ht="23.25" customHeight="1">
      <c r="A6" s="345" t="s">
        <v>408</v>
      </c>
      <c r="B6" s="348">
        <f>საქმიანობა!B19</f>
        <v>292</v>
      </c>
    </row>
    <row r="7" spans="1:2" ht="23.25" customHeight="1">
      <c r="A7" s="345" t="s">
        <v>409</v>
      </c>
      <c r="B7" s="348">
        <f>საქმიანობა!B88</f>
        <v>243.60833333333335</v>
      </c>
    </row>
    <row r="8" spans="1:2" ht="23.25" customHeight="1">
      <c r="A8" s="345" t="s">
        <v>410</v>
      </c>
      <c r="B8" s="348">
        <f>საქმიანობა!L118</f>
        <v>0</v>
      </c>
    </row>
    <row r="9" spans="1:2" ht="23.25" customHeight="1">
      <c r="A9" s="345" t="s">
        <v>411</v>
      </c>
      <c r="B9" s="348">
        <f>საქმიანობა!B91</f>
        <v>135.47277777777779</v>
      </c>
    </row>
    <row r="10" spans="1:2" ht="23.25" customHeight="1">
      <c r="A10" s="349" t="s">
        <v>412</v>
      </c>
      <c r="B10" s="350">
        <f>IFERROR((საქმიანობა!I127-საქმიანობა!I121)/(საქმიანობა!B82-საქმიანობა!B81),0)</f>
        <v>0</v>
      </c>
    </row>
    <row r="11" spans="1:2" ht="23.25" customHeight="1">
      <c r="A11" s="349" t="s">
        <v>413</v>
      </c>
      <c r="B11" s="350">
        <f>IFERROR(საქმიანობა!B82/(საქმიანობა!B83+საქმიანობა!B84),0)</f>
        <v>0</v>
      </c>
    </row>
    <row r="12" spans="1:2" ht="23.25" customHeight="1">
      <c r="A12" s="349" t="s">
        <v>414</v>
      </c>
      <c r="B12" s="350">
        <f>IFERROR(საქმიანობა!I128/საქმიანობა!B128,0)</f>
        <v>1</v>
      </c>
    </row>
    <row r="13" spans="1:2" ht="23.25" customHeight="1">
      <c r="A13" s="347" t="s">
        <v>159</v>
      </c>
      <c r="B13" s="351" t="str">
        <f>საქმიანობა!B92</f>
        <v>არა</v>
      </c>
    </row>
    <row r="14" spans="1:2" ht="23.25" customHeight="1">
      <c r="A14" s="347" t="str">
        <f>IF(საქმიანობა!J9="დიახ",საქმიანობა!G9," ")</f>
        <v xml:space="preserve"> </v>
      </c>
      <c r="B14" s="351" t="str">
        <f>IF(საქმიანობა!J9="დიახ",საქმიანობა!J9," ")</f>
        <v xml:space="preserve"> </v>
      </c>
    </row>
    <row r="15" spans="1:2" ht="23.25" customHeight="1">
      <c r="A15" s="347" t="s">
        <v>551</v>
      </c>
      <c r="B15" s="351" t="str">
        <f>საქმიანობა!J23</f>
        <v>კი</v>
      </c>
    </row>
  </sheetData>
  <sheetProtection algorithmName="SHA-512" hashValue="VMJTs5FVB/OSDxRN3/725b8eAcI/zNKvLzCYCJfFC4S5B9dnirBE6/GGs2nyLU0/FriDWlXlZMPGlDaDXxKx7g==" saltValue="GAr0kGQs2nyGeL53YZQ65Q==" spinCount="100000" sheet="1" objects="1" scenarios="1"/>
  <mergeCells count="1">
    <mergeCell ref="A1:B1"/>
  </mergeCells>
  <pageMargins left="0.7" right="0.7" top="0.75" bottom="0.75" header="0.3" footer="0.3"/>
  <pageSetup scale="8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workbookViewId="0"/>
  </sheetViews>
  <sheetFormatPr defaultColWidth="9.140625" defaultRowHeight="15"/>
  <cols>
    <col min="1" max="16384" width="9.140625" style="168"/>
  </cols>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EC83"/>
  <sheetViews>
    <sheetView showGridLines="0" view="pageBreakPreview" zoomScale="90" zoomScaleNormal="100" zoomScaleSheetLayoutView="90" workbookViewId="0">
      <selection activeCell="H14" sqref="H14"/>
    </sheetView>
  </sheetViews>
  <sheetFormatPr defaultRowHeight="15"/>
  <cols>
    <col min="1" max="1" width="3" style="13" customWidth="1"/>
    <col min="2" max="2" width="32.7109375" style="3" bestFit="1" customWidth="1"/>
    <col min="3" max="3" width="19.7109375" style="171" customWidth="1"/>
    <col min="4" max="4" width="15.7109375" style="175" customWidth="1"/>
    <col min="5" max="5" width="13.85546875" style="13" customWidth="1"/>
    <col min="6" max="6" width="19.7109375" style="13" customWidth="1"/>
    <col min="7" max="7" width="15.28515625" style="13" customWidth="1"/>
    <col min="8" max="8" width="21.85546875" style="13" customWidth="1"/>
    <col min="9" max="9" width="11.85546875" style="13" customWidth="1"/>
    <col min="10" max="37" width="9.140625" style="3"/>
    <col min="38" max="38" width="4" style="3" customWidth="1"/>
    <col min="39" max="39" width="12.5703125" style="3" customWidth="1"/>
    <col min="40" max="40" width="30.85546875" style="3" customWidth="1"/>
    <col min="41" max="42" width="18.5703125" style="3" bestFit="1" customWidth="1"/>
    <col min="43" max="43" width="16.42578125" style="3" customWidth="1"/>
    <col min="44" max="47" width="15.7109375" style="3" customWidth="1"/>
    <col min="48" max="48" width="19.85546875" style="3" customWidth="1"/>
    <col min="49" max="49" width="18.5703125" style="3" customWidth="1"/>
    <col min="50" max="254" width="9.140625" style="3"/>
    <col min="255" max="255" width="3" style="3" customWidth="1"/>
    <col min="256" max="256" width="32.7109375" style="3" bestFit="1" customWidth="1"/>
    <col min="257" max="258" width="0" style="3" hidden="1" customWidth="1"/>
    <col min="259" max="259" width="19.7109375" style="3" customWidth="1"/>
    <col min="260" max="260" width="15.7109375" style="3" customWidth="1"/>
    <col min="261" max="261" width="13.85546875" style="3" customWidth="1"/>
    <col min="262" max="262" width="19.7109375" style="3" customWidth="1"/>
    <col min="263" max="263" width="15.28515625" style="3" customWidth="1"/>
    <col min="264" max="264" width="21.85546875" style="3" customWidth="1"/>
    <col min="265" max="265" width="11.85546875" style="3" customWidth="1"/>
    <col min="266" max="293" width="9.140625" style="3"/>
    <col min="294" max="294" width="4" style="3" customWidth="1"/>
    <col min="295" max="295" width="12.5703125" style="3" customWidth="1"/>
    <col min="296" max="296" width="30.85546875" style="3" customWidth="1"/>
    <col min="297" max="298" width="18.5703125" style="3" bestFit="1" customWidth="1"/>
    <col min="299" max="299" width="16.42578125" style="3" customWidth="1"/>
    <col min="300" max="303" width="15.7109375" style="3" customWidth="1"/>
    <col min="304" max="304" width="19.85546875" style="3" customWidth="1"/>
    <col min="305" max="305" width="18.5703125" style="3" customWidth="1"/>
    <col min="306" max="510" width="9.140625" style="3"/>
    <col min="511" max="511" width="3" style="3" customWidth="1"/>
    <col min="512" max="512" width="32.7109375" style="3" bestFit="1" customWidth="1"/>
    <col min="513" max="514" width="0" style="3" hidden="1" customWidth="1"/>
    <col min="515" max="515" width="19.7109375" style="3" customWidth="1"/>
    <col min="516" max="516" width="15.7109375" style="3" customWidth="1"/>
    <col min="517" max="517" width="13.85546875" style="3" customWidth="1"/>
    <col min="518" max="518" width="19.7109375" style="3" customWidth="1"/>
    <col min="519" max="519" width="15.28515625" style="3" customWidth="1"/>
    <col min="520" max="520" width="21.85546875" style="3" customWidth="1"/>
    <col min="521" max="521" width="11.85546875" style="3" customWidth="1"/>
    <col min="522" max="549" width="9.140625" style="3"/>
    <col min="550" max="550" width="4" style="3" customWidth="1"/>
    <col min="551" max="551" width="12.5703125" style="3" customWidth="1"/>
    <col min="552" max="552" width="30.85546875" style="3" customWidth="1"/>
    <col min="553" max="554" width="18.5703125" style="3" bestFit="1" customWidth="1"/>
    <col min="555" max="555" width="16.42578125" style="3" customWidth="1"/>
    <col min="556" max="559" width="15.7109375" style="3" customWidth="1"/>
    <col min="560" max="560" width="19.85546875" style="3" customWidth="1"/>
    <col min="561" max="561" width="18.5703125" style="3" customWidth="1"/>
    <col min="562" max="766" width="9.140625" style="3"/>
    <col min="767" max="767" width="3" style="3" customWidth="1"/>
    <col min="768" max="768" width="32.7109375" style="3" bestFit="1" customWidth="1"/>
    <col min="769" max="770" width="0" style="3" hidden="1" customWidth="1"/>
    <col min="771" max="771" width="19.7109375" style="3" customWidth="1"/>
    <col min="772" max="772" width="15.7109375" style="3" customWidth="1"/>
    <col min="773" max="773" width="13.85546875" style="3" customWidth="1"/>
    <col min="774" max="774" width="19.7109375" style="3" customWidth="1"/>
    <col min="775" max="775" width="15.28515625" style="3" customWidth="1"/>
    <col min="776" max="776" width="21.85546875" style="3" customWidth="1"/>
    <col min="777" max="777" width="11.85546875" style="3" customWidth="1"/>
    <col min="778" max="805" width="9.140625" style="3"/>
    <col min="806" max="806" width="4" style="3" customWidth="1"/>
    <col min="807" max="807" width="12.5703125" style="3" customWidth="1"/>
    <col min="808" max="808" width="30.85546875" style="3" customWidth="1"/>
    <col min="809" max="810" width="18.5703125" style="3" bestFit="1" customWidth="1"/>
    <col min="811" max="811" width="16.42578125" style="3" customWidth="1"/>
    <col min="812" max="815" width="15.7109375" style="3" customWidth="1"/>
    <col min="816" max="816" width="19.85546875" style="3" customWidth="1"/>
    <col min="817" max="817" width="18.5703125" style="3" customWidth="1"/>
    <col min="818" max="1022" width="9.140625" style="3"/>
    <col min="1023" max="1023" width="3" style="3" customWidth="1"/>
    <col min="1024" max="1024" width="32.7109375" style="3" bestFit="1" customWidth="1"/>
    <col min="1025" max="1026" width="0" style="3" hidden="1" customWidth="1"/>
    <col min="1027" max="1027" width="19.7109375" style="3" customWidth="1"/>
    <col min="1028" max="1028" width="15.7109375" style="3" customWidth="1"/>
    <col min="1029" max="1029" width="13.85546875" style="3" customWidth="1"/>
    <col min="1030" max="1030" width="19.7109375" style="3" customWidth="1"/>
    <col min="1031" max="1031" width="15.28515625" style="3" customWidth="1"/>
    <col min="1032" max="1032" width="21.85546875" style="3" customWidth="1"/>
    <col min="1033" max="1033" width="11.85546875" style="3" customWidth="1"/>
    <col min="1034" max="1061" width="9.140625" style="3"/>
    <col min="1062" max="1062" width="4" style="3" customWidth="1"/>
    <col min="1063" max="1063" width="12.5703125" style="3" customWidth="1"/>
    <col min="1064" max="1064" width="30.85546875" style="3" customWidth="1"/>
    <col min="1065" max="1066" width="18.5703125" style="3" bestFit="1" customWidth="1"/>
    <col min="1067" max="1067" width="16.42578125" style="3" customWidth="1"/>
    <col min="1068" max="1071" width="15.7109375" style="3" customWidth="1"/>
    <col min="1072" max="1072" width="19.85546875" style="3" customWidth="1"/>
    <col min="1073" max="1073" width="18.5703125" style="3" customWidth="1"/>
    <col min="1074" max="1278" width="9.140625" style="3"/>
    <col min="1279" max="1279" width="3" style="3" customWidth="1"/>
    <col min="1280" max="1280" width="32.7109375" style="3" bestFit="1" customWidth="1"/>
    <col min="1281" max="1282" width="0" style="3" hidden="1" customWidth="1"/>
    <col min="1283" max="1283" width="19.7109375" style="3" customWidth="1"/>
    <col min="1284" max="1284" width="15.7109375" style="3" customWidth="1"/>
    <col min="1285" max="1285" width="13.85546875" style="3" customWidth="1"/>
    <col min="1286" max="1286" width="19.7109375" style="3" customWidth="1"/>
    <col min="1287" max="1287" width="15.28515625" style="3" customWidth="1"/>
    <col min="1288" max="1288" width="21.85546875" style="3" customWidth="1"/>
    <col min="1289" max="1289" width="11.85546875" style="3" customWidth="1"/>
    <col min="1290" max="1317" width="9.140625" style="3"/>
    <col min="1318" max="1318" width="4" style="3" customWidth="1"/>
    <col min="1319" max="1319" width="12.5703125" style="3" customWidth="1"/>
    <col min="1320" max="1320" width="30.85546875" style="3" customWidth="1"/>
    <col min="1321" max="1322" width="18.5703125" style="3" bestFit="1" customWidth="1"/>
    <col min="1323" max="1323" width="16.42578125" style="3" customWidth="1"/>
    <col min="1324" max="1327" width="15.7109375" style="3" customWidth="1"/>
    <col min="1328" max="1328" width="19.85546875" style="3" customWidth="1"/>
    <col min="1329" max="1329" width="18.5703125" style="3" customWidth="1"/>
    <col min="1330" max="1534" width="9.140625" style="3"/>
    <col min="1535" max="1535" width="3" style="3" customWidth="1"/>
    <col min="1536" max="1536" width="32.7109375" style="3" bestFit="1" customWidth="1"/>
    <col min="1537" max="1538" width="0" style="3" hidden="1" customWidth="1"/>
    <col min="1539" max="1539" width="19.7109375" style="3" customWidth="1"/>
    <col min="1540" max="1540" width="15.7109375" style="3" customWidth="1"/>
    <col min="1541" max="1541" width="13.85546875" style="3" customWidth="1"/>
    <col min="1542" max="1542" width="19.7109375" style="3" customWidth="1"/>
    <col min="1543" max="1543" width="15.28515625" style="3" customWidth="1"/>
    <col min="1544" max="1544" width="21.85546875" style="3" customWidth="1"/>
    <col min="1545" max="1545" width="11.85546875" style="3" customWidth="1"/>
    <col min="1546" max="1573" width="9.140625" style="3"/>
    <col min="1574" max="1574" width="4" style="3" customWidth="1"/>
    <col min="1575" max="1575" width="12.5703125" style="3" customWidth="1"/>
    <col min="1576" max="1576" width="30.85546875" style="3" customWidth="1"/>
    <col min="1577" max="1578" width="18.5703125" style="3" bestFit="1" customWidth="1"/>
    <col min="1579" max="1579" width="16.42578125" style="3" customWidth="1"/>
    <col min="1580" max="1583" width="15.7109375" style="3" customWidth="1"/>
    <col min="1584" max="1584" width="19.85546875" style="3" customWidth="1"/>
    <col min="1585" max="1585" width="18.5703125" style="3" customWidth="1"/>
    <col min="1586" max="1790" width="9.140625" style="3"/>
    <col min="1791" max="1791" width="3" style="3" customWidth="1"/>
    <col min="1792" max="1792" width="32.7109375" style="3" bestFit="1" customWidth="1"/>
    <col min="1793" max="1794" width="0" style="3" hidden="1" customWidth="1"/>
    <col min="1795" max="1795" width="19.7109375" style="3" customWidth="1"/>
    <col min="1796" max="1796" width="15.7109375" style="3" customWidth="1"/>
    <col min="1797" max="1797" width="13.85546875" style="3" customWidth="1"/>
    <col min="1798" max="1798" width="19.7109375" style="3" customWidth="1"/>
    <col min="1799" max="1799" width="15.28515625" style="3" customWidth="1"/>
    <col min="1800" max="1800" width="21.85546875" style="3" customWidth="1"/>
    <col min="1801" max="1801" width="11.85546875" style="3" customWidth="1"/>
    <col min="1802" max="1829" width="9.140625" style="3"/>
    <col min="1830" max="1830" width="4" style="3" customWidth="1"/>
    <col min="1831" max="1831" width="12.5703125" style="3" customWidth="1"/>
    <col min="1832" max="1832" width="30.85546875" style="3" customWidth="1"/>
    <col min="1833" max="1834" width="18.5703125" style="3" bestFit="1" customWidth="1"/>
    <col min="1835" max="1835" width="16.42578125" style="3" customWidth="1"/>
    <col min="1836" max="1839" width="15.7109375" style="3" customWidth="1"/>
    <col min="1840" max="1840" width="19.85546875" style="3" customWidth="1"/>
    <col min="1841" max="1841" width="18.5703125" style="3" customWidth="1"/>
    <col min="1842" max="2046" width="9.140625" style="3"/>
    <col min="2047" max="2047" width="3" style="3" customWidth="1"/>
    <col min="2048" max="2048" width="32.7109375" style="3" bestFit="1" customWidth="1"/>
    <col min="2049" max="2050" width="0" style="3" hidden="1" customWidth="1"/>
    <col min="2051" max="2051" width="19.7109375" style="3" customWidth="1"/>
    <col min="2052" max="2052" width="15.7109375" style="3" customWidth="1"/>
    <col min="2053" max="2053" width="13.85546875" style="3" customWidth="1"/>
    <col min="2054" max="2054" width="19.7109375" style="3" customWidth="1"/>
    <col min="2055" max="2055" width="15.28515625" style="3" customWidth="1"/>
    <col min="2056" max="2056" width="21.85546875" style="3" customWidth="1"/>
    <col min="2057" max="2057" width="11.85546875" style="3" customWidth="1"/>
    <col min="2058" max="2085" width="9.140625" style="3"/>
    <col min="2086" max="2086" width="4" style="3" customWidth="1"/>
    <col min="2087" max="2087" width="12.5703125" style="3" customWidth="1"/>
    <col min="2088" max="2088" width="30.85546875" style="3" customWidth="1"/>
    <col min="2089" max="2090" width="18.5703125" style="3" bestFit="1" customWidth="1"/>
    <col min="2091" max="2091" width="16.42578125" style="3" customWidth="1"/>
    <col min="2092" max="2095" width="15.7109375" style="3" customWidth="1"/>
    <col min="2096" max="2096" width="19.85546875" style="3" customWidth="1"/>
    <col min="2097" max="2097" width="18.5703125" style="3" customWidth="1"/>
    <col min="2098" max="2302" width="9.140625" style="3"/>
    <col min="2303" max="2303" width="3" style="3" customWidth="1"/>
    <col min="2304" max="2304" width="32.7109375" style="3" bestFit="1" customWidth="1"/>
    <col min="2305" max="2306" width="0" style="3" hidden="1" customWidth="1"/>
    <col min="2307" max="2307" width="19.7109375" style="3" customWidth="1"/>
    <col min="2308" max="2308" width="15.7109375" style="3" customWidth="1"/>
    <col min="2309" max="2309" width="13.85546875" style="3" customWidth="1"/>
    <col min="2310" max="2310" width="19.7109375" style="3" customWidth="1"/>
    <col min="2311" max="2311" width="15.28515625" style="3" customWidth="1"/>
    <col min="2312" max="2312" width="21.85546875" style="3" customWidth="1"/>
    <col min="2313" max="2313" width="11.85546875" style="3" customWidth="1"/>
    <col min="2314" max="2341" width="9.140625" style="3"/>
    <col min="2342" max="2342" width="4" style="3" customWidth="1"/>
    <col min="2343" max="2343" width="12.5703125" style="3" customWidth="1"/>
    <col min="2344" max="2344" width="30.85546875" style="3" customWidth="1"/>
    <col min="2345" max="2346" width="18.5703125" style="3" bestFit="1" customWidth="1"/>
    <col min="2347" max="2347" width="16.42578125" style="3" customWidth="1"/>
    <col min="2348" max="2351" width="15.7109375" style="3" customWidth="1"/>
    <col min="2352" max="2352" width="19.85546875" style="3" customWidth="1"/>
    <col min="2353" max="2353" width="18.5703125" style="3" customWidth="1"/>
    <col min="2354" max="2558" width="9.140625" style="3"/>
    <col min="2559" max="2559" width="3" style="3" customWidth="1"/>
    <col min="2560" max="2560" width="32.7109375" style="3" bestFit="1" customWidth="1"/>
    <col min="2561" max="2562" width="0" style="3" hidden="1" customWidth="1"/>
    <col min="2563" max="2563" width="19.7109375" style="3" customWidth="1"/>
    <col min="2564" max="2564" width="15.7109375" style="3" customWidth="1"/>
    <col min="2565" max="2565" width="13.85546875" style="3" customWidth="1"/>
    <col min="2566" max="2566" width="19.7109375" style="3" customWidth="1"/>
    <col min="2567" max="2567" width="15.28515625" style="3" customWidth="1"/>
    <col min="2568" max="2568" width="21.85546875" style="3" customWidth="1"/>
    <col min="2569" max="2569" width="11.85546875" style="3" customWidth="1"/>
    <col min="2570" max="2597" width="9.140625" style="3"/>
    <col min="2598" max="2598" width="4" style="3" customWidth="1"/>
    <col min="2599" max="2599" width="12.5703125" style="3" customWidth="1"/>
    <col min="2600" max="2600" width="30.85546875" style="3" customWidth="1"/>
    <col min="2601" max="2602" width="18.5703125" style="3" bestFit="1" customWidth="1"/>
    <col min="2603" max="2603" width="16.42578125" style="3" customWidth="1"/>
    <col min="2604" max="2607" width="15.7109375" style="3" customWidth="1"/>
    <col min="2608" max="2608" width="19.85546875" style="3" customWidth="1"/>
    <col min="2609" max="2609" width="18.5703125" style="3" customWidth="1"/>
    <col min="2610" max="2814" width="9.140625" style="3"/>
    <col min="2815" max="2815" width="3" style="3" customWidth="1"/>
    <col min="2816" max="2816" width="32.7109375" style="3" bestFit="1" customWidth="1"/>
    <col min="2817" max="2818" width="0" style="3" hidden="1" customWidth="1"/>
    <col min="2819" max="2819" width="19.7109375" style="3" customWidth="1"/>
    <col min="2820" max="2820" width="15.7109375" style="3" customWidth="1"/>
    <col min="2821" max="2821" width="13.85546875" style="3" customWidth="1"/>
    <col min="2822" max="2822" width="19.7109375" style="3" customWidth="1"/>
    <col min="2823" max="2823" width="15.28515625" style="3" customWidth="1"/>
    <col min="2824" max="2824" width="21.85546875" style="3" customWidth="1"/>
    <col min="2825" max="2825" width="11.85546875" style="3" customWidth="1"/>
    <col min="2826" max="2853" width="9.140625" style="3"/>
    <col min="2854" max="2854" width="4" style="3" customWidth="1"/>
    <col min="2855" max="2855" width="12.5703125" style="3" customWidth="1"/>
    <col min="2856" max="2856" width="30.85546875" style="3" customWidth="1"/>
    <col min="2857" max="2858" width="18.5703125" style="3" bestFit="1" customWidth="1"/>
    <col min="2859" max="2859" width="16.42578125" style="3" customWidth="1"/>
    <col min="2860" max="2863" width="15.7109375" style="3" customWidth="1"/>
    <col min="2864" max="2864" width="19.85546875" style="3" customWidth="1"/>
    <col min="2865" max="2865" width="18.5703125" style="3" customWidth="1"/>
    <col min="2866" max="3070" width="9.140625" style="3"/>
    <col min="3071" max="3071" width="3" style="3" customWidth="1"/>
    <col min="3072" max="3072" width="32.7109375" style="3" bestFit="1" customWidth="1"/>
    <col min="3073" max="3074" width="0" style="3" hidden="1" customWidth="1"/>
    <col min="3075" max="3075" width="19.7109375" style="3" customWidth="1"/>
    <col min="3076" max="3076" width="15.7109375" style="3" customWidth="1"/>
    <col min="3077" max="3077" width="13.85546875" style="3" customWidth="1"/>
    <col min="3078" max="3078" width="19.7109375" style="3" customWidth="1"/>
    <col min="3079" max="3079" width="15.28515625" style="3" customWidth="1"/>
    <col min="3080" max="3080" width="21.85546875" style="3" customWidth="1"/>
    <col min="3081" max="3081" width="11.85546875" style="3" customWidth="1"/>
    <col min="3082" max="3109" width="9.140625" style="3"/>
    <col min="3110" max="3110" width="4" style="3" customWidth="1"/>
    <col min="3111" max="3111" width="12.5703125" style="3" customWidth="1"/>
    <col min="3112" max="3112" width="30.85546875" style="3" customWidth="1"/>
    <col min="3113" max="3114" width="18.5703125" style="3" bestFit="1" customWidth="1"/>
    <col min="3115" max="3115" width="16.42578125" style="3" customWidth="1"/>
    <col min="3116" max="3119" width="15.7109375" style="3" customWidth="1"/>
    <col min="3120" max="3120" width="19.85546875" style="3" customWidth="1"/>
    <col min="3121" max="3121" width="18.5703125" style="3" customWidth="1"/>
    <col min="3122" max="3326" width="9.140625" style="3"/>
    <col min="3327" max="3327" width="3" style="3" customWidth="1"/>
    <col min="3328" max="3328" width="32.7109375" style="3" bestFit="1" customWidth="1"/>
    <col min="3329" max="3330" width="0" style="3" hidden="1" customWidth="1"/>
    <col min="3331" max="3331" width="19.7109375" style="3" customWidth="1"/>
    <col min="3332" max="3332" width="15.7109375" style="3" customWidth="1"/>
    <col min="3333" max="3333" width="13.85546875" style="3" customWidth="1"/>
    <col min="3334" max="3334" width="19.7109375" style="3" customWidth="1"/>
    <col min="3335" max="3335" width="15.28515625" style="3" customWidth="1"/>
    <col min="3336" max="3336" width="21.85546875" style="3" customWidth="1"/>
    <col min="3337" max="3337" width="11.85546875" style="3" customWidth="1"/>
    <col min="3338" max="3365" width="9.140625" style="3"/>
    <col min="3366" max="3366" width="4" style="3" customWidth="1"/>
    <col min="3367" max="3367" width="12.5703125" style="3" customWidth="1"/>
    <col min="3368" max="3368" width="30.85546875" style="3" customWidth="1"/>
    <col min="3369" max="3370" width="18.5703125" style="3" bestFit="1" customWidth="1"/>
    <col min="3371" max="3371" width="16.42578125" style="3" customWidth="1"/>
    <col min="3372" max="3375" width="15.7109375" style="3" customWidth="1"/>
    <col min="3376" max="3376" width="19.85546875" style="3" customWidth="1"/>
    <col min="3377" max="3377" width="18.5703125" style="3" customWidth="1"/>
    <col min="3378" max="3582" width="9.140625" style="3"/>
    <col min="3583" max="3583" width="3" style="3" customWidth="1"/>
    <col min="3584" max="3584" width="32.7109375" style="3" bestFit="1" customWidth="1"/>
    <col min="3585" max="3586" width="0" style="3" hidden="1" customWidth="1"/>
    <col min="3587" max="3587" width="19.7109375" style="3" customWidth="1"/>
    <col min="3588" max="3588" width="15.7109375" style="3" customWidth="1"/>
    <col min="3589" max="3589" width="13.85546875" style="3" customWidth="1"/>
    <col min="3590" max="3590" width="19.7109375" style="3" customWidth="1"/>
    <col min="3591" max="3591" width="15.28515625" style="3" customWidth="1"/>
    <col min="3592" max="3592" width="21.85546875" style="3" customWidth="1"/>
    <col min="3593" max="3593" width="11.85546875" style="3" customWidth="1"/>
    <col min="3594" max="3621" width="9.140625" style="3"/>
    <col min="3622" max="3622" width="4" style="3" customWidth="1"/>
    <col min="3623" max="3623" width="12.5703125" style="3" customWidth="1"/>
    <col min="3624" max="3624" width="30.85546875" style="3" customWidth="1"/>
    <col min="3625" max="3626" width="18.5703125" style="3" bestFit="1" customWidth="1"/>
    <col min="3627" max="3627" width="16.42578125" style="3" customWidth="1"/>
    <col min="3628" max="3631" width="15.7109375" style="3" customWidth="1"/>
    <col min="3632" max="3632" width="19.85546875" style="3" customWidth="1"/>
    <col min="3633" max="3633" width="18.5703125" style="3" customWidth="1"/>
    <col min="3634" max="3838" width="9.140625" style="3"/>
    <col min="3839" max="3839" width="3" style="3" customWidth="1"/>
    <col min="3840" max="3840" width="32.7109375" style="3" bestFit="1" customWidth="1"/>
    <col min="3841" max="3842" width="0" style="3" hidden="1" customWidth="1"/>
    <col min="3843" max="3843" width="19.7109375" style="3" customWidth="1"/>
    <col min="3844" max="3844" width="15.7109375" style="3" customWidth="1"/>
    <col min="3845" max="3845" width="13.85546875" style="3" customWidth="1"/>
    <col min="3846" max="3846" width="19.7109375" style="3" customWidth="1"/>
    <col min="3847" max="3847" width="15.28515625" style="3" customWidth="1"/>
    <col min="3848" max="3848" width="21.85546875" style="3" customWidth="1"/>
    <col min="3849" max="3849" width="11.85546875" style="3" customWidth="1"/>
    <col min="3850" max="3877" width="9.140625" style="3"/>
    <col min="3878" max="3878" width="4" style="3" customWidth="1"/>
    <col min="3879" max="3879" width="12.5703125" style="3" customWidth="1"/>
    <col min="3880" max="3880" width="30.85546875" style="3" customWidth="1"/>
    <col min="3881" max="3882" width="18.5703125" style="3" bestFit="1" customWidth="1"/>
    <col min="3883" max="3883" width="16.42578125" style="3" customWidth="1"/>
    <col min="3884" max="3887" width="15.7109375" style="3" customWidth="1"/>
    <col min="3888" max="3888" width="19.85546875" style="3" customWidth="1"/>
    <col min="3889" max="3889" width="18.5703125" style="3" customWidth="1"/>
    <col min="3890" max="4094" width="9.140625" style="3"/>
    <col min="4095" max="4095" width="3" style="3" customWidth="1"/>
    <col min="4096" max="4096" width="32.7109375" style="3" bestFit="1" customWidth="1"/>
    <col min="4097" max="4098" width="0" style="3" hidden="1" customWidth="1"/>
    <col min="4099" max="4099" width="19.7109375" style="3" customWidth="1"/>
    <col min="4100" max="4100" width="15.7109375" style="3" customWidth="1"/>
    <col min="4101" max="4101" width="13.85546875" style="3" customWidth="1"/>
    <col min="4102" max="4102" width="19.7109375" style="3" customWidth="1"/>
    <col min="4103" max="4103" width="15.28515625" style="3" customWidth="1"/>
    <col min="4104" max="4104" width="21.85546875" style="3" customWidth="1"/>
    <col min="4105" max="4105" width="11.85546875" style="3" customWidth="1"/>
    <col min="4106" max="4133" width="9.140625" style="3"/>
    <col min="4134" max="4134" width="4" style="3" customWidth="1"/>
    <col min="4135" max="4135" width="12.5703125" style="3" customWidth="1"/>
    <col min="4136" max="4136" width="30.85546875" style="3" customWidth="1"/>
    <col min="4137" max="4138" width="18.5703125" style="3" bestFit="1" customWidth="1"/>
    <col min="4139" max="4139" width="16.42578125" style="3" customWidth="1"/>
    <col min="4140" max="4143" width="15.7109375" style="3" customWidth="1"/>
    <col min="4144" max="4144" width="19.85546875" style="3" customWidth="1"/>
    <col min="4145" max="4145" width="18.5703125" style="3" customWidth="1"/>
    <col min="4146" max="4350" width="9.140625" style="3"/>
    <col min="4351" max="4351" width="3" style="3" customWidth="1"/>
    <col min="4352" max="4352" width="32.7109375" style="3" bestFit="1" customWidth="1"/>
    <col min="4353" max="4354" width="0" style="3" hidden="1" customWidth="1"/>
    <col min="4355" max="4355" width="19.7109375" style="3" customWidth="1"/>
    <col min="4356" max="4356" width="15.7109375" style="3" customWidth="1"/>
    <col min="4357" max="4357" width="13.85546875" style="3" customWidth="1"/>
    <col min="4358" max="4358" width="19.7109375" style="3" customWidth="1"/>
    <col min="4359" max="4359" width="15.28515625" style="3" customWidth="1"/>
    <col min="4360" max="4360" width="21.85546875" style="3" customWidth="1"/>
    <col min="4361" max="4361" width="11.85546875" style="3" customWidth="1"/>
    <col min="4362" max="4389" width="9.140625" style="3"/>
    <col min="4390" max="4390" width="4" style="3" customWidth="1"/>
    <col min="4391" max="4391" width="12.5703125" style="3" customWidth="1"/>
    <col min="4392" max="4392" width="30.85546875" style="3" customWidth="1"/>
    <col min="4393" max="4394" width="18.5703125" style="3" bestFit="1" customWidth="1"/>
    <col min="4395" max="4395" width="16.42578125" style="3" customWidth="1"/>
    <col min="4396" max="4399" width="15.7109375" style="3" customWidth="1"/>
    <col min="4400" max="4400" width="19.85546875" style="3" customWidth="1"/>
    <col min="4401" max="4401" width="18.5703125" style="3" customWidth="1"/>
    <col min="4402" max="4606" width="9.140625" style="3"/>
    <col min="4607" max="4607" width="3" style="3" customWidth="1"/>
    <col min="4608" max="4608" width="32.7109375" style="3" bestFit="1" customWidth="1"/>
    <col min="4609" max="4610" width="0" style="3" hidden="1" customWidth="1"/>
    <col min="4611" max="4611" width="19.7109375" style="3" customWidth="1"/>
    <col min="4612" max="4612" width="15.7109375" style="3" customWidth="1"/>
    <col min="4613" max="4613" width="13.85546875" style="3" customWidth="1"/>
    <col min="4614" max="4614" width="19.7109375" style="3" customWidth="1"/>
    <col min="4615" max="4615" width="15.28515625" style="3" customWidth="1"/>
    <col min="4616" max="4616" width="21.85546875" style="3" customWidth="1"/>
    <col min="4617" max="4617" width="11.85546875" style="3" customWidth="1"/>
    <col min="4618" max="4645" width="9.140625" style="3"/>
    <col min="4646" max="4646" width="4" style="3" customWidth="1"/>
    <col min="4647" max="4647" width="12.5703125" style="3" customWidth="1"/>
    <col min="4648" max="4648" width="30.85546875" style="3" customWidth="1"/>
    <col min="4649" max="4650" width="18.5703125" style="3" bestFit="1" customWidth="1"/>
    <col min="4651" max="4651" width="16.42578125" style="3" customWidth="1"/>
    <col min="4652" max="4655" width="15.7109375" style="3" customWidth="1"/>
    <col min="4656" max="4656" width="19.85546875" style="3" customWidth="1"/>
    <col min="4657" max="4657" width="18.5703125" style="3" customWidth="1"/>
    <col min="4658" max="4862" width="9.140625" style="3"/>
    <col min="4863" max="4863" width="3" style="3" customWidth="1"/>
    <col min="4864" max="4864" width="32.7109375" style="3" bestFit="1" customWidth="1"/>
    <col min="4865" max="4866" width="0" style="3" hidden="1" customWidth="1"/>
    <col min="4867" max="4867" width="19.7109375" style="3" customWidth="1"/>
    <col min="4868" max="4868" width="15.7109375" style="3" customWidth="1"/>
    <col min="4869" max="4869" width="13.85546875" style="3" customWidth="1"/>
    <col min="4870" max="4870" width="19.7109375" style="3" customWidth="1"/>
    <col min="4871" max="4871" width="15.28515625" style="3" customWidth="1"/>
    <col min="4872" max="4872" width="21.85546875" style="3" customWidth="1"/>
    <col min="4873" max="4873" width="11.85546875" style="3" customWidth="1"/>
    <col min="4874" max="4901" width="9.140625" style="3"/>
    <col min="4902" max="4902" width="4" style="3" customWidth="1"/>
    <col min="4903" max="4903" width="12.5703125" style="3" customWidth="1"/>
    <col min="4904" max="4904" width="30.85546875" style="3" customWidth="1"/>
    <col min="4905" max="4906" width="18.5703125" style="3" bestFit="1" customWidth="1"/>
    <col min="4907" max="4907" width="16.42578125" style="3" customWidth="1"/>
    <col min="4908" max="4911" width="15.7109375" style="3" customWidth="1"/>
    <col min="4912" max="4912" width="19.85546875" style="3" customWidth="1"/>
    <col min="4913" max="4913" width="18.5703125" style="3" customWidth="1"/>
    <col min="4914" max="5118" width="9.140625" style="3"/>
    <col min="5119" max="5119" width="3" style="3" customWidth="1"/>
    <col min="5120" max="5120" width="32.7109375" style="3" bestFit="1" customWidth="1"/>
    <col min="5121" max="5122" width="0" style="3" hidden="1" customWidth="1"/>
    <col min="5123" max="5123" width="19.7109375" style="3" customWidth="1"/>
    <col min="5124" max="5124" width="15.7109375" style="3" customWidth="1"/>
    <col min="5125" max="5125" width="13.85546875" style="3" customWidth="1"/>
    <col min="5126" max="5126" width="19.7109375" style="3" customWidth="1"/>
    <col min="5127" max="5127" width="15.28515625" style="3" customWidth="1"/>
    <col min="5128" max="5128" width="21.85546875" style="3" customWidth="1"/>
    <col min="5129" max="5129" width="11.85546875" style="3" customWidth="1"/>
    <col min="5130" max="5157" width="9.140625" style="3"/>
    <col min="5158" max="5158" width="4" style="3" customWidth="1"/>
    <col min="5159" max="5159" width="12.5703125" style="3" customWidth="1"/>
    <col min="5160" max="5160" width="30.85546875" style="3" customWidth="1"/>
    <col min="5161" max="5162" width="18.5703125" style="3" bestFit="1" customWidth="1"/>
    <col min="5163" max="5163" width="16.42578125" style="3" customWidth="1"/>
    <col min="5164" max="5167" width="15.7109375" style="3" customWidth="1"/>
    <col min="5168" max="5168" width="19.85546875" style="3" customWidth="1"/>
    <col min="5169" max="5169" width="18.5703125" style="3" customWidth="1"/>
    <col min="5170" max="5374" width="9.140625" style="3"/>
    <col min="5375" max="5375" width="3" style="3" customWidth="1"/>
    <col min="5376" max="5376" width="32.7109375" style="3" bestFit="1" customWidth="1"/>
    <col min="5377" max="5378" width="0" style="3" hidden="1" customWidth="1"/>
    <col min="5379" max="5379" width="19.7109375" style="3" customWidth="1"/>
    <col min="5380" max="5380" width="15.7109375" style="3" customWidth="1"/>
    <col min="5381" max="5381" width="13.85546875" style="3" customWidth="1"/>
    <col min="5382" max="5382" width="19.7109375" style="3" customWidth="1"/>
    <col min="5383" max="5383" width="15.28515625" style="3" customWidth="1"/>
    <col min="5384" max="5384" width="21.85546875" style="3" customWidth="1"/>
    <col min="5385" max="5385" width="11.85546875" style="3" customWidth="1"/>
    <col min="5386" max="5413" width="9.140625" style="3"/>
    <col min="5414" max="5414" width="4" style="3" customWidth="1"/>
    <col min="5415" max="5415" width="12.5703125" style="3" customWidth="1"/>
    <col min="5416" max="5416" width="30.85546875" style="3" customWidth="1"/>
    <col min="5417" max="5418" width="18.5703125" style="3" bestFit="1" customWidth="1"/>
    <col min="5419" max="5419" width="16.42578125" style="3" customWidth="1"/>
    <col min="5420" max="5423" width="15.7109375" style="3" customWidth="1"/>
    <col min="5424" max="5424" width="19.85546875" style="3" customWidth="1"/>
    <col min="5425" max="5425" width="18.5703125" style="3" customWidth="1"/>
    <col min="5426" max="5630" width="9.140625" style="3"/>
    <col min="5631" max="5631" width="3" style="3" customWidth="1"/>
    <col min="5632" max="5632" width="32.7109375" style="3" bestFit="1" customWidth="1"/>
    <col min="5633" max="5634" width="0" style="3" hidden="1" customWidth="1"/>
    <col min="5635" max="5635" width="19.7109375" style="3" customWidth="1"/>
    <col min="5636" max="5636" width="15.7109375" style="3" customWidth="1"/>
    <col min="5637" max="5637" width="13.85546875" style="3" customWidth="1"/>
    <col min="5638" max="5638" width="19.7109375" style="3" customWidth="1"/>
    <col min="5639" max="5639" width="15.28515625" style="3" customWidth="1"/>
    <col min="5640" max="5640" width="21.85546875" style="3" customWidth="1"/>
    <col min="5641" max="5641" width="11.85546875" style="3" customWidth="1"/>
    <col min="5642" max="5669" width="9.140625" style="3"/>
    <col min="5670" max="5670" width="4" style="3" customWidth="1"/>
    <col min="5671" max="5671" width="12.5703125" style="3" customWidth="1"/>
    <col min="5672" max="5672" width="30.85546875" style="3" customWidth="1"/>
    <col min="5673" max="5674" width="18.5703125" style="3" bestFit="1" customWidth="1"/>
    <col min="5675" max="5675" width="16.42578125" style="3" customWidth="1"/>
    <col min="5676" max="5679" width="15.7109375" style="3" customWidth="1"/>
    <col min="5680" max="5680" width="19.85546875" style="3" customWidth="1"/>
    <col min="5681" max="5681" width="18.5703125" style="3" customWidth="1"/>
    <col min="5682" max="5886" width="9.140625" style="3"/>
    <col min="5887" max="5887" width="3" style="3" customWidth="1"/>
    <col min="5888" max="5888" width="32.7109375" style="3" bestFit="1" customWidth="1"/>
    <col min="5889" max="5890" width="0" style="3" hidden="1" customWidth="1"/>
    <col min="5891" max="5891" width="19.7109375" style="3" customWidth="1"/>
    <col min="5892" max="5892" width="15.7109375" style="3" customWidth="1"/>
    <col min="5893" max="5893" width="13.85546875" style="3" customWidth="1"/>
    <col min="5894" max="5894" width="19.7109375" style="3" customWidth="1"/>
    <col min="5895" max="5895" width="15.28515625" style="3" customWidth="1"/>
    <col min="5896" max="5896" width="21.85546875" style="3" customWidth="1"/>
    <col min="5897" max="5897" width="11.85546875" style="3" customWidth="1"/>
    <col min="5898" max="5925" width="9.140625" style="3"/>
    <col min="5926" max="5926" width="4" style="3" customWidth="1"/>
    <col min="5927" max="5927" width="12.5703125" style="3" customWidth="1"/>
    <col min="5928" max="5928" width="30.85546875" style="3" customWidth="1"/>
    <col min="5929" max="5930" width="18.5703125" style="3" bestFit="1" customWidth="1"/>
    <col min="5931" max="5931" width="16.42578125" style="3" customWidth="1"/>
    <col min="5932" max="5935" width="15.7109375" style="3" customWidth="1"/>
    <col min="5936" max="5936" width="19.85546875" style="3" customWidth="1"/>
    <col min="5937" max="5937" width="18.5703125" style="3" customWidth="1"/>
    <col min="5938" max="6142" width="9.140625" style="3"/>
    <col min="6143" max="6143" width="3" style="3" customWidth="1"/>
    <col min="6144" max="6144" width="32.7109375" style="3" bestFit="1" customWidth="1"/>
    <col min="6145" max="6146" width="0" style="3" hidden="1" customWidth="1"/>
    <col min="6147" max="6147" width="19.7109375" style="3" customWidth="1"/>
    <col min="6148" max="6148" width="15.7109375" style="3" customWidth="1"/>
    <col min="6149" max="6149" width="13.85546875" style="3" customWidth="1"/>
    <col min="6150" max="6150" width="19.7109375" style="3" customWidth="1"/>
    <col min="6151" max="6151" width="15.28515625" style="3" customWidth="1"/>
    <col min="6152" max="6152" width="21.85546875" style="3" customWidth="1"/>
    <col min="6153" max="6153" width="11.85546875" style="3" customWidth="1"/>
    <col min="6154" max="6181" width="9.140625" style="3"/>
    <col min="6182" max="6182" width="4" style="3" customWidth="1"/>
    <col min="6183" max="6183" width="12.5703125" style="3" customWidth="1"/>
    <col min="6184" max="6184" width="30.85546875" style="3" customWidth="1"/>
    <col min="6185" max="6186" width="18.5703125" style="3" bestFit="1" customWidth="1"/>
    <col min="6187" max="6187" width="16.42578125" style="3" customWidth="1"/>
    <col min="6188" max="6191" width="15.7109375" style="3" customWidth="1"/>
    <col min="6192" max="6192" width="19.85546875" style="3" customWidth="1"/>
    <col min="6193" max="6193" width="18.5703125" style="3" customWidth="1"/>
    <col min="6194" max="6398" width="9.140625" style="3"/>
    <col min="6399" max="6399" width="3" style="3" customWidth="1"/>
    <col min="6400" max="6400" width="32.7109375" style="3" bestFit="1" customWidth="1"/>
    <col min="6401" max="6402" width="0" style="3" hidden="1" customWidth="1"/>
    <col min="6403" max="6403" width="19.7109375" style="3" customWidth="1"/>
    <col min="6404" max="6404" width="15.7109375" style="3" customWidth="1"/>
    <col min="6405" max="6405" width="13.85546875" style="3" customWidth="1"/>
    <col min="6406" max="6406" width="19.7109375" style="3" customWidth="1"/>
    <col min="6407" max="6407" width="15.28515625" style="3" customWidth="1"/>
    <col min="6408" max="6408" width="21.85546875" style="3" customWidth="1"/>
    <col min="6409" max="6409" width="11.85546875" style="3" customWidth="1"/>
    <col min="6410" max="6437" width="9.140625" style="3"/>
    <col min="6438" max="6438" width="4" style="3" customWidth="1"/>
    <col min="6439" max="6439" width="12.5703125" style="3" customWidth="1"/>
    <col min="6440" max="6440" width="30.85546875" style="3" customWidth="1"/>
    <col min="6441" max="6442" width="18.5703125" style="3" bestFit="1" customWidth="1"/>
    <col min="6443" max="6443" width="16.42578125" style="3" customWidth="1"/>
    <col min="6444" max="6447" width="15.7109375" style="3" customWidth="1"/>
    <col min="6448" max="6448" width="19.85546875" style="3" customWidth="1"/>
    <col min="6449" max="6449" width="18.5703125" style="3" customWidth="1"/>
    <col min="6450" max="6654" width="9.140625" style="3"/>
    <col min="6655" max="6655" width="3" style="3" customWidth="1"/>
    <col min="6656" max="6656" width="32.7109375" style="3" bestFit="1" customWidth="1"/>
    <col min="6657" max="6658" width="0" style="3" hidden="1" customWidth="1"/>
    <col min="6659" max="6659" width="19.7109375" style="3" customWidth="1"/>
    <col min="6660" max="6660" width="15.7109375" style="3" customWidth="1"/>
    <col min="6661" max="6661" width="13.85546875" style="3" customWidth="1"/>
    <col min="6662" max="6662" width="19.7109375" style="3" customWidth="1"/>
    <col min="6663" max="6663" width="15.28515625" style="3" customWidth="1"/>
    <col min="6664" max="6664" width="21.85546875" style="3" customWidth="1"/>
    <col min="6665" max="6665" width="11.85546875" style="3" customWidth="1"/>
    <col min="6666" max="6693" width="9.140625" style="3"/>
    <col min="6694" max="6694" width="4" style="3" customWidth="1"/>
    <col min="6695" max="6695" width="12.5703125" style="3" customWidth="1"/>
    <col min="6696" max="6696" width="30.85546875" style="3" customWidth="1"/>
    <col min="6697" max="6698" width="18.5703125" style="3" bestFit="1" customWidth="1"/>
    <col min="6699" max="6699" width="16.42578125" style="3" customWidth="1"/>
    <col min="6700" max="6703" width="15.7109375" style="3" customWidth="1"/>
    <col min="6704" max="6704" width="19.85546875" style="3" customWidth="1"/>
    <col min="6705" max="6705" width="18.5703125" style="3" customWidth="1"/>
    <col min="6706" max="6910" width="9.140625" style="3"/>
    <col min="6911" max="6911" width="3" style="3" customWidth="1"/>
    <col min="6912" max="6912" width="32.7109375" style="3" bestFit="1" customWidth="1"/>
    <col min="6913" max="6914" width="0" style="3" hidden="1" customWidth="1"/>
    <col min="6915" max="6915" width="19.7109375" style="3" customWidth="1"/>
    <col min="6916" max="6916" width="15.7109375" style="3" customWidth="1"/>
    <col min="6917" max="6917" width="13.85546875" style="3" customWidth="1"/>
    <col min="6918" max="6918" width="19.7109375" style="3" customWidth="1"/>
    <col min="6919" max="6919" width="15.28515625" style="3" customWidth="1"/>
    <col min="6920" max="6920" width="21.85546875" style="3" customWidth="1"/>
    <col min="6921" max="6921" width="11.85546875" style="3" customWidth="1"/>
    <col min="6922" max="6949" width="9.140625" style="3"/>
    <col min="6950" max="6950" width="4" style="3" customWidth="1"/>
    <col min="6951" max="6951" width="12.5703125" style="3" customWidth="1"/>
    <col min="6952" max="6952" width="30.85546875" style="3" customWidth="1"/>
    <col min="6953" max="6954" width="18.5703125" style="3" bestFit="1" customWidth="1"/>
    <col min="6955" max="6955" width="16.42578125" style="3" customWidth="1"/>
    <col min="6956" max="6959" width="15.7109375" style="3" customWidth="1"/>
    <col min="6960" max="6960" width="19.85546875" style="3" customWidth="1"/>
    <col min="6961" max="6961" width="18.5703125" style="3" customWidth="1"/>
    <col min="6962" max="7166" width="9.140625" style="3"/>
    <col min="7167" max="7167" width="3" style="3" customWidth="1"/>
    <col min="7168" max="7168" width="32.7109375" style="3" bestFit="1" customWidth="1"/>
    <col min="7169" max="7170" width="0" style="3" hidden="1" customWidth="1"/>
    <col min="7171" max="7171" width="19.7109375" style="3" customWidth="1"/>
    <col min="7172" max="7172" width="15.7109375" style="3" customWidth="1"/>
    <col min="7173" max="7173" width="13.85546875" style="3" customWidth="1"/>
    <col min="7174" max="7174" width="19.7109375" style="3" customWidth="1"/>
    <col min="7175" max="7175" width="15.28515625" style="3" customWidth="1"/>
    <col min="7176" max="7176" width="21.85546875" style="3" customWidth="1"/>
    <col min="7177" max="7177" width="11.85546875" style="3" customWidth="1"/>
    <col min="7178" max="7205" width="9.140625" style="3"/>
    <col min="7206" max="7206" width="4" style="3" customWidth="1"/>
    <col min="7207" max="7207" width="12.5703125" style="3" customWidth="1"/>
    <col min="7208" max="7208" width="30.85546875" style="3" customWidth="1"/>
    <col min="7209" max="7210" width="18.5703125" style="3" bestFit="1" customWidth="1"/>
    <col min="7211" max="7211" width="16.42578125" style="3" customWidth="1"/>
    <col min="7212" max="7215" width="15.7109375" style="3" customWidth="1"/>
    <col min="7216" max="7216" width="19.85546875" style="3" customWidth="1"/>
    <col min="7217" max="7217" width="18.5703125" style="3" customWidth="1"/>
    <col min="7218" max="7422" width="9.140625" style="3"/>
    <col min="7423" max="7423" width="3" style="3" customWidth="1"/>
    <col min="7424" max="7424" width="32.7109375" style="3" bestFit="1" customWidth="1"/>
    <col min="7425" max="7426" width="0" style="3" hidden="1" customWidth="1"/>
    <col min="7427" max="7427" width="19.7109375" style="3" customWidth="1"/>
    <col min="7428" max="7428" width="15.7109375" style="3" customWidth="1"/>
    <col min="7429" max="7429" width="13.85546875" style="3" customWidth="1"/>
    <col min="7430" max="7430" width="19.7109375" style="3" customWidth="1"/>
    <col min="7431" max="7431" width="15.28515625" style="3" customWidth="1"/>
    <col min="7432" max="7432" width="21.85546875" style="3" customWidth="1"/>
    <col min="7433" max="7433" width="11.85546875" style="3" customWidth="1"/>
    <col min="7434" max="7461" width="9.140625" style="3"/>
    <col min="7462" max="7462" width="4" style="3" customWidth="1"/>
    <col min="7463" max="7463" width="12.5703125" style="3" customWidth="1"/>
    <col min="7464" max="7464" width="30.85546875" style="3" customWidth="1"/>
    <col min="7465" max="7466" width="18.5703125" style="3" bestFit="1" customWidth="1"/>
    <col min="7467" max="7467" width="16.42578125" style="3" customWidth="1"/>
    <col min="7468" max="7471" width="15.7109375" style="3" customWidth="1"/>
    <col min="7472" max="7472" width="19.85546875" style="3" customWidth="1"/>
    <col min="7473" max="7473" width="18.5703125" style="3" customWidth="1"/>
    <col min="7474" max="7678" width="9.140625" style="3"/>
    <col min="7679" max="7679" width="3" style="3" customWidth="1"/>
    <col min="7680" max="7680" width="32.7109375" style="3" bestFit="1" customWidth="1"/>
    <col min="7681" max="7682" width="0" style="3" hidden="1" customWidth="1"/>
    <col min="7683" max="7683" width="19.7109375" style="3" customWidth="1"/>
    <col min="7684" max="7684" width="15.7109375" style="3" customWidth="1"/>
    <col min="7685" max="7685" width="13.85546875" style="3" customWidth="1"/>
    <col min="7686" max="7686" width="19.7109375" style="3" customWidth="1"/>
    <col min="7687" max="7687" width="15.28515625" style="3" customWidth="1"/>
    <col min="7688" max="7688" width="21.85546875" style="3" customWidth="1"/>
    <col min="7689" max="7689" width="11.85546875" style="3" customWidth="1"/>
    <col min="7690" max="7717" width="9.140625" style="3"/>
    <col min="7718" max="7718" width="4" style="3" customWidth="1"/>
    <col min="7719" max="7719" width="12.5703125" style="3" customWidth="1"/>
    <col min="7720" max="7720" width="30.85546875" style="3" customWidth="1"/>
    <col min="7721" max="7722" width="18.5703125" style="3" bestFit="1" customWidth="1"/>
    <col min="7723" max="7723" width="16.42578125" style="3" customWidth="1"/>
    <col min="7724" max="7727" width="15.7109375" style="3" customWidth="1"/>
    <col min="7728" max="7728" width="19.85546875" style="3" customWidth="1"/>
    <col min="7729" max="7729" width="18.5703125" style="3" customWidth="1"/>
    <col min="7730" max="7934" width="9.140625" style="3"/>
    <col min="7935" max="7935" width="3" style="3" customWidth="1"/>
    <col min="7936" max="7936" width="32.7109375" style="3" bestFit="1" customWidth="1"/>
    <col min="7937" max="7938" width="0" style="3" hidden="1" customWidth="1"/>
    <col min="7939" max="7939" width="19.7109375" style="3" customWidth="1"/>
    <col min="7940" max="7940" width="15.7109375" style="3" customWidth="1"/>
    <col min="7941" max="7941" width="13.85546875" style="3" customWidth="1"/>
    <col min="7942" max="7942" width="19.7109375" style="3" customWidth="1"/>
    <col min="7943" max="7943" width="15.28515625" style="3" customWidth="1"/>
    <col min="7944" max="7944" width="21.85546875" style="3" customWidth="1"/>
    <col min="7945" max="7945" width="11.85546875" style="3" customWidth="1"/>
    <col min="7946" max="7973" width="9.140625" style="3"/>
    <col min="7974" max="7974" width="4" style="3" customWidth="1"/>
    <col min="7975" max="7975" width="12.5703125" style="3" customWidth="1"/>
    <col min="7976" max="7976" width="30.85546875" style="3" customWidth="1"/>
    <col min="7977" max="7978" width="18.5703125" style="3" bestFit="1" customWidth="1"/>
    <col min="7979" max="7979" width="16.42578125" style="3" customWidth="1"/>
    <col min="7980" max="7983" width="15.7109375" style="3" customWidth="1"/>
    <col min="7984" max="7984" width="19.85546875" style="3" customWidth="1"/>
    <col min="7985" max="7985" width="18.5703125" style="3" customWidth="1"/>
    <col min="7986" max="8190" width="9.140625" style="3"/>
    <col min="8191" max="8191" width="3" style="3" customWidth="1"/>
    <col min="8192" max="8192" width="32.7109375" style="3" bestFit="1" customWidth="1"/>
    <col min="8193" max="8194" width="0" style="3" hidden="1" customWidth="1"/>
    <col min="8195" max="8195" width="19.7109375" style="3" customWidth="1"/>
    <col min="8196" max="8196" width="15.7109375" style="3" customWidth="1"/>
    <col min="8197" max="8197" width="13.85546875" style="3" customWidth="1"/>
    <col min="8198" max="8198" width="19.7109375" style="3" customWidth="1"/>
    <col min="8199" max="8199" width="15.28515625" style="3" customWidth="1"/>
    <col min="8200" max="8200" width="21.85546875" style="3" customWidth="1"/>
    <col min="8201" max="8201" width="11.85546875" style="3" customWidth="1"/>
    <col min="8202" max="8229" width="9.140625" style="3"/>
    <col min="8230" max="8230" width="4" style="3" customWidth="1"/>
    <col min="8231" max="8231" width="12.5703125" style="3" customWidth="1"/>
    <col min="8232" max="8232" width="30.85546875" style="3" customWidth="1"/>
    <col min="8233" max="8234" width="18.5703125" style="3" bestFit="1" customWidth="1"/>
    <col min="8235" max="8235" width="16.42578125" style="3" customWidth="1"/>
    <col min="8236" max="8239" width="15.7109375" style="3" customWidth="1"/>
    <col min="8240" max="8240" width="19.85546875" style="3" customWidth="1"/>
    <col min="8241" max="8241" width="18.5703125" style="3" customWidth="1"/>
    <col min="8242" max="8446" width="9.140625" style="3"/>
    <col min="8447" max="8447" width="3" style="3" customWidth="1"/>
    <col min="8448" max="8448" width="32.7109375" style="3" bestFit="1" customWidth="1"/>
    <col min="8449" max="8450" width="0" style="3" hidden="1" customWidth="1"/>
    <col min="8451" max="8451" width="19.7109375" style="3" customWidth="1"/>
    <col min="8452" max="8452" width="15.7109375" style="3" customWidth="1"/>
    <col min="8453" max="8453" width="13.85546875" style="3" customWidth="1"/>
    <col min="8454" max="8454" width="19.7109375" style="3" customWidth="1"/>
    <col min="8455" max="8455" width="15.28515625" style="3" customWidth="1"/>
    <col min="8456" max="8456" width="21.85546875" style="3" customWidth="1"/>
    <col min="8457" max="8457" width="11.85546875" style="3" customWidth="1"/>
    <col min="8458" max="8485" width="9.140625" style="3"/>
    <col min="8486" max="8486" width="4" style="3" customWidth="1"/>
    <col min="8487" max="8487" width="12.5703125" style="3" customWidth="1"/>
    <col min="8488" max="8488" width="30.85546875" style="3" customWidth="1"/>
    <col min="8489" max="8490" width="18.5703125" style="3" bestFit="1" customWidth="1"/>
    <col min="8491" max="8491" width="16.42578125" style="3" customWidth="1"/>
    <col min="8492" max="8495" width="15.7109375" style="3" customWidth="1"/>
    <col min="8496" max="8496" width="19.85546875" style="3" customWidth="1"/>
    <col min="8497" max="8497" width="18.5703125" style="3" customWidth="1"/>
    <col min="8498" max="8702" width="9.140625" style="3"/>
    <col min="8703" max="8703" width="3" style="3" customWidth="1"/>
    <col min="8704" max="8704" width="32.7109375" style="3" bestFit="1" customWidth="1"/>
    <col min="8705" max="8706" width="0" style="3" hidden="1" customWidth="1"/>
    <col min="8707" max="8707" width="19.7109375" style="3" customWidth="1"/>
    <col min="8708" max="8708" width="15.7109375" style="3" customWidth="1"/>
    <col min="8709" max="8709" width="13.85546875" style="3" customWidth="1"/>
    <col min="8710" max="8710" width="19.7109375" style="3" customWidth="1"/>
    <col min="8711" max="8711" width="15.28515625" style="3" customWidth="1"/>
    <col min="8712" max="8712" width="21.85546875" style="3" customWidth="1"/>
    <col min="8713" max="8713" width="11.85546875" style="3" customWidth="1"/>
    <col min="8714" max="8741" width="9.140625" style="3"/>
    <col min="8742" max="8742" width="4" style="3" customWidth="1"/>
    <col min="8743" max="8743" width="12.5703125" style="3" customWidth="1"/>
    <col min="8744" max="8744" width="30.85546875" style="3" customWidth="1"/>
    <col min="8745" max="8746" width="18.5703125" style="3" bestFit="1" customWidth="1"/>
    <col min="8747" max="8747" width="16.42578125" style="3" customWidth="1"/>
    <col min="8748" max="8751" width="15.7109375" style="3" customWidth="1"/>
    <col min="8752" max="8752" width="19.85546875" style="3" customWidth="1"/>
    <col min="8753" max="8753" width="18.5703125" style="3" customWidth="1"/>
    <col min="8754" max="8958" width="9.140625" style="3"/>
    <col min="8959" max="8959" width="3" style="3" customWidth="1"/>
    <col min="8960" max="8960" width="32.7109375" style="3" bestFit="1" customWidth="1"/>
    <col min="8961" max="8962" width="0" style="3" hidden="1" customWidth="1"/>
    <col min="8963" max="8963" width="19.7109375" style="3" customWidth="1"/>
    <col min="8964" max="8964" width="15.7109375" style="3" customWidth="1"/>
    <col min="8965" max="8965" width="13.85546875" style="3" customWidth="1"/>
    <col min="8966" max="8966" width="19.7109375" style="3" customWidth="1"/>
    <col min="8967" max="8967" width="15.28515625" style="3" customWidth="1"/>
    <col min="8968" max="8968" width="21.85546875" style="3" customWidth="1"/>
    <col min="8969" max="8969" width="11.85546875" style="3" customWidth="1"/>
    <col min="8970" max="8997" width="9.140625" style="3"/>
    <col min="8998" max="8998" width="4" style="3" customWidth="1"/>
    <col min="8999" max="8999" width="12.5703125" style="3" customWidth="1"/>
    <col min="9000" max="9000" width="30.85546875" style="3" customWidth="1"/>
    <col min="9001" max="9002" width="18.5703125" style="3" bestFit="1" customWidth="1"/>
    <col min="9003" max="9003" width="16.42578125" style="3" customWidth="1"/>
    <col min="9004" max="9007" width="15.7109375" style="3" customWidth="1"/>
    <col min="9008" max="9008" width="19.85546875" style="3" customWidth="1"/>
    <col min="9009" max="9009" width="18.5703125" style="3" customWidth="1"/>
    <col min="9010" max="9214" width="9.140625" style="3"/>
    <col min="9215" max="9215" width="3" style="3" customWidth="1"/>
    <col min="9216" max="9216" width="32.7109375" style="3" bestFit="1" customWidth="1"/>
    <col min="9217" max="9218" width="0" style="3" hidden="1" customWidth="1"/>
    <col min="9219" max="9219" width="19.7109375" style="3" customWidth="1"/>
    <col min="9220" max="9220" width="15.7109375" style="3" customWidth="1"/>
    <col min="9221" max="9221" width="13.85546875" style="3" customWidth="1"/>
    <col min="9222" max="9222" width="19.7109375" style="3" customWidth="1"/>
    <col min="9223" max="9223" width="15.28515625" style="3" customWidth="1"/>
    <col min="9224" max="9224" width="21.85546875" style="3" customWidth="1"/>
    <col min="9225" max="9225" width="11.85546875" style="3" customWidth="1"/>
    <col min="9226" max="9253" width="9.140625" style="3"/>
    <col min="9254" max="9254" width="4" style="3" customWidth="1"/>
    <col min="9255" max="9255" width="12.5703125" style="3" customWidth="1"/>
    <col min="9256" max="9256" width="30.85546875" style="3" customWidth="1"/>
    <col min="9257" max="9258" width="18.5703125" style="3" bestFit="1" customWidth="1"/>
    <col min="9259" max="9259" width="16.42578125" style="3" customWidth="1"/>
    <col min="9260" max="9263" width="15.7109375" style="3" customWidth="1"/>
    <col min="9264" max="9264" width="19.85546875" style="3" customWidth="1"/>
    <col min="9265" max="9265" width="18.5703125" style="3" customWidth="1"/>
    <col min="9266" max="9470" width="9.140625" style="3"/>
    <col min="9471" max="9471" width="3" style="3" customWidth="1"/>
    <col min="9472" max="9472" width="32.7109375" style="3" bestFit="1" customWidth="1"/>
    <col min="9473" max="9474" width="0" style="3" hidden="1" customWidth="1"/>
    <col min="9475" max="9475" width="19.7109375" style="3" customWidth="1"/>
    <col min="9476" max="9476" width="15.7109375" style="3" customWidth="1"/>
    <col min="9477" max="9477" width="13.85546875" style="3" customWidth="1"/>
    <col min="9478" max="9478" width="19.7109375" style="3" customWidth="1"/>
    <col min="9479" max="9479" width="15.28515625" style="3" customWidth="1"/>
    <col min="9480" max="9480" width="21.85546875" style="3" customWidth="1"/>
    <col min="9481" max="9481" width="11.85546875" style="3" customWidth="1"/>
    <col min="9482" max="9509" width="9.140625" style="3"/>
    <col min="9510" max="9510" width="4" style="3" customWidth="1"/>
    <col min="9511" max="9511" width="12.5703125" style="3" customWidth="1"/>
    <col min="9512" max="9512" width="30.85546875" style="3" customWidth="1"/>
    <col min="9513" max="9514" width="18.5703125" style="3" bestFit="1" customWidth="1"/>
    <col min="9515" max="9515" width="16.42578125" style="3" customWidth="1"/>
    <col min="9516" max="9519" width="15.7109375" style="3" customWidth="1"/>
    <col min="9520" max="9520" width="19.85546875" style="3" customWidth="1"/>
    <col min="9521" max="9521" width="18.5703125" style="3" customWidth="1"/>
    <col min="9522" max="9726" width="9.140625" style="3"/>
    <col min="9727" max="9727" width="3" style="3" customWidth="1"/>
    <col min="9728" max="9728" width="32.7109375" style="3" bestFit="1" customWidth="1"/>
    <col min="9729" max="9730" width="0" style="3" hidden="1" customWidth="1"/>
    <col min="9731" max="9731" width="19.7109375" style="3" customWidth="1"/>
    <col min="9732" max="9732" width="15.7109375" style="3" customWidth="1"/>
    <col min="9733" max="9733" width="13.85546875" style="3" customWidth="1"/>
    <col min="9734" max="9734" width="19.7109375" style="3" customWidth="1"/>
    <col min="9735" max="9735" width="15.28515625" style="3" customWidth="1"/>
    <col min="9736" max="9736" width="21.85546875" style="3" customWidth="1"/>
    <col min="9737" max="9737" width="11.85546875" style="3" customWidth="1"/>
    <col min="9738" max="9765" width="9.140625" style="3"/>
    <col min="9766" max="9766" width="4" style="3" customWidth="1"/>
    <col min="9767" max="9767" width="12.5703125" style="3" customWidth="1"/>
    <col min="9768" max="9768" width="30.85546875" style="3" customWidth="1"/>
    <col min="9769" max="9770" width="18.5703125" style="3" bestFit="1" customWidth="1"/>
    <col min="9771" max="9771" width="16.42578125" style="3" customWidth="1"/>
    <col min="9772" max="9775" width="15.7109375" style="3" customWidth="1"/>
    <col min="9776" max="9776" width="19.85546875" style="3" customWidth="1"/>
    <col min="9777" max="9777" width="18.5703125" style="3" customWidth="1"/>
    <col min="9778" max="9982" width="9.140625" style="3"/>
    <col min="9983" max="9983" width="3" style="3" customWidth="1"/>
    <col min="9984" max="9984" width="32.7109375" style="3" bestFit="1" customWidth="1"/>
    <col min="9985" max="9986" width="0" style="3" hidden="1" customWidth="1"/>
    <col min="9987" max="9987" width="19.7109375" style="3" customWidth="1"/>
    <col min="9988" max="9988" width="15.7109375" style="3" customWidth="1"/>
    <col min="9989" max="9989" width="13.85546875" style="3" customWidth="1"/>
    <col min="9990" max="9990" width="19.7109375" style="3" customWidth="1"/>
    <col min="9991" max="9991" width="15.28515625" style="3" customWidth="1"/>
    <col min="9992" max="9992" width="21.85546875" style="3" customWidth="1"/>
    <col min="9993" max="9993" width="11.85546875" style="3" customWidth="1"/>
    <col min="9994" max="10021" width="9.140625" style="3"/>
    <col min="10022" max="10022" width="4" style="3" customWidth="1"/>
    <col min="10023" max="10023" width="12.5703125" style="3" customWidth="1"/>
    <col min="10024" max="10024" width="30.85546875" style="3" customWidth="1"/>
    <col min="10025" max="10026" width="18.5703125" style="3" bestFit="1" customWidth="1"/>
    <col min="10027" max="10027" width="16.42578125" style="3" customWidth="1"/>
    <col min="10028" max="10031" width="15.7109375" style="3" customWidth="1"/>
    <col min="10032" max="10032" width="19.85546875" style="3" customWidth="1"/>
    <col min="10033" max="10033" width="18.5703125" style="3" customWidth="1"/>
    <col min="10034" max="10238" width="9.140625" style="3"/>
    <col min="10239" max="10239" width="3" style="3" customWidth="1"/>
    <col min="10240" max="10240" width="32.7109375" style="3" bestFit="1" customWidth="1"/>
    <col min="10241" max="10242" width="0" style="3" hidden="1" customWidth="1"/>
    <col min="10243" max="10243" width="19.7109375" style="3" customWidth="1"/>
    <col min="10244" max="10244" width="15.7109375" style="3" customWidth="1"/>
    <col min="10245" max="10245" width="13.85546875" style="3" customWidth="1"/>
    <col min="10246" max="10246" width="19.7109375" style="3" customWidth="1"/>
    <col min="10247" max="10247" width="15.28515625" style="3" customWidth="1"/>
    <col min="10248" max="10248" width="21.85546875" style="3" customWidth="1"/>
    <col min="10249" max="10249" width="11.85546875" style="3" customWidth="1"/>
    <col min="10250" max="10277" width="9.140625" style="3"/>
    <col min="10278" max="10278" width="4" style="3" customWidth="1"/>
    <col min="10279" max="10279" width="12.5703125" style="3" customWidth="1"/>
    <col min="10280" max="10280" width="30.85546875" style="3" customWidth="1"/>
    <col min="10281" max="10282" width="18.5703125" style="3" bestFit="1" customWidth="1"/>
    <col min="10283" max="10283" width="16.42578125" style="3" customWidth="1"/>
    <col min="10284" max="10287" width="15.7109375" style="3" customWidth="1"/>
    <col min="10288" max="10288" width="19.85546875" style="3" customWidth="1"/>
    <col min="10289" max="10289" width="18.5703125" style="3" customWidth="1"/>
    <col min="10290" max="10494" width="9.140625" style="3"/>
    <col min="10495" max="10495" width="3" style="3" customWidth="1"/>
    <col min="10496" max="10496" width="32.7109375" style="3" bestFit="1" customWidth="1"/>
    <col min="10497" max="10498" width="0" style="3" hidden="1" customWidth="1"/>
    <col min="10499" max="10499" width="19.7109375" style="3" customWidth="1"/>
    <col min="10500" max="10500" width="15.7109375" style="3" customWidth="1"/>
    <col min="10501" max="10501" width="13.85546875" style="3" customWidth="1"/>
    <col min="10502" max="10502" width="19.7109375" style="3" customWidth="1"/>
    <col min="10503" max="10503" width="15.28515625" style="3" customWidth="1"/>
    <col min="10504" max="10504" width="21.85546875" style="3" customWidth="1"/>
    <col min="10505" max="10505" width="11.85546875" style="3" customWidth="1"/>
    <col min="10506" max="10533" width="9.140625" style="3"/>
    <col min="10534" max="10534" width="4" style="3" customWidth="1"/>
    <col min="10535" max="10535" width="12.5703125" style="3" customWidth="1"/>
    <col min="10536" max="10536" width="30.85546875" style="3" customWidth="1"/>
    <col min="10537" max="10538" width="18.5703125" style="3" bestFit="1" customWidth="1"/>
    <col min="10539" max="10539" width="16.42578125" style="3" customWidth="1"/>
    <col min="10540" max="10543" width="15.7109375" style="3" customWidth="1"/>
    <col min="10544" max="10544" width="19.85546875" style="3" customWidth="1"/>
    <col min="10545" max="10545" width="18.5703125" style="3" customWidth="1"/>
    <col min="10546" max="10750" width="9.140625" style="3"/>
    <col min="10751" max="10751" width="3" style="3" customWidth="1"/>
    <col min="10752" max="10752" width="32.7109375" style="3" bestFit="1" customWidth="1"/>
    <col min="10753" max="10754" width="0" style="3" hidden="1" customWidth="1"/>
    <col min="10755" max="10755" width="19.7109375" style="3" customWidth="1"/>
    <col min="10756" max="10756" width="15.7109375" style="3" customWidth="1"/>
    <col min="10757" max="10757" width="13.85546875" style="3" customWidth="1"/>
    <col min="10758" max="10758" width="19.7109375" style="3" customWidth="1"/>
    <col min="10759" max="10759" width="15.28515625" style="3" customWidth="1"/>
    <col min="10760" max="10760" width="21.85546875" style="3" customWidth="1"/>
    <col min="10761" max="10761" width="11.85546875" style="3" customWidth="1"/>
    <col min="10762" max="10789" width="9.140625" style="3"/>
    <col min="10790" max="10790" width="4" style="3" customWidth="1"/>
    <col min="10791" max="10791" width="12.5703125" style="3" customWidth="1"/>
    <col min="10792" max="10792" width="30.85546875" style="3" customWidth="1"/>
    <col min="10793" max="10794" width="18.5703125" style="3" bestFit="1" customWidth="1"/>
    <col min="10795" max="10795" width="16.42578125" style="3" customWidth="1"/>
    <col min="10796" max="10799" width="15.7109375" style="3" customWidth="1"/>
    <col min="10800" max="10800" width="19.85546875" style="3" customWidth="1"/>
    <col min="10801" max="10801" width="18.5703125" style="3" customWidth="1"/>
    <col min="10802" max="11006" width="9.140625" style="3"/>
    <col min="11007" max="11007" width="3" style="3" customWidth="1"/>
    <col min="11008" max="11008" width="32.7109375" style="3" bestFit="1" customWidth="1"/>
    <col min="11009" max="11010" width="0" style="3" hidden="1" customWidth="1"/>
    <col min="11011" max="11011" width="19.7109375" style="3" customWidth="1"/>
    <col min="11012" max="11012" width="15.7109375" style="3" customWidth="1"/>
    <col min="11013" max="11013" width="13.85546875" style="3" customWidth="1"/>
    <col min="11014" max="11014" width="19.7109375" style="3" customWidth="1"/>
    <col min="11015" max="11015" width="15.28515625" style="3" customWidth="1"/>
    <col min="11016" max="11016" width="21.85546875" style="3" customWidth="1"/>
    <col min="11017" max="11017" width="11.85546875" style="3" customWidth="1"/>
    <col min="11018" max="11045" width="9.140625" style="3"/>
    <col min="11046" max="11046" width="4" style="3" customWidth="1"/>
    <col min="11047" max="11047" width="12.5703125" style="3" customWidth="1"/>
    <col min="11048" max="11048" width="30.85546875" style="3" customWidth="1"/>
    <col min="11049" max="11050" width="18.5703125" style="3" bestFit="1" customWidth="1"/>
    <col min="11051" max="11051" width="16.42578125" style="3" customWidth="1"/>
    <col min="11052" max="11055" width="15.7109375" style="3" customWidth="1"/>
    <col min="11056" max="11056" width="19.85546875" style="3" customWidth="1"/>
    <col min="11057" max="11057" width="18.5703125" style="3" customWidth="1"/>
    <col min="11058" max="11262" width="9.140625" style="3"/>
    <col min="11263" max="11263" width="3" style="3" customWidth="1"/>
    <col min="11264" max="11264" width="32.7109375" style="3" bestFit="1" customWidth="1"/>
    <col min="11265" max="11266" width="0" style="3" hidden="1" customWidth="1"/>
    <col min="11267" max="11267" width="19.7109375" style="3" customWidth="1"/>
    <col min="11268" max="11268" width="15.7109375" style="3" customWidth="1"/>
    <col min="11269" max="11269" width="13.85546875" style="3" customWidth="1"/>
    <col min="11270" max="11270" width="19.7109375" style="3" customWidth="1"/>
    <col min="11271" max="11271" width="15.28515625" style="3" customWidth="1"/>
    <col min="11272" max="11272" width="21.85546875" style="3" customWidth="1"/>
    <col min="11273" max="11273" width="11.85546875" style="3" customWidth="1"/>
    <col min="11274" max="11301" width="9.140625" style="3"/>
    <col min="11302" max="11302" width="4" style="3" customWidth="1"/>
    <col min="11303" max="11303" width="12.5703125" style="3" customWidth="1"/>
    <col min="11304" max="11304" width="30.85546875" style="3" customWidth="1"/>
    <col min="11305" max="11306" width="18.5703125" style="3" bestFit="1" customWidth="1"/>
    <col min="11307" max="11307" width="16.42578125" style="3" customWidth="1"/>
    <col min="11308" max="11311" width="15.7109375" style="3" customWidth="1"/>
    <col min="11312" max="11312" width="19.85546875" style="3" customWidth="1"/>
    <col min="11313" max="11313" width="18.5703125" style="3" customWidth="1"/>
    <col min="11314" max="11518" width="9.140625" style="3"/>
    <col min="11519" max="11519" width="3" style="3" customWidth="1"/>
    <col min="11520" max="11520" width="32.7109375" style="3" bestFit="1" customWidth="1"/>
    <col min="11521" max="11522" width="0" style="3" hidden="1" customWidth="1"/>
    <col min="11523" max="11523" width="19.7109375" style="3" customWidth="1"/>
    <col min="11524" max="11524" width="15.7109375" style="3" customWidth="1"/>
    <col min="11525" max="11525" width="13.85546875" style="3" customWidth="1"/>
    <col min="11526" max="11526" width="19.7109375" style="3" customWidth="1"/>
    <col min="11527" max="11527" width="15.28515625" style="3" customWidth="1"/>
    <col min="11528" max="11528" width="21.85546875" style="3" customWidth="1"/>
    <col min="11529" max="11529" width="11.85546875" style="3" customWidth="1"/>
    <col min="11530" max="11557" width="9.140625" style="3"/>
    <col min="11558" max="11558" width="4" style="3" customWidth="1"/>
    <col min="11559" max="11559" width="12.5703125" style="3" customWidth="1"/>
    <col min="11560" max="11560" width="30.85546875" style="3" customWidth="1"/>
    <col min="11561" max="11562" width="18.5703125" style="3" bestFit="1" customWidth="1"/>
    <col min="11563" max="11563" width="16.42578125" style="3" customWidth="1"/>
    <col min="11564" max="11567" width="15.7109375" style="3" customWidth="1"/>
    <col min="11568" max="11568" width="19.85546875" style="3" customWidth="1"/>
    <col min="11569" max="11569" width="18.5703125" style="3" customWidth="1"/>
    <col min="11570" max="11774" width="9.140625" style="3"/>
    <col min="11775" max="11775" width="3" style="3" customWidth="1"/>
    <col min="11776" max="11776" width="32.7109375" style="3" bestFit="1" customWidth="1"/>
    <col min="11777" max="11778" width="0" style="3" hidden="1" customWidth="1"/>
    <col min="11779" max="11779" width="19.7109375" style="3" customWidth="1"/>
    <col min="11780" max="11780" width="15.7109375" style="3" customWidth="1"/>
    <col min="11781" max="11781" width="13.85546875" style="3" customWidth="1"/>
    <col min="11782" max="11782" width="19.7109375" style="3" customWidth="1"/>
    <col min="11783" max="11783" width="15.28515625" style="3" customWidth="1"/>
    <col min="11784" max="11784" width="21.85546875" style="3" customWidth="1"/>
    <col min="11785" max="11785" width="11.85546875" style="3" customWidth="1"/>
    <col min="11786" max="11813" width="9.140625" style="3"/>
    <col min="11814" max="11814" width="4" style="3" customWidth="1"/>
    <col min="11815" max="11815" width="12.5703125" style="3" customWidth="1"/>
    <col min="11816" max="11816" width="30.85546875" style="3" customWidth="1"/>
    <col min="11817" max="11818" width="18.5703125" style="3" bestFit="1" customWidth="1"/>
    <col min="11819" max="11819" width="16.42578125" style="3" customWidth="1"/>
    <col min="11820" max="11823" width="15.7109375" style="3" customWidth="1"/>
    <col min="11824" max="11824" width="19.85546875" style="3" customWidth="1"/>
    <col min="11825" max="11825" width="18.5703125" style="3" customWidth="1"/>
    <col min="11826" max="12030" width="9.140625" style="3"/>
    <col min="12031" max="12031" width="3" style="3" customWidth="1"/>
    <col min="12032" max="12032" width="32.7109375" style="3" bestFit="1" customWidth="1"/>
    <col min="12033" max="12034" width="0" style="3" hidden="1" customWidth="1"/>
    <col min="12035" max="12035" width="19.7109375" style="3" customWidth="1"/>
    <col min="12036" max="12036" width="15.7109375" style="3" customWidth="1"/>
    <col min="12037" max="12037" width="13.85546875" style="3" customWidth="1"/>
    <col min="12038" max="12038" width="19.7109375" style="3" customWidth="1"/>
    <col min="12039" max="12039" width="15.28515625" style="3" customWidth="1"/>
    <col min="12040" max="12040" width="21.85546875" style="3" customWidth="1"/>
    <col min="12041" max="12041" width="11.85546875" style="3" customWidth="1"/>
    <col min="12042" max="12069" width="9.140625" style="3"/>
    <col min="12070" max="12070" width="4" style="3" customWidth="1"/>
    <col min="12071" max="12071" width="12.5703125" style="3" customWidth="1"/>
    <col min="12072" max="12072" width="30.85546875" style="3" customWidth="1"/>
    <col min="12073" max="12074" width="18.5703125" style="3" bestFit="1" customWidth="1"/>
    <col min="12075" max="12075" width="16.42578125" style="3" customWidth="1"/>
    <col min="12076" max="12079" width="15.7109375" style="3" customWidth="1"/>
    <col min="12080" max="12080" width="19.85546875" style="3" customWidth="1"/>
    <col min="12081" max="12081" width="18.5703125" style="3" customWidth="1"/>
    <col min="12082" max="12286" width="9.140625" style="3"/>
    <col min="12287" max="12287" width="3" style="3" customWidth="1"/>
    <col min="12288" max="12288" width="32.7109375" style="3" bestFit="1" customWidth="1"/>
    <col min="12289" max="12290" width="0" style="3" hidden="1" customWidth="1"/>
    <col min="12291" max="12291" width="19.7109375" style="3" customWidth="1"/>
    <col min="12292" max="12292" width="15.7109375" style="3" customWidth="1"/>
    <col min="12293" max="12293" width="13.85546875" style="3" customWidth="1"/>
    <col min="12294" max="12294" width="19.7109375" style="3" customWidth="1"/>
    <col min="12295" max="12295" width="15.28515625" style="3" customWidth="1"/>
    <col min="12296" max="12296" width="21.85546875" style="3" customWidth="1"/>
    <col min="12297" max="12297" width="11.85546875" style="3" customWidth="1"/>
    <col min="12298" max="12325" width="9.140625" style="3"/>
    <col min="12326" max="12326" width="4" style="3" customWidth="1"/>
    <col min="12327" max="12327" width="12.5703125" style="3" customWidth="1"/>
    <col min="12328" max="12328" width="30.85546875" style="3" customWidth="1"/>
    <col min="12329" max="12330" width="18.5703125" style="3" bestFit="1" customWidth="1"/>
    <col min="12331" max="12331" width="16.42578125" style="3" customWidth="1"/>
    <col min="12332" max="12335" width="15.7109375" style="3" customWidth="1"/>
    <col min="12336" max="12336" width="19.85546875" style="3" customWidth="1"/>
    <col min="12337" max="12337" width="18.5703125" style="3" customWidth="1"/>
    <col min="12338" max="12542" width="9.140625" style="3"/>
    <col min="12543" max="12543" width="3" style="3" customWidth="1"/>
    <col min="12544" max="12544" width="32.7109375" style="3" bestFit="1" customWidth="1"/>
    <col min="12545" max="12546" width="0" style="3" hidden="1" customWidth="1"/>
    <col min="12547" max="12547" width="19.7109375" style="3" customWidth="1"/>
    <col min="12548" max="12548" width="15.7109375" style="3" customWidth="1"/>
    <col min="12549" max="12549" width="13.85546875" style="3" customWidth="1"/>
    <col min="12550" max="12550" width="19.7109375" style="3" customWidth="1"/>
    <col min="12551" max="12551" width="15.28515625" style="3" customWidth="1"/>
    <col min="12552" max="12552" width="21.85546875" style="3" customWidth="1"/>
    <col min="12553" max="12553" width="11.85546875" style="3" customWidth="1"/>
    <col min="12554" max="12581" width="9.140625" style="3"/>
    <col min="12582" max="12582" width="4" style="3" customWidth="1"/>
    <col min="12583" max="12583" width="12.5703125" style="3" customWidth="1"/>
    <col min="12584" max="12584" width="30.85546875" style="3" customWidth="1"/>
    <col min="12585" max="12586" width="18.5703125" style="3" bestFit="1" customWidth="1"/>
    <col min="12587" max="12587" width="16.42578125" style="3" customWidth="1"/>
    <col min="12588" max="12591" width="15.7109375" style="3" customWidth="1"/>
    <col min="12592" max="12592" width="19.85546875" style="3" customWidth="1"/>
    <col min="12593" max="12593" width="18.5703125" style="3" customWidth="1"/>
    <col min="12594" max="12798" width="9.140625" style="3"/>
    <col min="12799" max="12799" width="3" style="3" customWidth="1"/>
    <col min="12800" max="12800" width="32.7109375" style="3" bestFit="1" customWidth="1"/>
    <col min="12801" max="12802" width="0" style="3" hidden="1" customWidth="1"/>
    <col min="12803" max="12803" width="19.7109375" style="3" customWidth="1"/>
    <col min="12804" max="12804" width="15.7109375" style="3" customWidth="1"/>
    <col min="12805" max="12805" width="13.85546875" style="3" customWidth="1"/>
    <col min="12806" max="12806" width="19.7109375" style="3" customWidth="1"/>
    <col min="12807" max="12807" width="15.28515625" style="3" customWidth="1"/>
    <col min="12808" max="12808" width="21.85546875" style="3" customWidth="1"/>
    <col min="12809" max="12809" width="11.85546875" style="3" customWidth="1"/>
    <col min="12810" max="12837" width="9.140625" style="3"/>
    <col min="12838" max="12838" width="4" style="3" customWidth="1"/>
    <col min="12839" max="12839" width="12.5703125" style="3" customWidth="1"/>
    <col min="12840" max="12840" width="30.85546875" style="3" customWidth="1"/>
    <col min="12841" max="12842" width="18.5703125" style="3" bestFit="1" customWidth="1"/>
    <col min="12843" max="12843" width="16.42578125" style="3" customWidth="1"/>
    <col min="12844" max="12847" width="15.7109375" style="3" customWidth="1"/>
    <col min="12848" max="12848" width="19.85546875" style="3" customWidth="1"/>
    <col min="12849" max="12849" width="18.5703125" style="3" customWidth="1"/>
    <col min="12850" max="13054" width="9.140625" style="3"/>
    <col min="13055" max="13055" width="3" style="3" customWidth="1"/>
    <col min="13056" max="13056" width="32.7109375" style="3" bestFit="1" customWidth="1"/>
    <col min="13057" max="13058" width="0" style="3" hidden="1" customWidth="1"/>
    <col min="13059" max="13059" width="19.7109375" style="3" customWidth="1"/>
    <col min="13060" max="13060" width="15.7109375" style="3" customWidth="1"/>
    <col min="13061" max="13061" width="13.85546875" style="3" customWidth="1"/>
    <col min="13062" max="13062" width="19.7109375" style="3" customWidth="1"/>
    <col min="13063" max="13063" width="15.28515625" style="3" customWidth="1"/>
    <col min="13064" max="13064" width="21.85546875" style="3" customWidth="1"/>
    <col min="13065" max="13065" width="11.85546875" style="3" customWidth="1"/>
    <col min="13066" max="13093" width="9.140625" style="3"/>
    <col min="13094" max="13094" width="4" style="3" customWidth="1"/>
    <col min="13095" max="13095" width="12.5703125" style="3" customWidth="1"/>
    <col min="13096" max="13096" width="30.85546875" style="3" customWidth="1"/>
    <col min="13097" max="13098" width="18.5703125" style="3" bestFit="1" customWidth="1"/>
    <col min="13099" max="13099" width="16.42578125" style="3" customWidth="1"/>
    <col min="13100" max="13103" width="15.7109375" style="3" customWidth="1"/>
    <col min="13104" max="13104" width="19.85546875" style="3" customWidth="1"/>
    <col min="13105" max="13105" width="18.5703125" style="3" customWidth="1"/>
    <col min="13106" max="13310" width="9.140625" style="3"/>
    <col min="13311" max="13311" width="3" style="3" customWidth="1"/>
    <col min="13312" max="13312" width="32.7109375" style="3" bestFit="1" customWidth="1"/>
    <col min="13313" max="13314" width="0" style="3" hidden="1" customWidth="1"/>
    <col min="13315" max="13315" width="19.7109375" style="3" customWidth="1"/>
    <col min="13316" max="13316" width="15.7109375" style="3" customWidth="1"/>
    <col min="13317" max="13317" width="13.85546875" style="3" customWidth="1"/>
    <col min="13318" max="13318" width="19.7109375" style="3" customWidth="1"/>
    <col min="13319" max="13319" width="15.28515625" style="3" customWidth="1"/>
    <col min="13320" max="13320" width="21.85546875" style="3" customWidth="1"/>
    <col min="13321" max="13321" width="11.85546875" style="3" customWidth="1"/>
    <col min="13322" max="13349" width="9.140625" style="3"/>
    <col min="13350" max="13350" width="4" style="3" customWidth="1"/>
    <col min="13351" max="13351" width="12.5703125" style="3" customWidth="1"/>
    <col min="13352" max="13352" width="30.85546875" style="3" customWidth="1"/>
    <col min="13353" max="13354" width="18.5703125" style="3" bestFit="1" customWidth="1"/>
    <col min="13355" max="13355" width="16.42578125" style="3" customWidth="1"/>
    <col min="13356" max="13359" width="15.7109375" style="3" customWidth="1"/>
    <col min="13360" max="13360" width="19.85546875" style="3" customWidth="1"/>
    <col min="13361" max="13361" width="18.5703125" style="3" customWidth="1"/>
    <col min="13362" max="13566" width="9.140625" style="3"/>
    <col min="13567" max="13567" width="3" style="3" customWidth="1"/>
    <col min="13568" max="13568" width="32.7109375" style="3" bestFit="1" customWidth="1"/>
    <col min="13569" max="13570" width="0" style="3" hidden="1" customWidth="1"/>
    <col min="13571" max="13571" width="19.7109375" style="3" customWidth="1"/>
    <col min="13572" max="13572" width="15.7109375" style="3" customWidth="1"/>
    <col min="13573" max="13573" width="13.85546875" style="3" customWidth="1"/>
    <col min="13574" max="13574" width="19.7109375" style="3" customWidth="1"/>
    <col min="13575" max="13575" width="15.28515625" style="3" customWidth="1"/>
    <col min="13576" max="13576" width="21.85546875" style="3" customWidth="1"/>
    <col min="13577" max="13577" width="11.85546875" style="3" customWidth="1"/>
    <col min="13578" max="13605" width="9.140625" style="3"/>
    <col min="13606" max="13606" width="4" style="3" customWidth="1"/>
    <col min="13607" max="13607" width="12.5703125" style="3" customWidth="1"/>
    <col min="13608" max="13608" width="30.85546875" style="3" customWidth="1"/>
    <col min="13609" max="13610" width="18.5703125" style="3" bestFit="1" customWidth="1"/>
    <col min="13611" max="13611" width="16.42578125" style="3" customWidth="1"/>
    <col min="13612" max="13615" width="15.7109375" style="3" customWidth="1"/>
    <col min="13616" max="13616" width="19.85546875" style="3" customWidth="1"/>
    <col min="13617" max="13617" width="18.5703125" style="3" customWidth="1"/>
    <col min="13618" max="13822" width="9.140625" style="3"/>
    <col min="13823" max="13823" width="3" style="3" customWidth="1"/>
    <col min="13824" max="13824" width="32.7109375" style="3" bestFit="1" customWidth="1"/>
    <col min="13825" max="13826" width="0" style="3" hidden="1" customWidth="1"/>
    <col min="13827" max="13827" width="19.7109375" style="3" customWidth="1"/>
    <col min="13828" max="13828" width="15.7109375" style="3" customWidth="1"/>
    <col min="13829" max="13829" width="13.85546875" style="3" customWidth="1"/>
    <col min="13830" max="13830" width="19.7109375" style="3" customWidth="1"/>
    <col min="13831" max="13831" width="15.28515625" style="3" customWidth="1"/>
    <col min="13832" max="13832" width="21.85546875" style="3" customWidth="1"/>
    <col min="13833" max="13833" width="11.85546875" style="3" customWidth="1"/>
    <col min="13834" max="13861" width="9.140625" style="3"/>
    <col min="13862" max="13862" width="4" style="3" customWidth="1"/>
    <col min="13863" max="13863" width="12.5703125" style="3" customWidth="1"/>
    <col min="13864" max="13864" width="30.85546875" style="3" customWidth="1"/>
    <col min="13865" max="13866" width="18.5703125" style="3" bestFit="1" customWidth="1"/>
    <col min="13867" max="13867" width="16.42578125" style="3" customWidth="1"/>
    <col min="13868" max="13871" width="15.7109375" style="3" customWidth="1"/>
    <col min="13872" max="13872" width="19.85546875" style="3" customWidth="1"/>
    <col min="13873" max="13873" width="18.5703125" style="3" customWidth="1"/>
    <col min="13874" max="14078" width="9.140625" style="3"/>
    <col min="14079" max="14079" width="3" style="3" customWidth="1"/>
    <col min="14080" max="14080" width="32.7109375" style="3" bestFit="1" customWidth="1"/>
    <col min="14081" max="14082" width="0" style="3" hidden="1" customWidth="1"/>
    <col min="14083" max="14083" width="19.7109375" style="3" customWidth="1"/>
    <col min="14084" max="14084" width="15.7109375" style="3" customWidth="1"/>
    <col min="14085" max="14085" width="13.85546875" style="3" customWidth="1"/>
    <col min="14086" max="14086" width="19.7109375" style="3" customWidth="1"/>
    <col min="14087" max="14087" width="15.28515625" style="3" customWidth="1"/>
    <col min="14088" max="14088" width="21.85546875" style="3" customWidth="1"/>
    <col min="14089" max="14089" width="11.85546875" style="3" customWidth="1"/>
    <col min="14090" max="14117" width="9.140625" style="3"/>
    <col min="14118" max="14118" width="4" style="3" customWidth="1"/>
    <col min="14119" max="14119" width="12.5703125" style="3" customWidth="1"/>
    <col min="14120" max="14120" width="30.85546875" style="3" customWidth="1"/>
    <col min="14121" max="14122" width="18.5703125" style="3" bestFit="1" customWidth="1"/>
    <col min="14123" max="14123" width="16.42578125" style="3" customWidth="1"/>
    <col min="14124" max="14127" width="15.7109375" style="3" customWidth="1"/>
    <col min="14128" max="14128" width="19.85546875" style="3" customWidth="1"/>
    <col min="14129" max="14129" width="18.5703125" style="3" customWidth="1"/>
    <col min="14130" max="14334" width="9.140625" style="3"/>
    <col min="14335" max="14335" width="3" style="3" customWidth="1"/>
    <col min="14336" max="14336" width="32.7109375" style="3" bestFit="1" customWidth="1"/>
    <col min="14337" max="14338" width="0" style="3" hidden="1" customWidth="1"/>
    <col min="14339" max="14339" width="19.7109375" style="3" customWidth="1"/>
    <col min="14340" max="14340" width="15.7109375" style="3" customWidth="1"/>
    <col min="14341" max="14341" width="13.85546875" style="3" customWidth="1"/>
    <col min="14342" max="14342" width="19.7109375" style="3" customWidth="1"/>
    <col min="14343" max="14343" width="15.28515625" style="3" customWidth="1"/>
    <col min="14344" max="14344" width="21.85546875" style="3" customWidth="1"/>
    <col min="14345" max="14345" width="11.85546875" style="3" customWidth="1"/>
    <col min="14346" max="14373" width="9.140625" style="3"/>
    <col min="14374" max="14374" width="4" style="3" customWidth="1"/>
    <col min="14375" max="14375" width="12.5703125" style="3" customWidth="1"/>
    <col min="14376" max="14376" width="30.85546875" style="3" customWidth="1"/>
    <col min="14377" max="14378" width="18.5703125" style="3" bestFit="1" customWidth="1"/>
    <col min="14379" max="14379" width="16.42578125" style="3" customWidth="1"/>
    <col min="14380" max="14383" width="15.7109375" style="3" customWidth="1"/>
    <col min="14384" max="14384" width="19.85546875" style="3" customWidth="1"/>
    <col min="14385" max="14385" width="18.5703125" style="3" customWidth="1"/>
    <col min="14386" max="14590" width="9.140625" style="3"/>
    <col min="14591" max="14591" width="3" style="3" customWidth="1"/>
    <col min="14592" max="14592" width="32.7109375" style="3" bestFit="1" customWidth="1"/>
    <col min="14593" max="14594" width="0" style="3" hidden="1" customWidth="1"/>
    <col min="14595" max="14595" width="19.7109375" style="3" customWidth="1"/>
    <col min="14596" max="14596" width="15.7109375" style="3" customWidth="1"/>
    <col min="14597" max="14597" width="13.85546875" style="3" customWidth="1"/>
    <col min="14598" max="14598" width="19.7109375" style="3" customWidth="1"/>
    <col min="14599" max="14599" width="15.28515625" style="3" customWidth="1"/>
    <col min="14600" max="14600" width="21.85546875" style="3" customWidth="1"/>
    <col min="14601" max="14601" width="11.85546875" style="3" customWidth="1"/>
    <col min="14602" max="14629" width="9.140625" style="3"/>
    <col min="14630" max="14630" width="4" style="3" customWidth="1"/>
    <col min="14631" max="14631" width="12.5703125" style="3" customWidth="1"/>
    <col min="14632" max="14632" width="30.85546875" style="3" customWidth="1"/>
    <col min="14633" max="14634" width="18.5703125" style="3" bestFit="1" customWidth="1"/>
    <col min="14635" max="14635" width="16.42578125" style="3" customWidth="1"/>
    <col min="14636" max="14639" width="15.7109375" style="3" customWidth="1"/>
    <col min="14640" max="14640" width="19.85546875" style="3" customWidth="1"/>
    <col min="14641" max="14641" width="18.5703125" style="3" customWidth="1"/>
    <col min="14642" max="14846" width="9.140625" style="3"/>
    <col min="14847" max="14847" width="3" style="3" customWidth="1"/>
    <col min="14848" max="14848" width="32.7109375" style="3" bestFit="1" customWidth="1"/>
    <col min="14849" max="14850" width="0" style="3" hidden="1" customWidth="1"/>
    <col min="14851" max="14851" width="19.7109375" style="3" customWidth="1"/>
    <col min="14852" max="14852" width="15.7109375" style="3" customWidth="1"/>
    <col min="14853" max="14853" width="13.85546875" style="3" customWidth="1"/>
    <col min="14854" max="14854" width="19.7109375" style="3" customWidth="1"/>
    <col min="14855" max="14855" width="15.28515625" style="3" customWidth="1"/>
    <col min="14856" max="14856" width="21.85546875" style="3" customWidth="1"/>
    <col min="14857" max="14857" width="11.85546875" style="3" customWidth="1"/>
    <col min="14858" max="14885" width="9.140625" style="3"/>
    <col min="14886" max="14886" width="4" style="3" customWidth="1"/>
    <col min="14887" max="14887" width="12.5703125" style="3" customWidth="1"/>
    <col min="14888" max="14888" width="30.85546875" style="3" customWidth="1"/>
    <col min="14889" max="14890" width="18.5703125" style="3" bestFit="1" customWidth="1"/>
    <col min="14891" max="14891" width="16.42578125" style="3" customWidth="1"/>
    <col min="14892" max="14895" width="15.7109375" style="3" customWidth="1"/>
    <col min="14896" max="14896" width="19.85546875" style="3" customWidth="1"/>
    <col min="14897" max="14897" width="18.5703125" style="3" customWidth="1"/>
    <col min="14898" max="15102" width="9.140625" style="3"/>
    <col min="15103" max="15103" width="3" style="3" customWidth="1"/>
    <col min="15104" max="15104" width="32.7109375" style="3" bestFit="1" customWidth="1"/>
    <col min="15105" max="15106" width="0" style="3" hidden="1" customWidth="1"/>
    <col min="15107" max="15107" width="19.7109375" style="3" customWidth="1"/>
    <col min="15108" max="15108" width="15.7109375" style="3" customWidth="1"/>
    <col min="15109" max="15109" width="13.85546875" style="3" customWidth="1"/>
    <col min="15110" max="15110" width="19.7109375" style="3" customWidth="1"/>
    <col min="15111" max="15111" width="15.28515625" style="3" customWidth="1"/>
    <col min="15112" max="15112" width="21.85546875" style="3" customWidth="1"/>
    <col min="15113" max="15113" width="11.85546875" style="3" customWidth="1"/>
    <col min="15114" max="15141" width="9.140625" style="3"/>
    <col min="15142" max="15142" width="4" style="3" customWidth="1"/>
    <col min="15143" max="15143" width="12.5703125" style="3" customWidth="1"/>
    <col min="15144" max="15144" width="30.85546875" style="3" customWidth="1"/>
    <col min="15145" max="15146" width="18.5703125" style="3" bestFit="1" customWidth="1"/>
    <col min="15147" max="15147" width="16.42578125" style="3" customWidth="1"/>
    <col min="15148" max="15151" width="15.7109375" style="3" customWidth="1"/>
    <col min="15152" max="15152" width="19.85546875" style="3" customWidth="1"/>
    <col min="15153" max="15153" width="18.5703125" style="3" customWidth="1"/>
    <col min="15154" max="15358" width="9.140625" style="3"/>
    <col min="15359" max="15359" width="3" style="3" customWidth="1"/>
    <col min="15360" max="15360" width="32.7109375" style="3" bestFit="1" customWidth="1"/>
    <col min="15361" max="15362" width="0" style="3" hidden="1" customWidth="1"/>
    <col min="15363" max="15363" width="19.7109375" style="3" customWidth="1"/>
    <col min="15364" max="15364" width="15.7109375" style="3" customWidth="1"/>
    <col min="15365" max="15365" width="13.85546875" style="3" customWidth="1"/>
    <col min="15366" max="15366" width="19.7109375" style="3" customWidth="1"/>
    <col min="15367" max="15367" width="15.28515625" style="3" customWidth="1"/>
    <col min="15368" max="15368" width="21.85546875" style="3" customWidth="1"/>
    <col min="15369" max="15369" width="11.85546875" style="3" customWidth="1"/>
    <col min="15370" max="15397" width="9.140625" style="3"/>
    <col min="15398" max="15398" width="4" style="3" customWidth="1"/>
    <col min="15399" max="15399" width="12.5703125" style="3" customWidth="1"/>
    <col min="15400" max="15400" width="30.85546875" style="3" customWidth="1"/>
    <col min="15401" max="15402" width="18.5703125" style="3" bestFit="1" customWidth="1"/>
    <col min="15403" max="15403" width="16.42578125" style="3" customWidth="1"/>
    <col min="15404" max="15407" width="15.7109375" style="3" customWidth="1"/>
    <col min="15408" max="15408" width="19.85546875" style="3" customWidth="1"/>
    <col min="15409" max="15409" width="18.5703125" style="3" customWidth="1"/>
    <col min="15410" max="15614" width="9.140625" style="3"/>
    <col min="15615" max="15615" width="3" style="3" customWidth="1"/>
    <col min="15616" max="15616" width="32.7109375" style="3" bestFit="1" customWidth="1"/>
    <col min="15617" max="15618" width="0" style="3" hidden="1" customWidth="1"/>
    <col min="15619" max="15619" width="19.7109375" style="3" customWidth="1"/>
    <col min="15620" max="15620" width="15.7109375" style="3" customWidth="1"/>
    <col min="15621" max="15621" width="13.85546875" style="3" customWidth="1"/>
    <col min="15622" max="15622" width="19.7109375" style="3" customWidth="1"/>
    <col min="15623" max="15623" width="15.28515625" style="3" customWidth="1"/>
    <col min="15624" max="15624" width="21.85546875" style="3" customWidth="1"/>
    <col min="15625" max="15625" width="11.85546875" style="3" customWidth="1"/>
    <col min="15626" max="15653" width="9.140625" style="3"/>
    <col min="15654" max="15654" width="4" style="3" customWidth="1"/>
    <col min="15655" max="15655" width="12.5703125" style="3" customWidth="1"/>
    <col min="15656" max="15656" width="30.85546875" style="3" customWidth="1"/>
    <col min="15657" max="15658" width="18.5703125" style="3" bestFit="1" customWidth="1"/>
    <col min="15659" max="15659" width="16.42578125" style="3" customWidth="1"/>
    <col min="15660" max="15663" width="15.7109375" style="3" customWidth="1"/>
    <col min="15664" max="15664" width="19.85546875" style="3" customWidth="1"/>
    <col min="15665" max="15665" width="18.5703125" style="3" customWidth="1"/>
    <col min="15666" max="15870" width="9.140625" style="3"/>
    <col min="15871" max="15871" width="3" style="3" customWidth="1"/>
    <col min="15872" max="15872" width="32.7109375" style="3" bestFit="1" customWidth="1"/>
    <col min="15873" max="15874" width="0" style="3" hidden="1" customWidth="1"/>
    <col min="15875" max="15875" width="19.7109375" style="3" customWidth="1"/>
    <col min="15876" max="15876" width="15.7109375" style="3" customWidth="1"/>
    <col min="15877" max="15877" width="13.85546875" style="3" customWidth="1"/>
    <col min="15878" max="15878" width="19.7109375" style="3" customWidth="1"/>
    <col min="15879" max="15879" width="15.28515625" style="3" customWidth="1"/>
    <col min="15880" max="15880" width="21.85546875" style="3" customWidth="1"/>
    <col min="15881" max="15881" width="11.85546875" style="3" customWidth="1"/>
    <col min="15882" max="15909" width="9.140625" style="3"/>
    <col min="15910" max="15910" width="4" style="3" customWidth="1"/>
    <col min="15911" max="15911" width="12.5703125" style="3" customWidth="1"/>
    <col min="15912" max="15912" width="30.85546875" style="3" customWidth="1"/>
    <col min="15913" max="15914" width="18.5703125" style="3" bestFit="1" customWidth="1"/>
    <col min="15915" max="15915" width="16.42578125" style="3" customWidth="1"/>
    <col min="15916" max="15919" width="15.7109375" style="3" customWidth="1"/>
    <col min="15920" max="15920" width="19.85546875" style="3" customWidth="1"/>
    <col min="15921" max="15921" width="18.5703125" style="3" customWidth="1"/>
    <col min="15922" max="16126" width="9.140625" style="3"/>
    <col min="16127" max="16127" width="3" style="3" customWidth="1"/>
    <col min="16128" max="16128" width="32.7109375" style="3" bestFit="1" customWidth="1"/>
    <col min="16129" max="16130" width="0" style="3" hidden="1" customWidth="1"/>
    <col min="16131" max="16131" width="19.7109375" style="3" customWidth="1"/>
    <col min="16132" max="16132" width="15.7109375" style="3" customWidth="1"/>
    <col min="16133" max="16133" width="13.85546875" style="3" customWidth="1"/>
    <col min="16134" max="16134" width="19.7109375" style="3" customWidth="1"/>
    <col min="16135" max="16135" width="15.28515625" style="3" customWidth="1"/>
    <col min="16136" max="16136" width="21.85546875" style="3" customWidth="1"/>
    <col min="16137" max="16137" width="11.85546875" style="3" customWidth="1"/>
    <col min="16138" max="16165" width="9.140625" style="3"/>
    <col min="16166" max="16166" width="4" style="3" customWidth="1"/>
    <col min="16167" max="16167" width="12.5703125" style="3" customWidth="1"/>
    <col min="16168" max="16168" width="30.85546875" style="3" customWidth="1"/>
    <col min="16169" max="16170" width="18.5703125" style="3" bestFit="1" customWidth="1"/>
    <col min="16171" max="16171" width="16.42578125" style="3" customWidth="1"/>
    <col min="16172" max="16175" width="15.7109375" style="3" customWidth="1"/>
    <col min="16176" max="16176" width="19.85546875" style="3" customWidth="1"/>
    <col min="16177" max="16177" width="18.5703125" style="3" customWidth="1"/>
    <col min="16178" max="16384" width="9.140625" style="3"/>
  </cols>
  <sheetData>
    <row r="1" spans="1:133">
      <c r="A1" s="801"/>
      <c r="B1" s="801"/>
      <c r="C1" s="801"/>
      <c r="D1" s="801"/>
      <c r="E1" s="801"/>
      <c r="F1" s="801"/>
      <c r="G1" s="801"/>
      <c r="H1" s="801"/>
      <c r="I1" s="801"/>
    </row>
    <row r="2" spans="1:133" ht="30">
      <c r="A2" s="4"/>
      <c r="B2" s="5" t="s">
        <v>17</v>
      </c>
      <c r="C2" s="6" t="s">
        <v>18</v>
      </c>
      <c r="D2" s="6" t="s">
        <v>19</v>
      </c>
      <c r="E2" s="6" t="s">
        <v>20</v>
      </c>
      <c r="F2" s="6" t="s">
        <v>21</v>
      </c>
      <c r="G2" s="6" t="s">
        <v>15</v>
      </c>
      <c r="H2" s="6" t="s">
        <v>22</v>
      </c>
      <c r="I2" s="6" t="s">
        <v>16</v>
      </c>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row>
    <row r="3" spans="1:133">
      <c r="A3" s="8">
        <v>1</v>
      </c>
      <c r="B3" s="172" t="s">
        <v>23</v>
      </c>
      <c r="C3" s="170">
        <v>30</v>
      </c>
      <c r="D3" s="174">
        <v>500</v>
      </c>
      <c r="E3" s="10">
        <f>IFERROR(VLOOKUP(B3,საქმიანობა!$AE$59:$AF$74,2,0),0)</f>
        <v>0</v>
      </c>
      <c r="F3" s="11">
        <v>0.3</v>
      </c>
      <c r="G3" s="9">
        <f t="shared" ref="G3:G79" si="0">C3*D3*E3</f>
        <v>0</v>
      </c>
      <c r="H3" s="9">
        <f t="shared" ref="H3:H79" si="1">C3*E3*D3*F3</f>
        <v>0</v>
      </c>
      <c r="I3" s="9">
        <f t="shared" ref="I3:I79" si="2">G3-H3</f>
        <v>0</v>
      </c>
    </row>
    <row r="4" spans="1:133">
      <c r="A4" s="8">
        <v>2</v>
      </c>
      <c r="B4" s="172" t="s">
        <v>386</v>
      </c>
      <c r="C4" s="170">
        <v>10</v>
      </c>
      <c r="D4" s="174">
        <v>2000</v>
      </c>
      <c r="E4" s="10">
        <f>IFERROR(VLOOKUP(B4,საქმიანობა!$AE$59:$AF$74,2,0),0)</f>
        <v>0</v>
      </c>
      <c r="F4" s="11">
        <v>0.3</v>
      </c>
      <c r="G4" s="9">
        <f>C4*D4*E4</f>
        <v>0</v>
      </c>
      <c r="H4" s="9">
        <f>C4*E4*D4*F4</f>
        <v>0</v>
      </c>
      <c r="I4" s="9">
        <f>G4-H4</f>
        <v>0</v>
      </c>
    </row>
    <row r="5" spans="1:133">
      <c r="A5" s="8">
        <v>3</v>
      </c>
      <c r="B5" s="172" t="s">
        <v>91</v>
      </c>
      <c r="C5" s="170">
        <v>20</v>
      </c>
      <c r="D5" s="174">
        <v>600</v>
      </c>
      <c r="E5" s="10">
        <f>IFERROR(VLOOKUP(B5,საქმიანობა!$AE$59:$AF$74,2,0),0)</f>
        <v>0</v>
      </c>
      <c r="F5" s="11">
        <v>0.35</v>
      </c>
      <c r="G5" s="9">
        <f t="shared" si="0"/>
        <v>0</v>
      </c>
      <c r="H5" s="9">
        <f t="shared" si="1"/>
        <v>0</v>
      </c>
      <c r="I5" s="9">
        <f t="shared" si="2"/>
        <v>0</v>
      </c>
    </row>
    <row r="6" spans="1:133">
      <c r="A6" s="8">
        <v>4</v>
      </c>
      <c r="B6" s="172" t="s">
        <v>387</v>
      </c>
      <c r="C6" s="170">
        <v>100</v>
      </c>
      <c r="D6" s="174">
        <v>800</v>
      </c>
      <c r="E6" s="10">
        <f>IFERROR(VLOOKUP(B6,საქმიანობა!$AE$59:$AF$74,2,0),0)</f>
        <v>0</v>
      </c>
      <c r="F6" s="11">
        <v>0.5</v>
      </c>
      <c r="G6" s="9">
        <f>C6*D6*E6</f>
        <v>0</v>
      </c>
      <c r="H6" s="9">
        <f>C6*E6*D6*F6</f>
        <v>0</v>
      </c>
      <c r="I6" s="9">
        <f>G6-H6</f>
        <v>0</v>
      </c>
    </row>
    <row r="7" spans="1:133">
      <c r="A7" s="8">
        <v>5</v>
      </c>
      <c r="B7" s="172" t="s">
        <v>388</v>
      </c>
      <c r="C7" s="170">
        <v>100</v>
      </c>
      <c r="D7" s="174">
        <v>1000</v>
      </c>
      <c r="E7" s="10">
        <f>IFERROR(VLOOKUP(B7,საქმიანობა!$AE$59:$AF$74,2,0),0)</f>
        <v>0</v>
      </c>
      <c r="F7" s="11">
        <v>0.4</v>
      </c>
      <c r="G7" s="9">
        <f>C7*D7*E7</f>
        <v>0</v>
      </c>
      <c r="H7" s="9">
        <f>C7*E7*D7*F7</f>
        <v>0</v>
      </c>
      <c r="I7" s="9">
        <f>G7-H7</f>
        <v>0</v>
      </c>
    </row>
    <row r="8" spans="1:133">
      <c r="A8" s="8">
        <v>6</v>
      </c>
      <c r="B8" s="172" t="s">
        <v>389</v>
      </c>
      <c r="C8" s="170">
        <v>20</v>
      </c>
      <c r="D8" s="174">
        <v>600</v>
      </c>
      <c r="E8" s="10">
        <f>IFERROR(VLOOKUP(B8,საქმიანობა!$AE$59:$AF$74,2,0),0)</f>
        <v>0</v>
      </c>
      <c r="F8" s="11">
        <v>0.3</v>
      </c>
      <c r="G8" s="9">
        <f>C8*D8*E8</f>
        <v>0</v>
      </c>
      <c r="H8" s="9">
        <f>C8*E8*D8*F8</f>
        <v>0</v>
      </c>
      <c r="I8" s="9">
        <f>G8-H8</f>
        <v>0</v>
      </c>
    </row>
    <row r="9" spans="1:133">
      <c r="A9" s="8">
        <v>7</v>
      </c>
      <c r="B9" s="172" t="s">
        <v>390</v>
      </c>
      <c r="C9" s="170">
        <v>1.5</v>
      </c>
      <c r="D9" s="174">
        <v>16000</v>
      </c>
      <c r="E9" s="10">
        <f>IFERROR(VLOOKUP(B9,საქმიანობა!$AE$59:$AF$74,2,0),0)</f>
        <v>0</v>
      </c>
      <c r="F9" s="11">
        <v>0.2</v>
      </c>
      <c r="G9" s="9">
        <f>C9*D9*E9</f>
        <v>0</v>
      </c>
      <c r="H9" s="9">
        <f>C9*E9*D9*F9</f>
        <v>0</v>
      </c>
      <c r="I9" s="9">
        <f>G9-H9</f>
        <v>0</v>
      </c>
    </row>
    <row r="10" spans="1:133">
      <c r="A10" s="8">
        <v>8</v>
      </c>
      <c r="B10" s="172" t="s">
        <v>24</v>
      </c>
      <c r="C10" s="170">
        <v>450</v>
      </c>
      <c r="D10" s="174">
        <v>4</v>
      </c>
      <c r="E10" s="10">
        <f>IFERROR(VLOOKUP(B10,საქმიანობა!$AE$59:$AF$74,2,0),0)</f>
        <v>0</v>
      </c>
      <c r="F10" s="11">
        <v>0.5</v>
      </c>
      <c r="G10" s="9">
        <f t="shared" si="0"/>
        <v>0</v>
      </c>
      <c r="H10" s="9">
        <f t="shared" si="1"/>
        <v>0</v>
      </c>
      <c r="I10" s="9">
        <f t="shared" si="2"/>
        <v>0</v>
      </c>
    </row>
    <row r="11" spans="1:133">
      <c r="A11" s="8">
        <v>9</v>
      </c>
      <c r="B11" s="172" t="s">
        <v>25</v>
      </c>
      <c r="C11" s="170">
        <v>20</v>
      </c>
      <c r="D11" s="174">
        <v>450</v>
      </c>
      <c r="E11" s="10">
        <f>IFERROR(VLOOKUP(B11,საქმიანობა!$AE$59:$AF$74,2,0),0)</f>
        <v>0</v>
      </c>
      <c r="F11" s="11">
        <v>0.45</v>
      </c>
      <c r="G11" s="9">
        <f t="shared" si="0"/>
        <v>0</v>
      </c>
      <c r="H11" s="9">
        <f t="shared" si="1"/>
        <v>0</v>
      </c>
      <c r="I11" s="9">
        <f t="shared" si="2"/>
        <v>0</v>
      </c>
    </row>
    <row r="12" spans="1:133">
      <c r="A12" s="8">
        <v>10</v>
      </c>
      <c r="B12" s="172" t="s">
        <v>136</v>
      </c>
      <c r="C12" s="170">
        <v>15</v>
      </c>
      <c r="D12" s="174">
        <v>1500</v>
      </c>
      <c r="E12" s="10">
        <f>IFERROR(VLOOKUP(B12,საქმიანობა!$AE$59:$AF$74,2,0),0)</f>
        <v>0</v>
      </c>
      <c r="F12" s="11">
        <v>0.5</v>
      </c>
      <c r="G12" s="9">
        <f t="shared" si="0"/>
        <v>0</v>
      </c>
      <c r="H12" s="9">
        <f t="shared" si="1"/>
        <v>0</v>
      </c>
      <c r="I12" s="9">
        <f t="shared" si="2"/>
        <v>0</v>
      </c>
    </row>
    <row r="13" spans="1:133">
      <c r="A13" s="8">
        <v>11</v>
      </c>
      <c r="B13" s="172" t="s">
        <v>26</v>
      </c>
      <c r="C13" s="170">
        <v>25</v>
      </c>
      <c r="D13" s="174">
        <v>500</v>
      </c>
      <c r="E13" s="10">
        <f>IFERROR(VLOOKUP(B13,საქმიანობა!$AE$59:$AF$74,2,0),0)</f>
        <v>0</v>
      </c>
      <c r="F13" s="11">
        <v>0.4</v>
      </c>
      <c r="G13" s="9">
        <f t="shared" si="0"/>
        <v>0</v>
      </c>
      <c r="H13" s="9">
        <f t="shared" si="1"/>
        <v>0</v>
      </c>
      <c r="I13" s="9">
        <f t="shared" si="2"/>
        <v>0</v>
      </c>
    </row>
    <row r="14" spans="1:133">
      <c r="A14" s="8">
        <v>12</v>
      </c>
      <c r="B14" s="172" t="s">
        <v>137</v>
      </c>
      <c r="C14" s="170">
        <v>100</v>
      </c>
      <c r="D14" s="174">
        <v>700</v>
      </c>
      <c r="E14" s="10">
        <f>IFERROR(VLOOKUP(B14,საქმიანობა!$AE$59:$AF$74,2,0),0)</f>
        <v>0</v>
      </c>
      <c r="F14" s="12">
        <v>0.4</v>
      </c>
      <c r="G14" s="9">
        <f t="shared" si="0"/>
        <v>0</v>
      </c>
      <c r="H14" s="9">
        <f t="shared" si="1"/>
        <v>0</v>
      </c>
      <c r="I14" s="9">
        <f t="shared" si="2"/>
        <v>0</v>
      </c>
    </row>
    <row r="15" spans="1:133">
      <c r="A15" s="8">
        <v>13</v>
      </c>
      <c r="B15" s="172" t="s">
        <v>27</v>
      </c>
      <c r="C15" s="170">
        <v>50</v>
      </c>
      <c r="D15" s="174">
        <v>200</v>
      </c>
      <c r="E15" s="10">
        <f>IFERROR(VLOOKUP(B15,საქმიანობა!$AE$59:$AF$74,2,0),0)</f>
        <v>0</v>
      </c>
      <c r="F15" s="12">
        <v>0.4</v>
      </c>
      <c r="G15" s="9">
        <f t="shared" si="0"/>
        <v>0</v>
      </c>
      <c r="H15" s="9">
        <f t="shared" si="1"/>
        <v>0</v>
      </c>
      <c r="I15" s="9">
        <f t="shared" si="2"/>
        <v>0</v>
      </c>
    </row>
    <row r="16" spans="1:133">
      <c r="A16" s="8">
        <v>14</v>
      </c>
      <c r="B16" s="172" t="s">
        <v>138</v>
      </c>
      <c r="C16" s="170">
        <v>35</v>
      </c>
      <c r="D16" s="174">
        <v>300</v>
      </c>
      <c r="E16" s="10">
        <f>IFERROR(VLOOKUP(B16,საქმიანობა!$AE$59:$AF$74,2,0),0)</f>
        <v>0</v>
      </c>
      <c r="F16" s="11">
        <v>0.4</v>
      </c>
      <c r="G16" s="9">
        <f t="shared" si="0"/>
        <v>0</v>
      </c>
      <c r="H16" s="9">
        <f t="shared" si="1"/>
        <v>0</v>
      </c>
      <c r="I16" s="9">
        <f t="shared" si="2"/>
        <v>0</v>
      </c>
    </row>
    <row r="17" spans="1:9">
      <c r="A17" s="8">
        <v>15</v>
      </c>
      <c r="B17" s="172" t="s">
        <v>28</v>
      </c>
      <c r="C17" s="170">
        <v>1</v>
      </c>
      <c r="D17" s="174">
        <v>3000</v>
      </c>
      <c r="E17" s="10">
        <f>IFERROR(VLOOKUP(B17,საქმიანობა!$AE$59:$AF$74,2,0),0)</f>
        <v>0.3</v>
      </c>
      <c r="F17" s="11">
        <v>0.3</v>
      </c>
      <c r="G17" s="9">
        <f t="shared" si="0"/>
        <v>900</v>
      </c>
      <c r="H17" s="9">
        <f t="shared" si="1"/>
        <v>270</v>
      </c>
      <c r="I17" s="9">
        <f t="shared" si="2"/>
        <v>630</v>
      </c>
    </row>
    <row r="18" spans="1:9">
      <c r="A18" s="8">
        <v>16</v>
      </c>
      <c r="B18" s="172" t="s">
        <v>29</v>
      </c>
      <c r="C18" s="170">
        <v>20</v>
      </c>
      <c r="D18" s="174">
        <v>500</v>
      </c>
      <c r="E18" s="10">
        <f>IFERROR(VLOOKUP(B18,საქმიანობა!$AE$59:$AF$74,2,0),0)</f>
        <v>0</v>
      </c>
      <c r="F18" s="11">
        <v>0.2</v>
      </c>
      <c r="G18" s="9">
        <f t="shared" si="0"/>
        <v>0</v>
      </c>
      <c r="H18" s="9">
        <f t="shared" si="1"/>
        <v>0</v>
      </c>
      <c r="I18" s="9">
        <f t="shared" si="2"/>
        <v>0</v>
      </c>
    </row>
    <row r="19" spans="1:9">
      <c r="A19" s="8">
        <v>17</v>
      </c>
      <c r="B19" s="172" t="s">
        <v>30</v>
      </c>
      <c r="C19" s="170">
        <v>7</v>
      </c>
      <c r="D19" s="174">
        <v>2000</v>
      </c>
      <c r="E19" s="10">
        <f>IFERROR(VLOOKUP(B19,საქმიანობა!$AE$59:$AF$74,2,0),0)</f>
        <v>0</v>
      </c>
      <c r="F19" s="11">
        <v>0.4</v>
      </c>
      <c r="G19" s="9">
        <f t="shared" si="0"/>
        <v>0</v>
      </c>
      <c r="H19" s="9">
        <f t="shared" si="1"/>
        <v>0</v>
      </c>
      <c r="I19" s="9">
        <f t="shared" si="2"/>
        <v>0</v>
      </c>
    </row>
    <row r="20" spans="1:9">
      <c r="A20" s="8">
        <v>18</v>
      </c>
      <c r="B20" s="172" t="s">
        <v>391</v>
      </c>
      <c r="C20" s="170">
        <v>5</v>
      </c>
      <c r="D20" s="174">
        <v>2000</v>
      </c>
      <c r="E20" s="10">
        <f>IFERROR(VLOOKUP(B20,საქმიანობა!$AE$59:$AF$74,2,0),0)</f>
        <v>0</v>
      </c>
      <c r="F20" s="11">
        <v>0.2</v>
      </c>
      <c r="G20" s="9">
        <f>C20*D20*E20</f>
        <v>0</v>
      </c>
      <c r="H20" s="9">
        <f>C20*E20*D20*F20</f>
        <v>0</v>
      </c>
      <c r="I20" s="9">
        <f>G20-H20</f>
        <v>0</v>
      </c>
    </row>
    <row r="21" spans="1:9">
      <c r="A21" s="8">
        <v>19</v>
      </c>
      <c r="B21" s="172" t="s">
        <v>31</v>
      </c>
      <c r="C21" s="170">
        <v>1.7</v>
      </c>
      <c r="D21" s="174">
        <v>1000</v>
      </c>
      <c r="E21" s="10">
        <f>IFERROR(VLOOKUP(B21,საქმიანობა!$AE$59:$AF$74,2,0),0)</f>
        <v>0</v>
      </c>
      <c r="F21" s="11">
        <v>0.5</v>
      </c>
      <c r="G21" s="9">
        <f t="shared" si="0"/>
        <v>0</v>
      </c>
      <c r="H21" s="9">
        <f t="shared" si="1"/>
        <v>0</v>
      </c>
      <c r="I21" s="9">
        <f t="shared" si="2"/>
        <v>0</v>
      </c>
    </row>
    <row r="22" spans="1:9">
      <c r="A22" s="8">
        <v>20</v>
      </c>
      <c r="B22" s="173" t="s">
        <v>32</v>
      </c>
      <c r="C22" s="170">
        <v>40</v>
      </c>
      <c r="D22" s="174">
        <v>3000</v>
      </c>
      <c r="E22" s="10">
        <f>IFERROR(VLOOKUP(B22,საქმიანობა!$AE$59:$AF$74,2,0),0)</f>
        <v>0</v>
      </c>
      <c r="F22" s="11">
        <v>0.5</v>
      </c>
      <c r="G22" s="9">
        <f t="shared" si="0"/>
        <v>0</v>
      </c>
      <c r="H22" s="9">
        <f t="shared" si="1"/>
        <v>0</v>
      </c>
      <c r="I22" s="9">
        <f t="shared" si="2"/>
        <v>0</v>
      </c>
    </row>
    <row r="23" spans="1:9">
      <c r="A23" s="8">
        <v>21</v>
      </c>
      <c r="B23" s="173" t="s">
        <v>393</v>
      </c>
      <c r="C23" s="170">
        <v>20</v>
      </c>
      <c r="D23" s="174">
        <v>3000</v>
      </c>
      <c r="E23" s="10">
        <f>IFERROR(VLOOKUP(B23,საქმიანობა!$AE$59:$AF$74,2,0),0)</f>
        <v>0</v>
      </c>
      <c r="F23" s="11">
        <v>0.3</v>
      </c>
      <c r="G23" s="9">
        <f>C23*D23*E23</f>
        <v>0</v>
      </c>
      <c r="H23" s="9">
        <f>C23*E23*D23*F23</f>
        <v>0</v>
      </c>
      <c r="I23" s="9">
        <f>G23-H23</f>
        <v>0</v>
      </c>
    </row>
    <row r="24" spans="1:9">
      <c r="A24" s="8">
        <v>22</v>
      </c>
      <c r="B24" s="173" t="s">
        <v>33</v>
      </c>
      <c r="C24" s="170">
        <v>20</v>
      </c>
      <c r="D24" s="174">
        <v>400</v>
      </c>
      <c r="E24" s="10">
        <f>IFERROR(VLOOKUP(B24,საქმიანობა!$AE$59:$AF$74,2,0),0)</f>
        <v>0</v>
      </c>
      <c r="F24" s="11">
        <v>0.35</v>
      </c>
      <c r="G24" s="9">
        <f t="shared" si="0"/>
        <v>0</v>
      </c>
      <c r="H24" s="9">
        <f t="shared" si="1"/>
        <v>0</v>
      </c>
      <c r="I24" s="9">
        <f t="shared" si="2"/>
        <v>0</v>
      </c>
    </row>
    <row r="25" spans="1:9">
      <c r="A25" s="8">
        <v>23</v>
      </c>
      <c r="B25" s="172" t="s">
        <v>34</v>
      </c>
      <c r="C25" s="170">
        <v>7</v>
      </c>
      <c r="D25" s="174">
        <v>1500</v>
      </c>
      <c r="E25" s="10">
        <f>IFERROR(VLOOKUP(B25,საქმიანობა!$AE$59:$AF$74,2,0),0)</f>
        <v>0</v>
      </c>
      <c r="F25" s="12">
        <v>0.6</v>
      </c>
      <c r="G25" s="9">
        <f t="shared" si="0"/>
        <v>0</v>
      </c>
      <c r="H25" s="9">
        <f t="shared" si="1"/>
        <v>0</v>
      </c>
      <c r="I25" s="9">
        <f t="shared" si="2"/>
        <v>0</v>
      </c>
    </row>
    <row r="26" spans="1:9">
      <c r="A26" s="8">
        <v>24</v>
      </c>
      <c r="B26" s="172" t="s">
        <v>35</v>
      </c>
      <c r="C26" s="170">
        <v>30</v>
      </c>
      <c r="D26" s="174">
        <v>450</v>
      </c>
      <c r="E26" s="10">
        <f>IFERROR(VLOOKUP(B26,საქმიანობა!$AE$59:$AF$74,2,0),0)</f>
        <v>0</v>
      </c>
      <c r="F26" s="11">
        <v>0.6</v>
      </c>
      <c r="G26" s="9">
        <f t="shared" si="0"/>
        <v>0</v>
      </c>
      <c r="H26" s="9">
        <f t="shared" si="1"/>
        <v>0</v>
      </c>
      <c r="I26" s="9">
        <f t="shared" si="2"/>
        <v>0</v>
      </c>
    </row>
    <row r="27" spans="1:9">
      <c r="A27" s="8">
        <v>25</v>
      </c>
      <c r="B27" s="172" t="s">
        <v>139</v>
      </c>
      <c r="C27" s="170">
        <v>80</v>
      </c>
      <c r="D27" s="174">
        <v>450</v>
      </c>
      <c r="E27" s="10">
        <f>IFERROR(VLOOKUP(B27,საქმიანობა!$AE$59:$AF$74,2,0),0)</f>
        <v>0</v>
      </c>
      <c r="F27" s="11">
        <v>0.45</v>
      </c>
      <c r="G27" s="9">
        <f t="shared" si="0"/>
        <v>0</v>
      </c>
      <c r="H27" s="9">
        <f t="shared" si="1"/>
        <v>0</v>
      </c>
      <c r="I27" s="9">
        <f t="shared" si="2"/>
        <v>0</v>
      </c>
    </row>
    <row r="28" spans="1:9">
      <c r="A28" s="8">
        <v>26</v>
      </c>
      <c r="B28" s="172" t="s">
        <v>36</v>
      </c>
      <c r="C28" s="170">
        <v>35</v>
      </c>
      <c r="D28" s="174">
        <v>150</v>
      </c>
      <c r="E28" s="10">
        <f>IFERROR(VLOOKUP(B28,საქმიანობა!$AE$59:$AF$74,2,0),0)</f>
        <v>0</v>
      </c>
      <c r="F28" s="11">
        <v>0.6</v>
      </c>
      <c r="G28" s="9">
        <f t="shared" si="0"/>
        <v>0</v>
      </c>
      <c r="H28" s="9">
        <f t="shared" si="1"/>
        <v>0</v>
      </c>
      <c r="I28" s="9">
        <f t="shared" si="2"/>
        <v>0</v>
      </c>
    </row>
    <row r="29" spans="1:9">
      <c r="A29" s="8">
        <v>27</v>
      </c>
      <c r="B29" s="172" t="s">
        <v>37</v>
      </c>
      <c r="C29" s="170">
        <v>6</v>
      </c>
      <c r="D29" s="174">
        <v>450</v>
      </c>
      <c r="E29" s="10">
        <f>IFERROR(VLOOKUP(B29,საქმიანობა!$AE$59:$AF$74,2,0),0)</f>
        <v>0</v>
      </c>
      <c r="F29" s="11">
        <v>0.65</v>
      </c>
      <c r="G29" s="9">
        <f t="shared" si="0"/>
        <v>0</v>
      </c>
      <c r="H29" s="9">
        <f t="shared" si="1"/>
        <v>0</v>
      </c>
      <c r="I29" s="9">
        <f t="shared" si="2"/>
        <v>0</v>
      </c>
    </row>
    <row r="30" spans="1:9">
      <c r="A30" s="8">
        <v>28</v>
      </c>
      <c r="B30" s="172" t="s">
        <v>140</v>
      </c>
      <c r="C30" s="170">
        <v>4</v>
      </c>
      <c r="D30" s="174">
        <v>500</v>
      </c>
      <c r="E30" s="10">
        <f>IFERROR(VLOOKUP(B30,საქმიანობა!$AE$59:$AF$74,2,0),0)</f>
        <v>1</v>
      </c>
      <c r="F30" s="11">
        <v>0.65</v>
      </c>
      <c r="G30" s="9">
        <f t="shared" si="0"/>
        <v>2000</v>
      </c>
      <c r="H30" s="9">
        <f t="shared" si="1"/>
        <v>1300</v>
      </c>
      <c r="I30" s="9">
        <f t="shared" si="2"/>
        <v>700</v>
      </c>
    </row>
    <row r="31" spans="1:9">
      <c r="A31" s="8">
        <v>29</v>
      </c>
      <c r="B31" s="172" t="s">
        <v>38</v>
      </c>
      <c r="C31" s="170">
        <v>2.5</v>
      </c>
      <c r="D31" s="174">
        <v>1000</v>
      </c>
      <c r="E31" s="10">
        <f>IFERROR(VLOOKUP(B31,საქმიანობა!$AE$59:$AF$74,2,0),0)</f>
        <v>0.3</v>
      </c>
      <c r="F31" s="11">
        <v>0.5</v>
      </c>
      <c r="G31" s="9">
        <f t="shared" si="0"/>
        <v>750</v>
      </c>
      <c r="H31" s="9">
        <f t="shared" si="1"/>
        <v>375</v>
      </c>
      <c r="I31" s="9">
        <f t="shared" si="2"/>
        <v>375</v>
      </c>
    </row>
    <row r="32" spans="1:9">
      <c r="A32" s="8">
        <v>30</v>
      </c>
      <c r="B32" s="172" t="s">
        <v>39</v>
      </c>
      <c r="C32" s="170">
        <v>25</v>
      </c>
      <c r="D32" s="174">
        <v>600</v>
      </c>
      <c r="E32" s="10">
        <f>IFERROR(VLOOKUP(B32,საქმიანობა!$AE$59:$AF$74,2,0),0)</f>
        <v>0</v>
      </c>
      <c r="F32" s="11">
        <v>0.45</v>
      </c>
      <c r="G32" s="9">
        <f t="shared" si="0"/>
        <v>0</v>
      </c>
      <c r="H32" s="9">
        <f t="shared" si="1"/>
        <v>0</v>
      </c>
      <c r="I32" s="9">
        <f t="shared" si="2"/>
        <v>0</v>
      </c>
    </row>
    <row r="33" spans="1:9">
      <c r="A33" s="8">
        <v>31</v>
      </c>
      <c r="B33" s="172" t="s">
        <v>40</v>
      </c>
      <c r="C33" s="170">
        <v>2.2000000000000002</v>
      </c>
      <c r="D33" s="174">
        <v>500</v>
      </c>
      <c r="E33" s="10">
        <f>IFERROR(VLOOKUP(B33,საქმიანობა!$AE$59:$AF$74,2,0),0)</f>
        <v>0</v>
      </c>
      <c r="F33" s="11">
        <v>0.6</v>
      </c>
      <c r="G33" s="9">
        <f t="shared" si="0"/>
        <v>0</v>
      </c>
      <c r="H33" s="9">
        <f t="shared" si="1"/>
        <v>0</v>
      </c>
      <c r="I33" s="9">
        <f t="shared" si="2"/>
        <v>0</v>
      </c>
    </row>
    <row r="34" spans="1:9">
      <c r="A34" s="8">
        <v>32</v>
      </c>
      <c r="B34" s="172" t="s">
        <v>41</v>
      </c>
      <c r="C34" s="170">
        <v>2.2000000000000002</v>
      </c>
      <c r="D34" s="174">
        <v>500</v>
      </c>
      <c r="E34" s="10">
        <f>IFERROR(VLOOKUP(B34,საქმიანობა!$AE$59:$AF$74,2,0),0)</f>
        <v>0</v>
      </c>
      <c r="F34" s="11">
        <v>0.7</v>
      </c>
      <c r="G34" s="9">
        <f t="shared" si="0"/>
        <v>0</v>
      </c>
      <c r="H34" s="9">
        <f t="shared" si="1"/>
        <v>0</v>
      </c>
      <c r="I34" s="9">
        <f t="shared" si="2"/>
        <v>0</v>
      </c>
    </row>
    <row r="35" spans="1:9">
      <c r="A35" s="8">
        <v>33</v>
      </c>
      <c r="B35" s="172" t="s">
        <v>42</v>
      </c>
      <c r="C35" s="170">
        <v>20</v>
      </c>
      <c r="D35" s="174">
        <v>3000</v>
      </c>
      <c r="E35" s="10">
        <f>IFERROR(VLOOKUP(B35,საქმიანობა!$AE$59:$AF$74,2,0),0)</f>
        <v>0</v>
      </c>
      <c r="F35" s="11">
        <v>0.55000000000000004</v>
      </c>
      <c r="G35" s="9">
        <f t="shared" si="0"/>
        <v>0</v>
      </c>
      <c r="H35" s="9">
        <f t="shared" si="1"/>
        <v>0</v>
      </c>
      <c r="I35" s="9">
        <f t="shared" si="2"/>
        <v>0</v>
      </c>
    </row>
    <row r="36" spans="1:9">
      <c r="A36" s="8">
        <v>34</v>
      </c>
      <c r="B36" s="172" t="s">
        <v>43</v>
      </c>
      <c r="C36" s="170">
        <v>25</v>
      </c>
      <c r="D36" s="174">
        <v>500</v>
      </c>
      <c r="E36" s="10">
        <f>IFERROR(VLOOKUP(B36,საქმიანობა!$AE$59:$AF$74,2,0),0)</f>
        <v>0</v>
      </c>
      <c r="F36" s="11">
        <v>0.3</v>
      </c>
      <c r="G36" s="9">
        <f t="shared" si="0"/>
        <v>0</v>
      </c>
      <c r="H36" s="9">
        <f t="shared" si="1"/>
        <v>0</v>
      </c>
      <c r="I36" s="9">
        <f t="shared" si="2"/>
        <v>0</v>
      </c>
    </row>
    <row r="37" spans="1:9">
      <c r="A37" s="8">
        <v>35</v>
      </c>
      <c r="B37" s="172" t="s">
        <v>44</v>
      </c>
      <c r="C37" s="170">
        <v>40</v>
      </c>
      <c r="D37" s="174">
        <v>350</v>
      </c>
      <c r="E37" s="10">
        <f>IFERROR(VLOOKUP(B37,საქმიანობა!$AE$59:$AF$74,2,0),0)</f>
        <v>0</v>
      </c>
      <c r="F37" s="11">
        <v>0.5</v>
      </c>
      <c r="G37" s="9">
        <f t="shared" si="0"/>
        <v>0</v>
      </c>
      <c r="H37" s="9">
        <f t="shared" si="1"/>
        <v>0</v>
      </c>
      <c r="I37" s="9">
        <f t="shared" si="2"/>
        <v>0</v>
      </c>
    </row>
    <row r="38" spans="1:9">
      <c r="A38" s="8">
        <v>36</v>
      </c>
      <c r="B38" s="172" t="s">
        <v>397</v>
      </c>
      <c r="C38" s="170">
        <v>2.1</v>
      </c>
      <c r="D38" s="174">
        <v>650</v>
      </c>
      <c r="E38" s="10">
        <f>IFERROR(VLOOKUP(B38,საქმიანობა!$AE$59:$AF$74,2,0),0)</f>
        <v>0</v>
      </c>
      <c r="F38" s="11">
        <v>0.4</v>
      </c>
      <c r="G38" s="9">
        <f>C38*D38*E38</f>
        <v>0</v>
      </c>
      <c r="H38" s="9">
        <f>C38*E38*D38*F38</f>
        <v>0</v>
      </c>
      <c r="I38" s="9">
        <f>G38-H38</f>
        <v>0</v>
      </c>
    </row>
    <row r="39" spans="1:9">
      <c r="A39" s="8">
        <v>37</v>
      </c>
      <c r="B39" s="172" t="s">
        <v>45</v>
      </c>
      <c r="C39" s="170">
        <v>30</v>
      </c>
      <c r="D39" s="174">
        <v>400</v>
      </c>
      <c r="E39" s="10">
        <f>IFERROR(VLOOKUP(B39,საქმიანობა!$AE$59:$AF$74,2,0),0)</f>
        <v>0</v>
      </c>
      <c r="F39" s="11">
        <v>0.55000000000000004</v>
      </c>
      <c r="G39" s="9">
        <f t="shared" si="0"/>
        <v>0</v>
      </c>
      <c r="H39" s="9">
        <f t="shared" si="1"/>
        <v>0</v>
      </c>
      <c r="I39" s="9">
        <f t="shared" si="2"/>
        <v>0</v>
      </c>
    </row>
    <row r="40" spans="1:9">
      <c r="A40" s="8">
        <v>38</v>
      </c>
      <c r="B40" s="172" t="s">
        <v>46</v>
      </c>
      <c r="C40" s="170">
        <v>3</v>
      </c>
      <c r="D40" s="174">
        <v>400</v>
      </c>
      <c r="E40" s="10">
        <f>IFERROR(VLOOKUP(B40,საქმიანობა!$AE$59:$AF$74,2,0),0)</f>
        <v>0</v>
      </c>
      <c r="F40" s="11">
        <v>0.65</v>
      </c>
      <c r="G40" s="9">
        <f t="shared" si="0"/>
        <v>0</v>
      </c>
      <c r="H40" s="9">
        <f t="shared" si="1"/>
        <v>0</v>
      </c>
      <c r="I40" s="9">
        <f t="shared" si="2"/>
        <v>0</v>
      </c>
    </row>
    <row r="41" spans="1:9">
      <c r="A41" s="8">
        <v>39</v>
      </c>
      <c r="B41" s="172" t="s">
        <v>48</v>
      </c>
      <c r="C41" s="170">
        <v>15</v>
      </c>
      <c r="D41" s="174">
        <v>600</v>
      </c>
      <c r="E41" s="10">
        <f>IFERROR(VLOOKUP(B41,საქმიანობა!$AE$59:$AF$74,2,0),0)</f>
        <v>0</v>
      </c>
      <c r="F41" s="11">
        <v>0.25</v>
      </c>
      <c r="G41" s="9">
        <f t="shared" si="0"/>
        <v>0</v>
      </c>
      <c r="H41" s="9">
        <f t="shared" si="1"/>
        <v>0</v>
      </c>
      <c r="I41" s="9">
        <f t="shared" si="2"/>
        <v>0</v>
      </c>
    </row>
    <row r="42" spans="1:9">
      <c r="A42" s="8">
        <v>40</v>
      </c>
      <c r="B42" s="172" t="s">
        <v>47</v>
      </c>
      <c r="C42" s="170">
        <v>20</v>
      </c>
      <c r="D42" s="174">
        <v>400</v>
      </c>
      <c r="E42" s="10">
        <f>IFERROR(VLOOKUP(B42,საქმიანობა!$AE$59:$AF$74,2,0),0)</f>
        <v>0</v>
      </c>
      <c r="F42" s="11">
        <v>0.3</v>
      </c>
      <c r="G42" s="9">
        <f t="shared" si="0"/>
        <v>0</v>
      </c>
      <c r="H42" s="9">
        <f t="shared" si="1"/>
        <v>0</v>
      </c>
      <c r="I42" s="9">
        <f t="shared" si="2"/>
        <v>0</v>
      </c>
    </row>
    <row r="43" spans="1:9">
      <c r="A43" s="8">
        <v>41</v>
      </c>
      <c r="B43" s="172" t="s">
        <v>49</v>
      </c>
      <c r="C43" s="170">
        <v>10</v>
      </c>
      <c r="D43" s="174">
        <v>1300</v>
      </c>
      <c r="E43" s="10">
        <f>IFERROR(VLOOKUP(B43,საქმიანობა!$AE$59:$AF$74,2,0),0)</f>
        <v>0</v>
      </c>
      <c r="F43" s="11">
        <v>0.15</v>
      </c>
      <c r="G43" s="9">
        <f t="shared" si="0"/>
        <v>0</v>
      </c>
      <c r="H43" s="9">
        <f t="shared" si="1"/>
        <v>0</v>
      </c>
      <c r="I43" s="9">
        <f t="shared" si="2"/>
        <v>0</v>
      </c>
    </row>
    <row r="44" spans="1:9">
      <c r="A44" s="8">
        <v>42</v>
      </c>
      <c r="B44" s="172" t="s">
        <v>141</v>
      </c>
      <c r="C44" s="170">
        <v>15</v>
      </c>
      <c r="D44" s="174">
        <v>1500</v>
      </c>
      <c r="E44" s="10">
        <f>IFERROR(VLOOKUP(B44,საქმიანობა!$AE$59:$AF$74,2,0),0)</f>
        <v>0</v>
      </c>
      <c r="F44" s="11">
        <v>0.3</v>
      </c>
      <c r="G44" s="9">
        <f t="shared" si="0"/>
        <v>0</v>
      </c>
      <c r="H44" s="9">
        <f t="shared" si="1"/>
        <v>0</v>
      </c>
      <c r="I44" s="9">
        <f t="shared" si="2"/>
        <v>0</v>
      </c>
    </row>
    <row r="45" spans="1:9">
      <c r="A45" s="8">
        <v>43</v>
      </c>
      <c r="B45" s="172" t="s">
        <v>50</v>
      </c>
      <c r="C45" s="170">
        <v>12</v>
      </c>
      <c r="D45" s="174">
        <v>1200</v>
      </c>
      <c r="E45" s="10">
        <f>IFERROR(VLOOKUP(B45,საქმიანობა!$AE$59:$AF$74,2,0),0)</f>
        <v>0</v>
      </c>
      <c r="F45" s="11">
        <v>0.35</v>
      </c>
      <c r="G45" s="9">
        <f t="shared" si="0"/>
        <v>0</v>
      </c>
      <c r="H45" s="9">
        <f t="shared" si="1"/>
        <v>0</v>
      </c>
      <c r="I45" s="9">
        <f t="shared" si="2"/>
        <v>0</v>
      </c>
    </row>
    <row r="46" spans="1:9">
      <c r="A46" s="8">
        <v>44</v>
      </c>
      <c r="B46" s="172" t="s">
        <v>51</v>
      </c>
      <c r="C46" s="170">
        <v>13</v>
      </c>
      <c r="D46" s="174">
        <v>400</v>
      </c>
      <c r="E46" s="10">
        <f>IFERROR(VLOOKUP(B46,საქმიანობა!$AE$59:$AF$74,2,0),0)</f>
        <v>0</v>
      </c>
      <c r="F46" s="11">
        <v>0.18</v>
      </c>
      <c r="G46" s="9">
        <f t="shared" si="0"/>
        <v>0</v>
      </c>
      <c r="H46" s="9">
        <f t="shared" si="1"/>
        <v>0</v>
      </c>
      <c r="I46" s="9">
        <f t="shared" si="2"/>
        <v>0</v>
      </c>
    </row>
    <row r="47" spans="1:9">
      <c r="A47" s="8">
        <v>45</v>
      </c>
      <c r="B47" s="172" t="s">
        <v>52</v>
      </c>
      <c r="C47" s="170">
        <v>3.5</v>
      </c>
      <c r="D47" s="174">
        <v>2200</v>
      </c>
      <c r="E47" s="10">
        <f>IFERROR(VLOOKUP(B47,საქმიანობა!$AE$59:$AF$74,2,0),0)</f>
        <v>0</v>
      </c>
      <c r="F47" s="12">
        <v>0.15</v>
      </c>
      <c r="G47" s="9">
        <f t="shared" si="0"/>
        <v>0</v>
      </c>
      <c r="H47" s="9">
        <f t="shared" si="1"/>
        <v>0</v>
      </c>
      <c r="I47" s="9">
        <f t="shared" si="2"/>
        <v>0</v>
      </c>
    </row>
    <row r="48" spans="1:9">
      <c r="A48" s="8">
        <v>46</v>
      </c>
      <c r="B48" s="172" t="s">
        <v>53</v>
      </c>
      <c r="C48" s="170">
        <v>30</v>
      </c>
      <c r="D48" s="174">
        <v>500</v>
      </c>
      <c r="E48" s="10">
        <f>IFERROR(VLOOKUP(B48,საქმიანობა!$AE$59:$AF$74,2,0),0)</f>
        <v>0</v>
      </c>
      <c r="F48" s="11">
        <v>0.4</v>
      </c>
      <c r="G48" s="9">
        <f t="shared" si="0"/>
        <v>0</v>
      </c>
      <c r="H48" s="9">
        <f t="shared" si="1"/>
        <v>0</v>
      </c>
      <c r="I48" s="9">
        <f t="shared" si="2"/>
        <v>0</v>
      </c>
    </row>
    <row r="49" spans="1:9">
      <c r="A49" s="8">
        <v>47</v>
      </c>
      <c r="B49" s="172" t="s">
        <v>54</v>
      </c>
      <c r="C49" s="170">
        <v>20</v>
      </c>
      <c r="D49" s="174">
        <v>500</v>
      </c>
      <c r="E49" s="10">
        <f>IFERROR(VLOOKUP(B49,საქმიანობა!$AE$59:$AF$74,2,0),0)</f>
        <v>0</v>
      </c>
      <c r="F49" s="11">
        <v>0.35</v>
      </c>
      <c r="G49" s="9">
        <f t="shared" si="0"/>
        <v>0</v>
      </c>
      <c r="H49" s="9">
        <f t="shared" si="1"/>
        <v>0</v>
      </c>
      <c r="I49" s="9">
        <f t="shared" si="2"/>
        <v>0</v>
      </c>
    </row>
    <row r="50" spans="1:9">
      <c r="A50" s="8">
        <v>48</v>
      </c>
      <c r="B50" s="172" t="s">
        <v>55</v>
      </c>
      <c r="C50" s="170">
        <v>1.2</v>
      </c>
      <c r="D50" s="174">
        <v>3000</v>
      </c>
      <c r="E50" s="10">
        <f>IFERROR(VLOOKUP(B50,საქმიანობა!$AE$59:$AF$74,2,0),0)</f>
        <v>0.4</v>
      </c>
      <c r="F50" s="11">
        <v>0.35</v>
      </c>
      <c r="G50" s="9">
        <f t="shared" si="0"/>
        <v>1440</v>
      </c>
      <c r="H50" s="9">
        <f t="shared" si="1"/>
        <v>503.99999999999994</v>
      </c>
      <c r="I50" s="9">
        <f t="shared" si="2"/>
        <v>936</v>
      </c>
    </row>
    <row r="51" spans="1:9">
      <c r="A51" s="8">
        <v>49</v>
      </c>
      <c r="B51" s="172" t="s">
        <v>56</v>
      </c>
      <c r="C51" s="170">
        <v>4</v>
      </c>
      <c r="D51" s="174">
        <v>3000</v>
      </c>
      <c r="E51" s="10">
        <f>IFERROR(VLOOKUP(B51,საქმიანობა!$AE$59:$AF$74,2,0),0)</f>
        <v>0</v>
      </c>
      <c r="F51" s="11">
        <v>0.15</v>
      </c>
      <c r="G51" s="9">
        <f t="shared" si="0"/>
        <v>0</v>
      </c>
      <c r="H51" s="9">
        <f t="shared" si="1"/>
        <v>0</v>
      </c>
      <c r="I51" s="9">
        <f t="shared" si="2"/>
        <v>0</v>
      </c>
    </row>
    <row r="52" spans="1:9">
      <c r="A52" s="8">
        <v>50</v>
      </c>
      <c r="B52" s="172" t="s">
        <v>57</v>
      </c>
      <c r="C52" s="170">
        <v>15</v>
      </c>
      <c r="D52" s="174">
        <v>800</v>
      </c>
      <c r="E52" s="10">
        <f>IFERROR(VLOOKUP(B52,საქმიანობა!$AE$59:$AF$74,2,0),0)</f>
        <v>0</v>
      </c>
      <c r="F52" s="11">
        <v>0.15</v>
      </c>
      <c r="G52" s="9">
        <f t="shared" si="0"/>
        <v>0</v>
      </c>
      <c r="H52" s="9">
        <f t="shared" si="1"/>
        <v>0</v>
      </c>
      <c r="I52" s="9">
        <f t="shared" si="2"/>
        <v>0</v>
      </c>
    </row>
    <row r="53" spans="1:9">
      <c r="A53" s="8">
        <v>51</v>
      </c>
      <c r="B53" s="172" t="s">
        <v>58</v>
      </c>
      <c r="C53" s="170">
        <v>16</v>
      </c>
      <c r="D53" s="174">
        <v>800</v>
      </c>
      <c r="E53" s="10">
        <f>IFERROR(VLOOKUP(B53,საქმიანობა!$AE$59:$AF$74,2,0),0)</f>
        <v>0</v>
      </c>
      <c r="F53" s="11">
        <v>0.3</v>
      </c>
      <c r="G53" s="9">
        <f t="shared" si="0"/>
        <v>0</v>
      </c>
      <c r="H53" s="9">
        <f t="shared" si="1"/>
        <v>0</v>
      </c>
      <c r="I53" s="9">
        <f t="shared" si="2"/>
        <v>0</v>
      </c>
    </row>
    <row r="54" spans="1:9">
      <c r="A54" s="8">
        <v>52</v>
      </c>
      <c r="B54" s="172" t="s">
        <v>59</v>
      </c>
      <c r="C54" s="170">
        <v>15</v>
      </c>
      <c r="D54" s="174">
        <v>600</v>
      </c>
      <c r="E54" s="10">
        <f>IFERROR(VLOOKUP(B54,საქმიანობა!$AE$59:$AF$74,2,0),0)</f>
        <v>0</v>
      </c>
      <c r="F54" s="11">
        <v>0.2</v>
      </c>
      <c r="G54" s="9">
        <f t="shared" si="0"/>
        <v>0</v>
      </c>
      <c r="H54" s="9">
        <f t="shared" si="1"/>
        <v>0</v>
      </c>
      <c r="I54" s="9">
        <f t="shared" si="2"/>
        <v>0</v>
      </c>
    </row>
    <row r="55" spans="1:9">
      <c r="A55" s="8">
        <v>53</v>
      </c>
      <c r="B55" s="172" t="s">
        <v>60</v>
      </c>
      <c r="C55" s="170">
        <v>20</v>
      </c>
      <c r="D55" s="174">
        <v>500</v>
      </c>
      <c r="E55" s="10">
        <f>IFERROR(VLOOKUP(B55,საქმიანობა!$AE$59:$AF$74,2,0),0)</f>
        <v>0</v>
      </c>
      <c r="F55" s="11">
        <v>0.25</v>
      </c>
      <c r="G55" s="9">
        <f t="shared" si="0"/>
        <v>0</v>
      </c>
      <c r="H55" s="9">
        <f t="shared" si="1"/>
        <v>0</v>
      </c>
      <c r="I55" s="9">
        <f t="shared" si="2"/>
        <v>0</v>
      </c>
    </row>
    <row r="56" spans="1:9">
      <c r="A56" s="8">
        <v>54</v>
      </c>
      <c r="B56" s="172" t="s">
        <v>392</v>
      </c>
      <c r="C56" s="170">
        <v>1.7</v>
      </c>
      <c r="D56" s="174">
        <v>5000</v>
      </c>
      <c r="E56" s="10">
        <f>IFERROR(VLOOKUP(B56,საქმიანობა!$AE$59:$AF$74,2,0),0)</f>
        <v>0</v>
      </c>
      <c r="F56" s="11">
        <v>0.25</v>
      </c>
      <c r="G56" s="9">
        <f>C56*D56*E56</f>
        <v>0</v>
      </c>
      <c r="H56" s="9">
        <f>C56*E56*D56*F56</f>
        <v>0</v>
      </c>
      <c r="I56" s="9">
        <f>G56-H56</f>
        <v>0</v>
      </c>
    </row>
    <row r="57" spans="1:9">
      <c r="A57" s="8">
        <v>55</v>
      </c>
      <c r="B57" s="172" t="s">
        <v>61</v>
      </c>
      <c r="C57" s="170">
        <v>8</v>
      </c>
      <c r="D57" s="174">
        <v>3000</v>
      </c>
      <c r="E57" s="10">
        <f>IFERROR(VLOOKUP(B57,საქმიანობა!$AE$59:$AF$74,2,0),0)</f>
        <v>0</v>
      </c>
      <c r="F57" s="11">
        <v>0.3</v>
      </c>
      <c r="G57" s="9">
        <f t="shared" si="0"/>
        <v>0</v>
      </c>
      <c r="H57" s="9">
        <f t="shared" si="1"/>
        <v>0</v>
      </c>
      <c r="I57" s="9">
        <f t="shared" si="2"/>
        <v>0</v>
      </c>
    </row>
    <row r="58" spans="1:9">
      <c r="A58" s="8">
        <v>56</v>
      </c>
      <c r="B58" s="172" t="s">
        <v>62</v>
      </c>
      <c r="C58" s="170">
        <v>5</v>
      </c>
      <c r="D58" s="174">
        <v>2000</v>
      </c>
      <c r="E58" s="10">
        <f>IFERROR(VLOOKUP(B58,საქმიანობა!$AE$59:$AF$74,2,0),0)</f>
        <v>0</v>
      </c>
      <c r="F58" s="11">
        <v>0.3</v>
      </c>
      <c r="G58" s="9">
        <f t="shared" si="0"/>
        <v>0</v>
      </c>
      <c r="H58" s="9">
        <f t="shared" si="1"/>
        <v>0</v>
      </c>
      <c r="I58" s="9">
        <f t="shared" si="2"/>
        <v>0</v>
      </c>
    </row>
    <row r="59" spans="1:9">
      <c r="A59" s="8">
        <v>57</v>
      </c>
      <c r="B59" s="172" t="s">
        <v>63</v>
      </c>
      <c r="C59" s="170">
        <v>15</v>
      </c>
      <c r="D59" s="174">
        <v>800</v>
      </c>
      <c r="E59" s="10">
        <f>IFERROR(VLOOKUP(B59,საქმიანობა!$AE$59:$AF$74,2,0),0)</f>
        <v>0</v>
      </c>
      <c r="F59" s="11">
        <v>0.3</v>
      </c>
      <c r="G59" s="9">
        <f t="shared" si="0"/>
        <v>0</v>
      </c>
      <c r="H59" s="9">
        <f t="shared" si="1"/>
        <v>0</v>
      </c>
      <c r="I59" s="9">
        <f t="shared" si="2"/>
        <v>0</v>
      </c>
    </row>
    <row r="60" spans="1:9">
      <c r="A60" s="8">
        <v>58</v>
      </c>
      <c r="B60" s="172" t="s">
        <v>394</v>
      </c>
      <c r="C60" s="170">
        <v>3</v>
      </c>
      <c r="D60" s="174">
        <v>5000</v>
      </c>
      <c r="E60" s="10">
        <f>IFERROR(VLOOKUP(B60,საქმიანობა!$AE$59:$AF$74,2,0),0)</f>
        <v>0</v>
      </c>
      <c r="F60" s="11">
        <v>0.3</v>
      </c>
      <c r="G60" s="9">
        <f>C60*D60*E60</f>
        <v>0</v>
      </c>
      <c r="H60" s="9">
        <f>C60*E60*D60*F60</f>
        <v>0</v>
      </c>
      <c r="I60" s="9">
        <f>G60-H60</f>
        <v>0</v>
      </c>
    </row>
    <row r="61" spans="1:9">
      <c r="A61" s="8">
        <v>59</v>
      </c>
      <c r="B61" s="172" t="s">
        <v>64</v>
      </c>
      <c r="C61" s="170">
        <v>5</v>
      </c>
      <c r="D61" s="174">
        <v>2500</v>
      </c>
      <c r="E61" s="10">
        <f>IFERROR(VLOOKUP(B61,საქმიანობა!$AE$59:$AF$74,2,0),0)</f>
        <v>0</v>
      </c>
      <c r="F61" s="11">
        <v>0.3</v>
      </c>
      <c r="G61" s="9">
        <f t="shared" si="0"/>
        <v>0</v>
      </c>
      <c r="H61" s="9">
        <f t="shared" si="1"/>
        <v>0</v>
      </c>
      <c r="I61" s="9">
        <f t="shared" si="2"/>
        <v>0</v>
      </c>
    </row>
    <row r="62" spans="1:9">
      <c r="A62" s="8">
        <v>60</v>
      </c>
      <c r="B62" s="172" t="s">
        <v>65</v>
      </c>
      <c r="C62" s="170">
        <v>10</v>
      </c>
      <c r="D62" s="174">
        <v>800</v>
      </c>
      <c r="E62" s="10">
        <f>IFERROR(VLOOKUP(B62,საქმიანობა!$AE$59:$AF$74,2,0),0)</f>
        <v>0</v>
      </c>
      <c r="F62" s="11">
        <v>0.3</v>
      </c>
      <c r="G62" s="9">
        <f t="shared" si="0"/>
        <v>0</v>
      </c>
      <c r="H62" s="9">
        <f t="shared" si="1"/>
        <v>0</v>
      </c>
      <c r="I62" s="9">
        <f t="shared" si="2"/>
        <v>0</v>
      </c>
    </row>
    <row r="63" spans="1:9">
      <c r="A63" s="8">
        <v>61</v>
      </c>
      <c r="B63" s="172" t="s">
        <v>66</v>
      </c>
      <c r="C63" s="170">
        <v>8</v>
      </c>
      <c r="D63" s="174">
        <v>1500</v>
      </c>
      <c r="E63" s="10">
        <f>IFERROR(VLOOKUP(B63,საქმიანობა!$AE$59:$AF$74,2,0),0)</f>
        <v>0</v>
      </c>
      <c r="F63" s="11">
        <v>0.32</v>
      </c>
      <c r="G63" s="9">
        <f t="shared" si="0"/>
        <v>0</v>
      </c>
      <c r="H63" s="9">
        <f t="shared" si="1"/>
        <v>0</v>
      </c>
      <c r="I63" s="9">
        <f t="shared" si="2"/>
        <v>0</v>
      </c>
    </row>
    <row r="64" spans="1:9">
      <c r="A64" s="8">
        <v>62</v>
      </c>
      <c r="B64" s="172" t="s">
        <v>522</v>
      </c>
      <c r="C64" s="170">
        <v>8</v>
      </c>
      <c r="D64" s="174">
        <v>2000</v>
      </c>
      <c r="E64" s="10">
        <f>IFERROR(VLOOKUP(B64,საქმიანობა!$AE$59:$AF$74,2,0),0)</f>
        <v>0</v>
      </c>
      <c r="F64" s="11">
        <v>0.25</v>
      </c>
      <c r="G64" s="9">
        <f>C64*D64*E64</f>
        <v>0</v>
      </c>
      <c r="H64" s="9">
        <f>C64*E64*D64*F64</f>
        <v>0</v>
      </c>
      <c r="I64" s="9">
        <f>G64-H64</f>
        <v>0</v>
      </c>
    </row>
    <row r="65" spans="1:9">
      <c r="A65" s="8">
        <v>63</v>
      </c>
      <c r="B65" s="172" t="s">
        <v>395</v>
      </c>
      <c r="C65" s="170">
        <v>15</v>
      </c>
      <c r="D65" s="174">
        <v>600</v>
      </c>
      <c r="E65" s="10">
        <f>IFERROR(VLOOKUP(B65,საქმიანობა!$AE$59:$AF$74,2,0),0)</f>
        <v>0</v>
      </c>
      <c r="F65" s="11">
        <v>0.3</v>
      </c>
      <c r="G65" s="9">
        <f>C65*D65*E65</f>
        <v>0</v>
      </c>
      <c r="H65" s="9">
        <f>C65*E65*D65*F65</f>
        <v>0</v>
      </c>
      <c r="I65" s="9">
        <f>G65-H65</f>
        <v>0</v>
      </c>
    </row>
    <row r="66" spans="1:9">
      <c r="A66" s="8">
        <v>64</v>
      </c>
      <c r="B66" s="172" t="s">
        <v>67</v>
      </c>
      <c r="C66" s="170">
        <v>8</v>
      </c>
      <c r="D66" s="174">
        <v>1000</v>
      </c>
      <c r="E66" s="10">
        <f>IFERROR(VLOOKUP(B66,საქმიანობა!$AE$59:$AF$74,2,0),0)</f>
        <v>0</v>
      </c>
      <c r="F66" s="11">
        <v>0.2</v>
      </c>
      <c r="G66" s="9">
        <f t="shared" si="0"/>
        <v>0</v>
      </c>
      <c r="H66" s="9">
        <f t="shared" si="1"/>
        <v>0</v>
      </c>
      <c r="I66" s="9">
        <f t="shared" si="2"/>
        <v>0</v>
      </c>
    </row>
    <row r="67" spans="1:9">
      <c r="A67" s="8">
        <v>65</v>
      </c>
      <c r="B67" s="172" t="s">
        <v>68</v>
      </c>
      <c r="C67" s="170">
        <v>20</v>
      </c>
      <c r="D67" s="174">
        <v>600</v>
      </c>
      <c r="E67" s="10">
        <f>IFERROR(VLOOKUP(B67,საქმიანობა!$AE$59:$AF$74,2,0),0)</f>
        <v>0</v>
      </c>
      <c r="F67" s="11">
        <v>0.2</v>
      </c>
      <c r="G67" s="9">
        <f t="shared" si="0"/>
        <v>0</v>
      </c>
      <c r="H67" s="9">
        <f t="shared" si="1"/>
        <v>0</v>
      </c>
      <c r="I67" s="9">
        <f t="shared" si="2"/>
        <v>0</v>
      </c>
    </row>
    <row r="68" spans="1:9">
      <c r="A68" s="8">
        <v>66</v>
      </c>
      <c r="B68" s="172" t="s">
        <v>69</v>
      </c>
      <c r="C68" s="170">
        <v>18</v>
      </c>
      <c r="D68" s="174">
        <v>500</v>
      </c>
      <c r="E68" s="10">
        <f>IFERROR(VLOOKUP(B68,საქმიანობა!$AE$59:$AF$74,2,0),0)</f>
        <v>0</v>
      </c>
      <c r="F68" s="11">
        <v>0.3</v>
      </c>
      <c r="G68" s="9">
        <f t="shared" si="0"/>
        <v>0</v>
      </c>
      <c r="H68" s="9">
        <f t="shared" si="1"/>
        <v>0</v>
      </c>
      <c r="I68" s="9">
        <f t="shared" si="2"/>
        <v>0</v>
      </c>
    </row>
    <row r="69" spans="1:9">
      <c r="A69" s="8">
        <v>67</v>
      </c>
      <c r="B69" s="172" t="s">
        <v>396</v>
      </c>
      <c r="C69" s="170">
        <v>8</v>
      </c>
      <c r="D69" s="174">
        <v>1200</v>
      </c>
      <c r="E69" s="10">
        <f>IFERROR(VLOOKUP(B69,საქმიანობა!$AE$59:$AF$74,2,0),0)</f>
        <v>0</v>
      </c>
      <c r="F69" s="11">
        <v>0.3</v>
      </c>
      <c r="G69" s="9">
        <f>C69*D69*E69</f>
        <v>0</v>
      </c>
      <c r="H69" s="9">
        <f>C69*E69*D69*F69</f>
        <v>0</v>
      </c>
      <c r="I69" s="9">
        <f>G69-H69</f>
        <v>0</v>
      </c>
    </row>
    <row r="70" spans="1:9">
      <c r="A70" s="8">
        <v>68</v>
      </c>
      <c r="B70" s="172" t="s">
        <v>70</v>
      </c>
      <c r="C70" s="170">
        <v>14</v>
      </c>
      <c r="D70" s="174">
        <v>500</v>
      </c>
      <c r="E70" s="10">
        <f>IFERROR(VLOOKUP(B70,საქმიანობა!$AE$59:$AF$74,2,0),0)</f>
        <v>0</v>
      </c>
      <c r="F70" s="11">
        <v>0.18</v>
      </c>
      <c r="G70" s="9">
        <f t="shared" si="0"/>
        <v>0</v>
      </c>
      <c r="H70" s="9">
        <f t="shared" si="1"/>
        <v>0</v>
      </c>
      <c r="I70" s="9">
        <f t="shared" si="2"/>
        <v>0</v>
      </c>
    </row>
    <row r="71" spans="1:9">
      <c r="A71" s="8">
        <v>69</v>
      </c>
      <c r="B71" s="172" t="s">
        <v>71</v>
      </c>
      <c r="C71" s="170">
        <v>1.5</v>
      </c>
      <c r="D71" s="174">
        <v>5</v>
      </c>
      <c r="E71" s="10">
        <f>IFERROR(VLOOKUP(B71,საქმიანობა!$AE$59:$AF$74,2,0),0)</f>
        <v>0</v>
      </c>
      <c r="F71" s="11">
        <v>0.8</v>
      </c>
      <c r="G71" s="9">
        <f t="shared" si="0"/>
        <v>0</v>
      </c>
      <c r="H71" s="9">
        <f t="shared" si="1"/>
        <v>0</v>
      </c>
      <c r="I71" s="9">
        <f t="shared" si="2"/>
        <v>0</v>
      </c>
    </row>
    <row r="72" spans="1:9">
      <c r="A72" s="8">
        <v>70</v>
      </c>
      <c r="B72" s="172" t="s">
        <v>72</v>
      </c>
      <c r="C72" s="170">
        <v>16</v>
      </c>
      <c r="D72" s="174">
        <v>70</v>
      </c>
      <c r="E72" s="10">
        <f>IFERROR(VLOOKUP(B72,საქმიანობა!$AE$59:$AF$74,2,0),0)</f>
        <v>0</v>
      </c>
      <c r="F72" s="11">
        <v>0.5</v>
      </c>
      <c r="G72" s="9">
        <f t="shared" si="0"/>
        <v>0</v>
      </c>
      <c r="H72" s="9">
        <f t="shared" si="1"/>
        <v>0</v>
      </c>
      <c r="I72" s="9">
        <f t="shared" si="2"/>
        <v>0</v>
      </c>
    </row>
    <row r="73" spans="1:9">
      <c r="A73" s="8">
        <v>71</v>
      </c>
      <c r="B73" s="172" t="s">
        <v>73</v>
      </c>
      <c r="C73" s="170">
        <v>1</v>
      </c>
      <c r="D73" s="174">
        <v>8000</v>
      </c>
      <c r="E73" s="10">
        <f>IFERROR(VLOOKUP(B73,საქმიანობა!$AE$59:$AF$74,2,0),0)</f>
        <v>0</v>
      </c>
      <c r="F73" s="11">
        <v>0.65</v>
      </c>
      <c r="G73" s="9">
        <f t="shared" si="0"/>
        <v>0</v>
      </c>
      <c r="H73" s="9">
        <f t="shared" si="1"/>
        <v>0</v>
      </c>
      <c r="I73" s="9">
        <f t="shared" si="2"/>
        <v>0</v>
      </c>
    </row>
    <row r="74" spans="1:9">
      <c r="A74" s="8">
        <v>72</v>
      </c>
      <c r="B74" s="172" t="s">
        <v>74</v>
      </c>
      <c r="C74" s="170">
        <v>360</v>
      </c>
      <c r="D74" s="174">
        <v>0.2</v>
      </c>
      <c r="E74" s="10">
        <f>IFERROR(VLOOKUP(B74,საქმიანობა!$AE$59:$AF$74,2,0),0)</f>
        <v>0</v>
      </c>
      <c r="F74" s="11">
        <v>0.85</v>
      </c>
      <c r="G74" s="9">
        <f t="shared" si="0"/>
        <v>0</v>
      </c>
      <c r="H74" s="9">
        <f t="shared" si="1"/>
        <v>0</v>
      </c>
      <c r="I74" s="9">
        <f t="shared" si="2"/>
        <v>0</v>
      </c>
    </row>
    <row r="75" spans="1:9">
      <c r="A75" s="8">
        <v>73</v>
      </c>
      <c r="B75" s="172" t="s">
        <v>75</v>
      </c>
      <c r="C75" s="170">
        <v>1560</v>
      </c>
      <c r="D75" s="174">
        <v>0.8</v>
      </c>
      <c r="E75" s="10">
        <f>IFERROR(VLOOKUP(B75,საქმიანობა!$AE$59:$AF$74,2,0),0)</f>
        <v>4</v>
      </c>
      <c r="F75" s="11">
        <v>0.35</v>
      </c>
      <c r="G75" s="9">
        <f t="shared" si="0"/>
        <v>4992</v>
      </c>
      <c r="H75" s="9">
        <f t="shared" si="1"/>
        <v>1747.1999999999998</v>
      </c>
      <c r="I75" s="9">
        <f t="shared" si="2"/>
        <v>3244.8</v>
      </c>
    </row>
    <row r="76" spans="1:9">
      <c r="A76" s="8">
        <v>74</v>
      </c>
      <c r="B76" s="172" t="s">
        <v>76</v>
      </c>
      <c r="C76" s="170">
        <v>100</v>
      </c>
      <c r="D76" s="174">
        <v>9</v>
      </c>
      <c r="E76" s="10">
        <f>IFERROR(VLOOKUP(B76,საქმიანობა!$AE$59:$AF$74,2,0),0)</f>
        <v>0</v>
      </c>
      <c r="F76" s="11">
        <v>0.6</v>
      </c>
      <c r="G76" s="9">
        <f t="shared" si="0"/>
        <v>0</v>
      </c>
      <c r="H76" s="9">
        <f t="shared" si="1"/>
        <v>0</v>
      </c>
      <c r="I76" s="9">
        <f t="shared" si="2"/>
        <v>0</v>
      </c>
    </row>
    <row r="77" spans="1:9">
      <c r="A77" s="8">
        <v>75</v>
      </c>
      <c r="B77" s="172" t="s">
        <v>77</v>
      </c>
      <c r="C77" s="170">
        <v>1</v>
      </c>
      <c r="D77" s="174">
        <v>6000</v>
      </c>
      <c r="E77" s="10">
        <f>IFERROR(VLOOKUP(B77,საქმიანობა!$AE$59:$AF$74,2,0),0)</f>
        <v>0</v>
      </c>
      <c r="F77" s="11">
        <v>0.65</v>
      </c>
      <c r="G77" s="9">
        <f>C77*D77*E77</f>
        <v>0</v>
      </c>
      <c r="H77" s="9">
        <f>C77*E77*D77*F77</f>
        <v>0</v>
      </c>
      <c r="I77" s="9">
        <f>G77-H77</f>
        <v>0</v>
      </c>
    </row>
    <row r="78" spans="1:9">
      <c r="A78" s="8">
        <v>76</v>
      </c>
      <c r="B78" s="172" t="s">
        <v>78</v>
      </c>
      <c r="C78" s="170">
        <v>15</v>
      </c>
      <c r="D78" s="174">
        <v>15</v>
      </c>
      <c r="E78" s="10">
        <f>IFERROR(VLOOKUP(B78,საქმიანობა!$AE$59:$AF$74,2,0),0)</f>
        <v>15</v>
      </c>
      <c r="F78" s="11">
        <v>0.1</v>
      </c>
      <c r="G78" s="9">
        <f t="shared" si="0"/>
        <v>3375</v>
      </c>
      <c r="H78" s="9">
        <f t="shared" si="1"/>
        <v>337.5</v>
      </c>
      <c r="I78" s="9">
        <f t="shared" si="2"/>
        <v>3037.5</v>
      </c>
    </row>
    <row r="79" spans="1:9">
      <c r="A79" s="8">
        <v>77</v>
      </c>
      <c r="B79" s="172" t="s">
        <v>79</v>
      </c>
      <c r="C79" s="170">
        <v>100</v>
      </c>
      <c r="D79" s="174">
        <v>8</v>
      </c>
      <c r="E79" s="10">
        <f>IFERROR(VLOOKUP(B79,საქმიანობა!$AE$59:$AF$74,2,0),0)</f>
        <v>0</v>
      </c>
      <c r="F79" s="11">
        <v>0.6</v>
      </c>
      <c r="G79" s="9">
        <f t="shared" si="0"/>
        <v>0</v>
      </c>
      <c r="H79" s="9">
        <f t="shared" si="1"/>
        <v>0</v>
      </c>
      <c r="I79" s="9">
        <f t="shared" si="2"/>
        <v>0</v>
      </c>
    </row>
    <row r="80" spans="1:9">
      <c r="A80" s="8">
        <v>78</v>
      </c>
      <c r="B80" s="172" t="s">
        <v>80</v>
      </c>
      <c r="C80" s="170">
        <v>1</v>
      </c>
      <c r="D80" s="174">
        <v>120</v>
      </c>
      <c r="E80" s="10">
        <f>IFERROR(VLOOKUP(B80,საქმიანობა!$AE$59:$AF$74,2,0),0)</f>
        <v>0</v>
      </c>
      <c r="F80" s="11">
        <v>0.4</v>
      </c>
      <c r="G80" s="9">
        <f>C80*D80*E80</f>
        <v>0</v>
      </c>
      <c r="H80" s="9">
        <f>C80*E80*D80*F80</f>
        <v>0</v>
      </c>
      <c r="I80" s="9">
        <f>G80-H80</f>
        <v>0</v>
      </c>
    </row>
    <row r="81" spans="1:9">
      <c r="A81" s="8">
        <v>79</v>
      </c>
      <c r="B81" s="172" t="s">
        <v>81</v>
      </c>
      <c r="C81" s="170">
        <v>5</v>
      </c>
      <c r="D81" s="174">
        <v>10</v>
      </c>
      <c r="E81" s="10">
        <f>IFERROR(VLOOKUP(B81,საქმიანობა!$AE$59:$AF$74,2,0),0)</f>
        <v>0</v>
      </c>
      <c r="F81" s="11">
        <v>0.5</v>
      </c>
      <c r="G81" s="9">
        <f>C81*D81*E81</f>
        <v>0</v>
      </c>
      <c r="H81" s="9">
        <f>C81*E81*D81*F81</f>
        <v>0</v>
      </c>
      <c r="I81" s="9">
        <f>G81-H81</f>
        <v>0</v>
      </c>
    </row>
    <row r="82" spans="1:9" ht="15.75" thickBot="1">
      <c r="A82" s="8">
        <v>80</v>
      </c>
      <c r="B82" s="172" t="s">
        <v>611</v>
      </c>
      <c r="C82" s="170">
        <v>1</v>
      </c>
      <c r="D82" s="174">
        <v>500</v>
      </c>
      <c r="E82" s="10">
        <f>IFERROR(VLOOKUP(B82,საქმიანობა!$AE$59:$AF$74,2,0),0)</f>
        <v>0</v>
      </c>
      <c r="F82" s="11">
        <v>0.3</v>
      </c>
      <c r="G82" s="9">
        <f>C82*D82*E82</f>
        <v>0</v>
      </c>
      <c r="H82" s="9">
        <f>C82*E82*D82*F82</f>
        <v>0</v>
      </c>
      <c r="I82" s="9">
        <f>G82-H82</f>
        <v>0</v>
      </c>
    </row>
    <row r="83" spans="1:9" ht="15.75" thickBot="1">
      <c r="G83" s="14">
        <f>SUM(G3:G82)</f>
        <v>13457</v>
      </c>
      <c r="H83" s="15">
        <f>SUM(H3:H82)</f>
        <v>4533.7</v>
      </c>
      <c r="I83" s="16">
        <f>G83-H83</f>
        <v>8923.2999999999993</v>
      </c>
    </row>
  </sheetData>
  <sheetProtection algorithmName="SHA-512" hashValue="1KqVijsWutnhgX35GyAn+eP5elBC+npsxdnK5NWJ4mVGUuYXaqbPIsTfl5F7icDHwIlluokdYI1uA9Nnwr88Ig==" saltValue="qGLYHMuRRVKi9Rm0Q1naEA==" spinCount="100000" sheet="1" objects="1" scenarios="1"/>
  <mergeCells count="1">
    <mergeCell ref="A1:I1"/>
  </mergeCells>
  <pageMargins left="0.7" right="0.7" top="0.75" bottom="0.75" header="0.3" footer="0.3"/>
  <pageSetup scale="54" orientation="portrait" r:id="rId1"/>
  <colBreaks count="1" manualBreakCount="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93"/>
  <sheetViews>
    <sheetView workbookViewId="0">
      <selection activeCell="F83" sqref="F83"/>
    </sheetView>
  </sheetViews>
  <sheetFormatPr defaultRowHeight="15"/>
  <cols>
    <col min="1" max="1" width="3" style="13" customWidth="1"/>
    <col min="2" max="2" width="32.7109375" style="3" bestFit="1" customWidth="1"/>
    <col min="3" max="3" width="19.7109375" style="13" customWidth="1"/>
    <col min="4" max="4" width="15.7109375" style="13" customWidth="1"/>
    <col min="5" max="5" width="13.85546875" style="13" customWidth="1"/>
    <col min="6" max="6" width="19.7109375" style="13" customWidth="1"/>
    <col min="7" max="7" width="15.28515625" style="13" customWidth="1"/>
    <col min="8" max="8" width="21.85546875" style="13" customWidth="1"/>
    <col min="9" max="9" width="11.85546875" style="13" customWidth="1"/>
    <col min="10" max="37" width="9.140625" style="3"/>
    <col min="38" max="38" width="4" style="3" customWidth="1"/>
    <col min="39" max="39" width="12.5703125" style="3" customWidth="1"/>
    <col min="40" max="40" width="30.85546875" style="3" customWidth="1"/>
    <col min="41" max="42" width="18.5703125" style="3" bestFit="1" customWidth="1"/>
    <col min="43" max="43" width="16.42578125" style="3" customWidth="1"/>
    <col min="44" max="47" width="15.7109375" style="3" customWidth="1"/>
    <col min="48" max="48" width="19.85546875" style="3" customWidth="1"/>
    <col min="49" max="49" width="18.5703125" style="3" customWidth="1"/>
    <col min="50" max="254" width="9.140625" style="3"/>
    <col min="255" max="255" width="3" style="3" customWidth="1"/>
    <col min="256" max="256" width="32.7109375" style="3" bestFit="1" customWidth="1"/>
    <col min="257" max="258" width="0" style="3" hidden="1" customWidth="1"/>
    <col min="259" max="259" width="19.7109375" style="3" customWidth="1"/>
    <col min="260" max="260" width="15.7109375" style="3" customWidth="1"/>
    <col min="261" max="261" width="13.85546875" style="3" customWidth="1"/>
    <col min="262" max="262" width="19.7109375" style="3" customWidth="1"/>
    <col min="263" max="263" width="15.28515625" style="3" customWidth="1"/>
    <col min="264" max="264" width="21.85546875" style="3" customWidth="1"/>
    <col min="265" max="265" width="11.85546875" style="3" customWidth="1"/>
    <col min="266" max="293" width="9.140625" style="3"/>
    <col min="294" max="294" width="4" style="3" customWidth="1"/>
    <col min="295" max="295" width="12.5703125" style="3" customWidth="1"/>
    <col min="296" max="296" width="30.85546875" style="3" customWidth="1"/>
    <col min="297" max="298" width="18.5703125" style="3" bestFit="1" customWidth="1"/>
    <col min="299" max="299" width="16.42578125" style="3" customWidth="1"/>
    <col min="300" max="303" width="15.7109375" style="3" customWidth="1"/>
    <col min="304" max="304" width="19.85546875" style="3" customWidth="1"/>
    <col min="305" max="305" width="18.5703125" style="3" customWidth="1"/>
    <col min="306" max="510" width="9.140625" style="3"/>
    <col min="511" max="511" width="3" style="3" customWidth="1"/>
    <col min="512" max="512" width="32.7109375" style="3" bestFit="1" customWidth="1"/>
    <col min="513" max="514" width="0" style="3" hidden="1" customWidth="1"/>
    <col min="515" max="515" width="19.7109375" style="3" customWidth="1"/>
    <col min="516" max="516" width="15.7109375" style="3" customWidth="1"/>
    <col min="517" max="517" width="13.85546875" style="3" customWidth="1"/>
    <col min="518" max="518" width="19.7109375" style="3" customWidth="1"/>
    <col min="519" max="519" width="15.28515625" style="3" customWidth="1"/>
    <col min="520" max="520" width="21.85546875" style="3" customWidth="1"/>
    <col min="521" max="521" width="11.85546875" style="3" customWidth="1"/>
    <col min="522" max="549" width="9.140625" style="3"/>
    <col min="550" max="550" width="4" style="3" customWidth="1"/>
    <col min="551" max="551" width="12.5703125" style="3" customWidth="1"/>
    <col min="552" max="552" width="30.85546875" style="3" customWidth="1"/>
    <col min="553" max="554" width="18.5703125" style="3" bestFit="1" customWidth="1"/>
    <col min="555" max="555" width="16.42578125" style="3" customWidth="1"/>
    <col min="556" max="559" width="15.7109375" style="3" customWidth="1"/>
    <col min="560" max="560" width="19.85546875" style="3" customWidth="1"/>
    <col min="561" max="561" width="18.5703125" style="3" customWidth="1"/>
    <col min="562" max="766" width="9.140625" style="3"/>
    <col min="767" max="767" width="3" style="3" customWidth="1"/>
    <col min="768" max="768" width="32.7109375" style="3" bestFit="1" customWidth="1"/>
    <col min="769" max="770" width="0" style="3" hidden="1" customWidth="1"/>
    <col min="771" max="771" width="19.7109375" style="3" customWidth="1"/>
    <col min="772" max="772" width="15.7109375" style="3" customWidth="1"/>
    <col min="773" max="773" width="13.85546875" style="3" customWidth="1"/>
    <col min="774" max="774" width="19.7109375" style="3" customWidth="1"/>
    <col min="775" max="775" width="15.28515625" style="3" customWidth="1"/>
    <col min="776" max="776" width="21.85546875" style="3" customWidth="1"/>
    <col min="777" max="777" width="11.85546875" style="3" customWidth="1"/>
    <col min="778" max="805" width="9.140625" style="3"/>
    <col min="806" max="806" width="4" style="3" customWidth="1"/>
    <col min="807" max="807" width="12.5703125" style="3" customWidth="1"/>
    <col min="808" max="808" width="30.85546875" style="3" customWidth="1"/>
    <col min="809" max="810" width="18.5703125" style="3" bestFit="1" customWidth="1"/>
    <col min="811" max="811" width="16.42578125" style="3" customWidth="1"/>
    <col min="812" max="815" width="15.7109375" style="3" customWidth="1"/>
    <col min="816" max="816" width="19.85546875" style="3" customWidth="1"/>
    <col min="817" max="817" width="18.5703125" style="3" customWidth="1"/>
    <col min="818" max="1022" width="9.140625" style="3"/>
    <col min="1023" max="1023" width="3" style="3" customWidth="1"/>
    <col min="1024" max="1024" width="32.7109375" style="3" bestFit="1" customWidth="1"/>
    <col min="1025" max="1026" width="0" style="3" hidden="1" customWidth="1"/>
    <col min="1027" max="1027" width="19.7109375" style="3" customWidth="1"/>
    <col min="1028" max="1028" width="15.7109375" style="3" customWidth="1"/>
    <col min="1029" max="1029" width="13.85546875" style="3" customWidth="1"/>
    <col min="1030" max="1030" width="19.7109375" style="3" customWidth="1"/>
    <col min="1031" max="1031" width="15.28515625" style="3" customWidth="1"/>
    <col min="1032" max="1032" width="21.85546875" style="3" customWidth="1"/>
    <col min="1033" max="1033" width="11.85546875" style="3" customWidth="1"/>
    <col min="1034" max="1061" width="9.140625" style="3"/>
    <col min="1062" max="1062" width="4" style="3" customWidth="1"/>
    <col min="1063" max="1063" width="12.5703125" style="3" customWidth="1"/>
    <col min="1064" max="1064" width="30.85546875" style="3" customWidth="1"/>
    <col min="1065" max="1066" width="18.5703125" style="3" bestFit="1" customWidth="1"/>
    <col min="1067" max="1067" width="16.42578125" style="3" customWidth="1"/>
    <col min="1068" max="1071" width="15.7109375" style="3" customWidth="1"/>
    <col min="1072" max="1072" width="19.85546875" style="3" customWidth="1"/>
    <col min="1073" max="1073" width="18.5703125" style="3" customWidth="1"/>
    <col min="1074" max="1278" width="9.140625" style="3"/>
    <col min="1279" max="1279" width="3" style="3" customWidth="1"/>
    <col min="1280" max="1280" width="32.7109375" style="3" bestFit="1" customWidth="1"/>
    <col min="1281" max="1282" width="0" style="3" hidden="1" customWidth="1"/>
    <col min="1283" max="1283" width="19.7109375" style="3" customWidth="1"/>
    <col min="1284" max="1284" width="15.7109375" style="3" customWidth="1"/>
    <col min="1285" max="1285" width="13.85546875" style="3" customWidth="1"/>
    <col min="1286" max="1286" width="19.7109375" style="3" customWidth="1"/>
    <col min="1287" max="1287" width="15.28515625" style="3" customWidth="1"/>
    <col min="1288" max="1288" width="21.85546875" style="3" customWidth="1"/>
    <col min="1289" max="1289" width="11.85546875" style="3" customWidth="1"/>
    <col min="1290" max="1317" width="9.140625" style="3"/>
    <col min="1318" max="1318" width="4" style="3" customWidth="1"/>
    <col min="1319" max="1319" width="12.5703125" style="3" customWidth="1"/>
    <col min="1320" max="1320" width="30.85546875" style="3" customWidth="1"/>
    <col min="1321" max="1322" width="18.5703125" style="3" bestFit="1" customWidth="1"/>
    <col min="1323" max="1323" width="16.42578125" style="3" customWidth="1"/>
    <col min="1324" max="1327" width="15.7109375" style="3" customWidth="1"/>
    <col min="1328" max="1328" width="19.85546875" style="3" customWidth="1"/>
    <col min="1329" max="1329" width="18.5703125" style="3" customWidth="1"/>
    <col min="1330" max="1534" width="9.140625" style="3"/>
    <col min="1535" max="1535" width="3" style="3" customWidth="1"/>
    <col min="1536" max="1536" width="32.7109375" style="3" bestFit="1" customWidth="1"/>
    <col min="1537" max="1538" width="0" style="3" hidden="1" customWidth="1"/>
    <col min="1539" max="1539" width="19.7109375" style="3" customWidth="1"/>
    <col min="1540" max="1540" width="15.7109375" style="3" customWidth="1"/>
    <col min="1541" max="1541" width="13.85546875" style="3" customWidth="1"/>
    <col min="1542" max="1542" width="19.7109375" style="3" customWidth="1"/>
    <col min="1543" max="1543" width="15.28515625" style="3" customWidth="1"/>
    <col min="1544" max="1544" width="21.85546875" style="3" customWidth="1"/>
    <col min="1545" max="1545" width="11.85546875" style="3" customWidth="1"/>
    <col min="1546" max="1573" width="9.140625" style="3"/>
    <col min="1574" max="1574" width="4" style="3" customWidth="1"/>
    <col min="1575" max="1575" width="12.5703125" style="3" customWidth="1"/>
    <col min="1576" max="1576" width="30.85546875" style="3" customWidth="1"/>
    <col min="1577" max="1578" width="18.5703125" style="3" bestFit="1" customWidth="1"/>
    <col min="1579" max="1579" width="16.42578125" style="3" customWidth="1"/>
    <col min="1580" max="1583" width="15.7109375" style="3" customWidth="1"/>
    <col min="1584" max="1584" width="19.85546875" style="3" customWidth="1"/>
    <col min="1585" max="1585" width="18.5703125" style="3" customWidth="1"/>
    <col min="1586" max="1790" width="9.140625" style="3"/>
    <col min="1791" max="1791" width="3" style="3" customWidth="1"/>
    <col min="1792" max="1792" width="32.7109375" style="3" bestFit="1" customWidth="1"/>
    <col min="1793" max="1794" width="0" style="3" hidden="1" customWidth="1"/>
    <col min="1795" max="1795" width="19.7109375" style="3" customWidth="1"/>
    <col min="1796" max="1796" width="15.7109375" style="3" customWidth="1"/>
    <col min="1797" max="1797" width="13.85546875" style="3" customWidth="1"/>
    <col min="1798" max="1798" width="19.7109375" style="3" customWidth="1"/>
    <col min="1799" max="1799" width="15.28515625" style="3" customWidth="1"/>
    <col min="1800" max="1800" width="21.85546875" style="3" customWidth="1"/>
    <col min="1801" max="1801" width="11.85546875" style="3" customWidth="1"/>
    <col min="1802" max="1829" width="9.140625" style="3"/>
    <col min="1830" max="1830" width="4" style="3" customWidth="1"/>
    <col min="1831" max="1831" width="12.5703125" style="3" customWidth="1"/>
    <col min="1832" max="1832" width="30.85546875" style="3" customWidth="1"/>
    <col min="1833" max="1834" width="18.5703125" style="3" bestFit="1" customWidth="1"/>
    <col min="1835" max="1835" width="16.42578125" style="3" customWidth="1"/>
    <col min="1836" max="1839" width="15.7109375" style="3" customWidth="1"/>
    <col min="1840" max="1840" width="19.85546875" style="3" customWidth="1"/>
    <col min="1841" max="1841" width="18.5703125" style="3" customWidth="1"/>
    <col min="1842" max="2046" width="9.140625" style="3"/>
    <col min="2047" max="2047" width="3" style="3" customWidth="1"/>
    <col min="2048" max="2048" width="32.7109375" style="3" bestFit="1" customWidth="1"/>
    <col min="2049" max="2050" width="0" style="3" hidden="1" customWidth="1"/>
    <col min="2051" max="2051" width="19.7109375" style="3" customWidth="1"/>
    <col min="2052" max="2052" width="15.7109375" style="3" customWidth="1"/>
    <col min="2053" max="2053" width="13.85546875" style="3" customWidth="1"/>
    <col min="2054" max="2054" width="19.7109375" style="3" customWidth="1"/>
    <col min="2055" max="2055" width="15.28515625" style="3" customWidth="1"/>
    <col min="2056" max="2056" width="21.85546875" style="3" customWidth="1"/>
    <col min="2057" max="2057" width="11.85546875" style="3" customWidth="1"/>
    <col min="2058" max="2085" width="9.140625" style="3"/>
    <col min="2086" max="2086" width="4" style="3" customWidth="1"/>
    <col min="2087" max="2087" width="12.5703125" style="3" customWidth="1"/>
    <col min="2088" max="2088" width="30.85546875" style="3" customWidth="1"/>
    <col min="2089" max="2090" width="18.5703125" style="3" bestFit="1" customWidth="1"/>
    <col min="2091" max="2091" width="16.42578125" style="3" customWidth="1"/>
    <col min="2092" max="2095" width="15.7109375" style="3" customWidth="1"/>
    <col min="2096" max="2096" width="19.85546875" style="3" customWidth="1"/>
    <col min="2097" max="2097" width="18.5703125" style="3" customWidth="1"/>
    <col min="2098" max="2302" width="9.140625" style="3"/>
    <col min="2303" max="2303" width="3" style="3" customWidth="1"/>
    <col min="2304" max="2304" width="32.7109375" style="3" bestFit="1" customWidth="1"/>
    <col min="2305" max="2306" width="0" style="3" hidden="1" customWidth="1"/>
    <col min="2307" max="2307" width="19.7109375" style="3" customWidth="1"/>
    <col min="2308" max="2308" width="15.7109375" style="3" customWidth="1"/>
    <col min="2309" max="2309" width="13.85546875" style="3" customWidth="1"/>
    <col min="2310" max="2310" width="19.7109375" style="3" customWidth="1"/>
    <col min="2311" max="2311" width="15.28515625" style="3" customWidth="1"/>
    <col min="2312" max="2312" width="21.85546875" style="3" customWidth="1"/>
    <col min="2313" max="2313" width="11.85546875" style="3" customWidth="1"/>
    <col min="2314" max="2341" width="9.140625" style="3"/>
    <col min="2342" max="2342" width="4" style="3" customWidth="1"/>
    <col min="2343" max="2343" width="12.5703125" style="3" customWidth="1"/>
    <col min="2344" max="2344" width="30.85546875" style="3" customWidth="1"/>
    <col min="2345" max="2346" width="18.5703125" style="3" bestFit="1" customWidth="1"/>
    <col min="2347" max="2347" width="16.42578125" style="3" customWidth="1"/>
    <col min="2348" max="2351" width="15.7109375" style="3" customWidth="1"/>
    <col min="2352" max="2352" width="19.85546875" style="3" customWidth="1"/>
    <col min="2353" max="2353" width="18.5703125" style="3" customWidth="1"/>
    <col min="2354" max="2558" width="9.140625" style="3"/>
    <col min="2559" max="2559" width="3" style="3" customWidth="1"/>
    <col min="2560" max="2560" width="32.7109375" style="3" bestFit="1" customWidth="1"/>
    <col min="2561" max="2562" width="0" style="3" hidden="1" customWidth="1"/>
    <col min="2563" max="2563" width="19.7109375" style="3" customWidth="1"/>
    <col min="2564" max="2564" width="15.7109375" style="3" customWidth="1"/>
    <col min="2565" max="2565" width="13.85546875" style="3" customWidth="1"/>
    <col min="2566" max="2566" width="19.7109375" style="3" customWidth="1"/>
    <col min="2567" max="2567" width="15.28515625" style="3" customWidth="1"/>
    <col min="2568" max="2568" width="21.85546875" style="3" customWidth="1"/>
    <col min="2569" max="2569" width="11.85546875" style="3" customWidth="1"/>
    <col min="2570" max="2597" width="9.140625" style="3"/>
    <col min="2598" max="2598" width="4" style="3" customWidth="1"/>
    <col min="2599" max="2599" width="12.5703125" style="3" customWidth="1"/>
    <col min="2600" max="2600" width="30.85546875" style="3" customWidth="1"/>
    <col min="2601" max="2602" width="18.5703125" style="3" bestFit="1" customWidth="1"/>
    <col min="2603" max="2603" width="16.42578125" style="3" customWidth="1"/>
    <col min="2604" max="2607" width="15.7109375" style="3" customWidth="1"/>
    <col min="2608" max="2608" width="19.85546875" style="3" customWidth="1"/>
    <col min="2609" max="2609" width="18.5703125" style="3" customWidth="1"/>
    <col min="2610" max="2814" width="9.140625" style="3"/>
    <col min="2815" max="2815" width="3" style="3" customWidth="1"/>
    <col min="2816" max="2816" width="32.7109375" style="3" bestFit="1" customWidth="1"/>
    <col min="2817" max="2818" width="0" style="3" hidden="1" customWidth="1"/>
    <col min="2819" max="2819" width="19.7109375" style="3" customWidth="1"/>
    <col min="2820" max="2820" width="15.7109375" style="3" customWidth="1"/>
    <col min="2821" max="2821" width="13.85546875" style="3" customWidth="1"/>
    <col min="2822" max="2822" width="19.7109375" style="3" customWidth="1"/>
    <col min="2823" max="2823" width="15.28515625" style="3" customWidth="1"/>
    <col min="2824" max="2824" width="21.85546875" style="3" customWidth="1"/>
    <col min="2825" max="2825" width="11.85546875" style="3" customWidth="1"/>
    <col min="2826" max="2853" width="9.140625" style="3"/>
    <col min="2854" max="2854" width="4" style="3" customWidth="1"/>
    <col min="2855" max="2855" width="12.5703125" style="3" customWidth="1"/>
    <col min="2856" max="2856" width="30.85546875" style="3" customWidth="1"/>
    <col min="2857" max="2858" width="18.5703125" style="3" bestFit="1" customWidth="1"/>
    <col min="2859" max="2859" width="16.42578125" style="3" customWidth="1"/>
    <col min="2860" max="2863" width="15.7109375" style="3" customWidth="1"/>
    <col min="2864" max="2864" width="19.85546875" style="3" customWidth="1"/>
    <col min="2865" max="2865" width="18.5703125" style="3" customWidth="1"/>
    <col min="2866" max="3070" width="9.140625" style="3"/>
    <col min="3071" max="3071" width="3" style="3" customWidth="1"/>
    <col min="3072" max="3072" width="32.7109375" style="3" bestFit="1" customWidth="1"/>
    <col min="3073" max="3074" width="0" style="3" hidden="1" customWidth="1"/>
    <col min="3075" max="3075" width="19.7109375" style="3" customWidth="1"/>
    <col min="3076" max="3076" width="15.7109375" style="3" customWidth="1"/>
    <col min="3077" max="3077" width="13.85546875" style="3" customWidth="1"/>
    <col min="3078" max="3078" width="19.7109375" style="3" customWidth="1"/>
    <col min="3079" max="3079" width="15.28515625" style="3" customWidth="1"/>
    <col min="3080" max="3080" width="21.85546875" style="3" customWidth="1"/>
    <col min="3081" max="3081" width="11.85546875" style="3" customWidth="1"/>
    <col min="3082" max="3109" width="9.140625" style="3"/>
    <col min="3110" max="3110" width="4" style="3" customWidth="1"/>
    <col min="3111" max="3111" width="12.5703125" style="3" customWidth="1"/>
    <col min="3112" max="3112" width="30.85546875" style="3" customWidth="1"/>
    <col min="3113" max="3114" width="18.5703125" style="3" bestFit="1" customWidth="1"/>
    <col min="3115" max="3115" width="16.42578125" style="3" customWidth="1"/>
    <col min="3116" max="3119" width="15.7109375" style="3" customWidth="1"/>
    <col min="3120" max="3120" width="19.85546875" style="3" customWidth="1"/>
    <col min="3121" max="3121" width="18.5703125" style="3" customWidth="1"/>
    <col min="3122" max="3326" width="9.140625" style="3"/>
    <col min="3327" max="3327" width="3" style="3" customWidth="1"/>
    <col min="3328" max="3328" width="32.7109375" style="3" bestFit="1" customWidth="1"/>
    <col min="3329" max="3330" width="0" style="3" hidden="1" customWidth="1"/>
    <col min="3331" max="3331" width="19.7109375" style="3" customWidth="1"/>
    <col min="3332" max="3332" width="15.7109375" style="3" customWidth="1"/>
    <col min="3333" max="3333" width="13.85546875" style="3" customWidth="1"/>
    <col min="3334" max="3334" width="19.7109375" style="3" customWidth="1"/>
    <col min="3335" max="3335" width="15.28515625" style="3" customWidth="1"/>
    <col min="3336" max="3336" width="21.85546875" style="3" customWidth="1"/>
    <col min="3337" max="3337" width="11.85546875" style="3" customWidth="1"/>
    <col min="3338" max="3365" width="9.140625" style="3"/>
    <col min="3366" max="3366" width="4" style="3" customWidth="1"/>
    <col min="3367" max="3367" width="12.5703125" style="3" customWidth="1"/>
    <col min="3368" max="3368" width="30.85546875" style="3" customWidth="1"/>
    <col min="3369" max="3370" width="18.5703125" style="3" bestFit="1" customWidth="1"/>
    <col min="3371" max="3371" width="16.42578125" style="3" customWidth="1"/>
    <col min="3372" max="3375" width="15.7109375" style="3" customWidth="1"/>
    <col min="3376" max="3376" width="19.85546875" style="3" customWidth="1"/>
    <col min="3377" max="3377" width="18.5703125" style="3" customWidth="1"/>
    <col min="3378" max="3582" width="9.140625" style="3"/>
    <col min="3583" max="3583" width="3" style="3" customWidth="1"/>
    <col min="3584" max="3584" width="32.7109375" style="3" bestFit="1" customWidth="1"/>
    <col min="3585" max="3586" width="0" style="3" hidden="1" customWidth="1"/>
    <col min="3587" max="3587" width="19.7109375" style="3" customWidth="1"/>
    <col min="3588" max="3588" width="15.7109375" style="3" customWidth="1"/>
    <col min="3589" max="3589" width="13.85546875" style="3" customWidth="1"/>
    <col min="3590" max="3590" width="19.7109375" style="3" customWidth="1"/>
    <col min="3591" max="3591" width="15.28515625" style="3" customWidth="1"/>
    <col min="3592" max="3592" width="21.85546875" style="3" customWidth="1"/>
    <col min="3593" max="3593" width="11.85546875" style="3" customWidth="1"/>
    <col min="3594" max="3621" width="9.140625" style="3"/>
    <col min="3622" max="3622" width="4" style="3" customWidth="1"/>
    <col min="3623" max="3623" width="12.5703125" style="3" customWidth="1"/>
    <col min="3624" max="3624" width="30.85546875" style="3" customWidth="1"/>
    <col min="3625" max="3626" width="18.5703125" style="3" bestFit="1" customWidth="1"/>
    <col min="3627" max="3627" width="16.42578125" style="3" customWidth="1"/>
    <col min="3628" max="3631" width="15.7109375" style="3" customWidth="1"/>
    <col min="3632" max="3632" width="19.85546875" style="3" customWidth="1"/>
    <col min="3633" max="3633" width="18.5703125" style="3" customWidth="1"/>
    <col min="3634" max="3838" width="9.140625" style="3"/>
    <col min="3839" max="3839" width="3" style="3" customWidth="1"/>
    <col min="3840" max="3840" width="32.7109375" style="3" bestFit="1" customWidth="1"/>
    <col min="3841" max="3842" width="0" style="3" hidden="1" customWidth="1"/>
    <col min="3843" max="3843" width="19.7109375" style="3" customWidth="1"/>
    <col min="3844" max="3844" width="15.7109375" style="3" customWidth="1"/>
    <col min="3845" max="3845" width="13.85546875" style="3" customWidth="1"/>
    <col min="3846" max="3846" width="19.7109375" style="3" customWidth="1"/>
    <col min="3847" max="3847" width="15.28515625" style="3" customWidth="1"/>
    <col min="3848" max="3848" width="21.85546875" style="3" customWidth="1"/>
    <col min="3849" max="3849" width="11.85546875" style="3" customWidth="1"/>
    <col min="3850" max="3877" width="9.140625" style="3"/>
    <col min="3878" max="3878" width="4" style="3" customWidth="1"/>
    <col min="3879" max="3879" width="12.5703125" style="3" customWidth="1"/>
    <col min="3880" max="3880" width="30.85546875" style="3" customWidth="1"/>
    <col min="3881" max="3882" width="18.5703125" style="3" bestFit="1" customWidth="1"/>
    <col min="3883" max="3883" width="16.42578125" style="3" customWidth="1"/>
    <col min="3884" max="3887" width="15.7109375" style="3" customWidth="1"/>
    <col min="3888" max="3888" width="19.85546875" style="3" customWidth="1"/>
    <col min="3889" max="3889" width="18.5703125" style="3" customWidth="1"/>
    <col min="3890" max="4094" width="9.140625" style="3"/>
    <col min="4095" max="4095" width="3" style="3" customWidth="1"/>
    <col min="4096" max="4096" width="32.7109375" style="3" bestFit="1" customWidth="1"/>
    <col min="4097" max="4098" width="0" style="3" hidden="1" customWidth="1"/>
    <col min="4099" max="4099" width="19.7109375" style="3" customWidth="1"/>
    <col min="4100" max="4100" width="15.7109375" style="3" customWidth="1"/>
    <col min="4101" max="4101" width="13.85546875" style="3" customWidth="1"/>
    <col min="4102" max="4102" width="19.7109375" style="3" customWidth="1"/>
    <col min="4103" max="4103" width="15.28515625" style="3" customWidth="1"/>
    <col min="4104" max="4104" width="21.85546875" style="3" customWidth="1"/>
    <col min="4105" max="4105" width="11.85546875" style="3" customWidth="1"/>
    <col min="4106" max="4133" width="9.140625" style="3"/>
    <col min="4134" max="4134" width="4" style="3" customWidth="1"/>
    <col min="4135" max="4135" width="12.5703125" style="3" customWidth="1"/>
    <col min="4136" max="4136" width="30.85546875" style="3" customWidth="1"/>
    <col min="4137" max="4138" width="18.5703125" style="3" bestFit="1" customWidth="1"/>
    <col min="4139" max="4139" width="16.42578125" style="3" customWidth="1"/>
    <col min="4140" max="4143" width="15.7109375" style="3" customWidth="1"/>
    <col min="4144" max="4144" width="19.85546875" style="3" customWidth="1"/>
    <col min="4145" max="4145" width="18.5703125" style="3" customWidth="1"/>
    <col min="4146" max="4350" width="9.140625" style="3"/>
    <col min="4351" max="4351" width="3" style="3" customWidth="1"/>
    <col min="4352" max="4352" width="32.7109375" style="3" bestFit="1" customWidth="1"/>
    <col min="4353" max="4354" width="0" style="3" hidden="1" customWidth="1"/>
    <col min="4355" max="4355" width="19.7109375" style="3" customWidth="1"/>
    <col min="4356" max="4356" width="15.7109375" style="3" customWidth="1"/>
    <col min="4357" max="4357" width="13.85546875" style="3" customWidth="1"/>
    <col min="4358" max="4358" width="19.7109375" style="3" customWidth="1"/>
    <col min="4359" max="4359" width="15.28515625" style="3" customWidth="1"/>
    <col min="4360" max="4360" width="21.85546875" style="3" customWidth="1"/>
    <col min="4361" max="4361" width="11.85546875" style="3" customWidth="1"/>
    <col min="4362" max="4389" width="9.140625" style="3"/>
    <col min="4390" max="4390" width="4" style="3" customWidth="1"/>
    <col min="4391" max="4391" width="12.5703125" style="3" customWidth="1"/>
    <col min="4392" max="4392" width="30.85546875" style="3" customWidth="1"/>
    <col min="4393" max="4394" width="18.5703125" style="3" bestFit="1" customWidth="1"/>
    <col min="4395" max="4395" width="16.42578125" style="3" customWidth="1"/>
    <col min="4396" max="4399" width="15.7109375" style="3" customWidth="1"/>
    <col min="4400" max="4400" width="19.85546875" style="3" customWidth="1"/>
    <col min="4401" max="4401" width="18.5703125" style="3" customWidth="1"/>
    <col min="4402" max="4606" width="9.140625" style="3"/>
    <col min="4607" max="4607" width="3" style="3" customWidth="1"/>
    <col min="4608" max="4608" width="32.7109375" style="3" bestFit="1" customWidth="1"/>
    <col min="4609" max="4610" width="0" style="3" hidden="1" customWidth="1"/>
    <col min="4611" max="4611" width="19.7109375" style="3" customWidth="1"/>
    <col min="4612" max="4612" width="15.7109375" style="3" customWidth="1"/>
    <col min="4613" max="4613" width="13.85546875" style="3" customWidth="1"/>
    <col min="4614" max="4614" width="19.7109375" style="3" customWidth="1"/>
    <col min="4615" max="4615" width="15.28515625" style="3" customWidth="1"/>
    <col min="4616" max="4616" width="21.85546875" style="3" customWidth="1"/>
    <col min="4617" max="4617" width="11.85546875" style="3" customWidth="1"/>
    <col min="4618" max="4645" width="9.140625" style="3"/>
    <col min="4646" max="4646" width="4" style="3" customWidth="1"/>
    <col min="4647" max="4647" width="12.5703125" style="3" customWidth="1"/>
    <col min="4648" max="4648" width="30.85546875" style="3" customWidth="1"/>
    <col min="4649" max="4650" width="18.5703125" style="3" bestFit="1" customWidth="1"/>
    <col min="4651" max="4651" width="16.42578125" style="3" customWidth="1"/>
    <col min="4652" max="4655" width="15.7109375" style="3" customWidth="1"/>
    <col min="4656" max="4656" width="19.85546875" style="3" customWidth="1"/>
    <col min="4657" max="4657" width="18.5703125" style="3" customWidth="1"/>
    <col min="4658" max="4862" width="9.140625" style="3"/>
    <col min="4863" max="4863" width="3" style="3" customWidth="1"/>
    <col min="4864" max="4864" width="32.7109375" style="3" bestFit="1" customWidth="1"/>
    <col min="4865" max="4866" width="0" style="3" hidden="1" customWidth="1"/>
    <col min="4867" max="4867" width="19.7109375" style="3" customWidth="1"/>
    <col min="4868" max="4868" width="15.7109375" style="3" customWidth="1"/>
    <col min="4869" max="4869" width="13.85546875" style="3" customWidth="1"/>
    <col min="4870" max="4870" width="19.7109375" style="3" customWidth="1"/>
    <col min="4871" max="4871" width="15.28515625" style="3" customWidth="1"/>
    <col min="4872" max="4872" width="21.85546875" style="3" customWidth="1"/>
    <col min="4873" max="4873" width="11.85546875" style="3" customWidth="1"/>
    <col min="4874" max="4901" width="9.140625" style="3"/>
    <col min="4902" max="4902" width="4" style="3" customWidth="1"/>
    <col min="4903" max="4903" width="12.5703125" style="3" customWidth="1"/>
    <col min="4904" max="4904" width="30.85546875" style="3" customWidth="1"/>
    <col min="4905" max="4906" width="18.5703125" style="3" bestFit="1" customWidth="1"/>
    <col min="4907" max="4907" width="16.42578125" style="3" customWidth="1"/>
    <col min="4908" max="4911" width="15.7109375" style="3" customWidth="1"/>
    <col min="4912" max="4912" width="19.85546875" style="3" customWidth="1"/>
    <col min="4913" max="4913" width="18.5703125" style="3" customWidth="1"/>
    <col min="4914" max="5118" width="9.140625" style="3"/>
    <col min="5119" max="5119" width="3" style="3" customWidth="1"/>
    <col min="5120" max="5120" width="32.7109375" style="3" bestFit="1" customWidth="1"/>
    <col min="5121" max="5122" width="0" style="3" hidden="1" customWidth="1"/>
    <col min="5123" max="5123" width="19.7109375" style="3" customWidth="1"/>
    <col min="5124" max="5124" width="15.7109375" style="3" customWidth="1"/>
    <col min="5125" max="5125" width="13.85546875" style="3" customWidth="1"/>
    <col min="5126" max="5126" width="19.7109375" style="3" customWidth="1"/>
    <col min="5127" max="5127" width="15.28515625" style="3" customWidth="1"/>
    <col min="5128" max="5128" width="21.85546875" style="3" customWidth="1"/>
    <col min="5129" max="5129" width="11.85546875" style="3" customWidth="1"/>
    <col min="5130" max="5157" width="9.140625" style="3"/>
    <col min="5158" max="5158" width="4" style="3" customWidth="1"/>
    <col min="5159" max="5159" width="12.5703125" style="3" customWidth="1"/>
    <col min="5160" max="5160" width="30.85546875" style="3" customWidth="1"/>
    <col min="5161" max="5162" width="18.5703125" style="3" bestFit="1" customWidth="1"/>
    <col min="5163" max="5163" width="16.42578125" style="3" customWidth="1"/>
    <col min="5164" max="5167" width="15.7109375" style="3" customWidth="1"/>
    <col min="5168" max="5168" width="19.85546875" style="3" customWidth="1"/>
    <col min="5169" max="5169" width="18.5703125" style="3" customWidth="1"/>
    <col min="5170" max="5374" width="9.140625" style="3"/>
    <col min="5375" max="5375" width="3" style="3" customWidth="1"/>
    <col min="5376" max="5376" width="32.7109375" style="3" bestFit="1" customWidth="1"/>
    <col min="5377" max="5378" width="0" style="3" hidden="1" customWidth="1"/>
    <col min="5379" max="5379" width="19.7109375" style="3" customWidth="1"/>
    <col min="5380" max="5380" width="15.7109375" style="3" customWidth="1"/>
    <col min="5381" max="5381" width="13.85546875" style="3" customWidth="1"/>
    <col min="5382" max="5382" width="19.7109375" style="3" customWidth="1"/>
    <col min="5383" max="5383" width="15.28515625" style="3" customWidth="1"/>
    <col min="5384" max="5384" width="21.85546875" style="3" customWidth="1"/>
    <col min="5385" max="5385" width="11.85546875" style="3" customWidth="1"/>
    <col min="5386" max="5413" width="9.140625" style="3"/>
    <col min="5414" max="5414" width="4" style="3" customWidth="1"/>
    <col min="5415" max="5415" width="12.5703125" style="3" customWidth="1"/>
    <col min="5416" max="5416" width="30.85546875" style="3" customWidth="1"/>
    <col min="5417" max="5418" width="18.5703125" style="3" bestFit="1" customWidth="1"/>
    <col min="5419" max="5419" width="16.42578125" style="3" customWidth="1"/>
    <col min="5420" max="5423" width="15.7109375" style="3" customWidth="1"/>
    <col min="5424" max="5424" width="19.85546875" style="3" customWidth="1"/>
    <col min="5425" max="5425" width="18.5703125" style="3" customWidth="1"/>
    <col min="5426" max="5630" width="9.140625" style="3"/>
    <col min="5631" max="5631" width="3" style="3" customWidth="1"/>
    <col min="5632" max="5632" width="32.7109375" style="3" bestFit="1" customWidth="1"/>
    <col min="5633" max="5634" width="0" style="3" hidden="1" customWidth="1"/>
    <col min="5635" max="5635" width="19.7109375" style="3" customWidth="1"/>
    <col min="5636" max="5636" width="15.7109375" style="3" customWidth="1"/>
    <col min="5637" max="5637" width="13.85546875" style="3" customWidth="1"/>
    <col min="5638" max="5638" width="19.7109375" style="3" customWidth="1"/>
    <col min="5639" max="5639" width="15.28515625" style="3" customWidth="1"/>
    <col min="5640" max="5640" width="21.85546875" style="3" customWidth="1"/>
    <col min="5641" max="5641" width="11.85546875" style="3" customWidth="1"/>
    <col min="5642" max="5669" width="9.140625" style="3"/>
    <col min="5670" max="5670" width="4" style="3" customWidth="1"/>
    <col min="5671" max="5671" width="12.5703125" style="3" customWidth="1"/>
    <col min="5672" max="5672" width="30.85546875" style="3" customWidth="1"/>
    <col min="5673" max="5674" width="18.5703125" style="3" bestFit="1" customWidth="1"/>
    <col min="5675" max="5675" width="16.42578125" style="3" customWidth="1"/>
    <col min="5676" max="5679" width="15.7109375" style="3" customWidth="1"/>
    <col min="5680" max="5680" width="19.85546875" style="3" customWidth="1"/>
    <col min="5681" max="5681" width="18.5703125" style="3" customWidth="1"/>
    <col min="5682" max="5886" width="9.140625" style="3"/>
    <col min="5887" max="5887" width="3" style="3" customWidth="1"/>
    <col min="5888" max="5888" width="32.7109375" style="3" bestFit="1" customWidth="1"/>
    <col min="5889" max="5890" width="0" style="3" hidden="1" customWidth="1"/>
    <col min="5891" max="5891" width="19.7109375" style="3" customWidth="1"/>
    <col min="5892" max="5892" width="15.7109375" style="3" customWidth="1"/>
    <col min="5893" max="5893" width="13.85546875" style="3" customWidth="1"/>
    <col min="5894" max="5894" width="19.7109375" style="3" customWidth="1"/>
    <col min="5895" max="5895" width="15.28515625" style="3" customWidth="1"/>
    <col min="5896" max="5896" width="21.85546875" style="3" customWidth="1"/>
    <col min="5897" max="5897" width="11.85546875" style="3" customWidth="1"/>
    <col min="5898" max="5925" width="9.140625" style="3"/>
    <col min="5926" max="5926" width="4" style="3" customWidth="1"/>
    <col min="5927" max="5927" width="12.5703125" style="3" customWidth="1"/>
    <col min="5928" max="5928" width="30.85546875" style="3" customWidth="1"/>
    <col min="5929" max="5930" width="18.5703125" style="3" bestFit="1" customWidth="1"/>
    <col min="5931" max="5931" width="16.42578125" style="3" customWidth="1"/>
    <col min="5932" max="5935" width="15.7109375" style="3" customWidth="1"/>
    <col min="5936" max="5936" width="19.85546875" style="3" customWidth="1"/>
    <col min="5937" max="5937" width="18.5703125" style="3" customWidth="1"/>
    <col min="5938" max="6142" width="9.140625" style="3"/>
    <col min="6143" max="6143" width="3" style="3" customWidth="1"/>
    <col min="6144" max="6144" width="32.7109375" style="3" bestFit="1" customWidth="1"/>
    <col min="6145" max="6146" width="0" style="3" hidden="1" customWidth="1"/>
    <col min="6147" max="6147" width="19.7109375" style="3" customWidth="1"/>
    <col min="6148" max="6148" width="15.7109375" style="3" customWidth="1"/>
    <col min="6149" max="6149" width="13.85546875" style="3" customWidth="1"/>
    <col min="6150" max="6150" width="19.7109375" style="3" customWidth="1"/>
    <col min="6151" max="6151" width="15.28515625" style="3" customWidth="1"/>
    <col min="6152" max="6152" width="21.85546875" style="3" customWidth="1"/>
    <col min="6153" max="6153" width="11.85546875" style="3" customWidth="1"/>
    <col min="6154" max="6181" width="9.140625" style="3"/>
    <col min="6182" max="6182" width="4" style="3" customWidth="1"/>
    <col min="6183" max="6183" width="12.5703125" style="3" customWidth="1"/>
    <col min="6184" max="6184" width="30.85546875" style="3" customWidth="1"/>
    <col min="6185" max="6186" width="18.5703125" style="3" bestFit="1" customWidth="1"/>
    <col min="6187" max="6187" width="16.42578125" style="3" customWidth="1"/>
    <col min="6188" max="6191" width="15.7109375" style="3" customWidth="1"/>
    <col min="6192" max="6192" width="19.85546875" style="3" customWidth="1"/>
    <col min="6193" max="6193" width="18.5703125" style="3" customWidth="1"/>
    <col min="6194" max="6398" width="9.140625" style="3"/>
    <col min="6399" max="6399" width="3" style="3" customWidth="1"/>
    <col min="6400" max="6400" width="32.7109375" style="3" bestFit="1" customWidth="1"/>
    <col min="6401" max="6402" width="0" style="3" hidden="1" customWidth="1"/>
    <col min="6403" max="6403" width="19.7109375" style="3" customWidth="1"/>
    <col min="6404" max="6404" width="15.7109375" style="3" customWidth="1"/>
    <col min="6405" max="6405" width="13.85546875" style="3" customWidth="1"/>
    <col min="6406" max="6406" width="19.7109375" style="3" customWidth="1"/>
    <col min="6407" max="6407" width="15.28515625" style="3" customWidth="1"/>
    <col min="6408" max="6408" width="21.85546875" style="3" customWidth="1"/>
    <col min="6409" max="6409" width="11.85546875" style="3" customWidth="1"/>
    <col min="6410" max="6437" width="9.140625" style="3"/>
    <col min="6438" max="6438" width="4" style="3" customWidth="1"/>
    <col min="6439" max="6439" width="12.5703125" style="3" customWidth="1"/>
    <col min="6440" max="6440" width="30.85546875" style="3" customWidth="1"/>
    <col min="6441" max="6442" width="18.5703125" style="3" bestFit="1" customWidth="1"/>
    <col min="6443" max="6443" width="16.42578125" style="3" customWidth="1"/>
    <col min="6444" max="6447" width="15.7109375" style="3" customWidth="1"/>
    <col min="6448" max="6448" width="19.85546875" style="3" customWidth="1"/>
    <col min="6449" max="6449" width="18.5703125" style="3" customWidth="1"/>
    <col min="6450" max="6654" width="9.140625" style="3"/>
    <col min="6655" max="6655" width="3" style="3" customWidth="1"/>
    <col min="6656" max="6656" width="32.7109375" style="3" bestFit="1" customWidth="1"/>
    <col min="6657" max="6658" width="0" style="3" hidden="1" customWidth="1"/>
    <col min="6659" max="6659" width="19.7109375" style="3" customWidth="1"/>
    <col min="6660" max="6660" width="15.7109375" style="3" customWidth="1"/>
    <col min="6661" max="6661" width="13.85546875" style="3" customWidth="1"/>
    <col min="6662" max="6662" width="19.7109375" style="3" customWidth="1"/>
    <col min="6663" max="6663" width="15.28515625" style="3" customWidth="1"/>
    <col min="6664" max="6664" width="21.85546875" style="3" customWidth="1"/>
    <col min="6665" max="6665" width="11.85546875" style="3" customWidth="1"/>
    <col min="6666" max="6693" width="9.140625" style="3"/>
    <col min="6694" max="6694" width="4" style="3" customWidth="1"/>
    <col min="6695" max="6695" width="12.5703125" style="3" customWidth="1"/>
    <col min="6696" max="6696" width="30.85546875" style="3" customWidth="1"/>
    <col min="6697" max="6698" width="18.5703125" style="3" bestFit="1" customWidth="1"/>
    <col min="6699" max="6699" width="16.42578125" style="3" customWidth="1"/>
    <col min="6700" max="6703" width="15.7109375" style="3" customWidth="1"/>
    <col min="6704" max="6704" width="19.85546875" style="3" customWidth="1"/>
    <col min="6705" max="6705" width="18.5703125" style="3" customWidth="1"/>
    <col min="6706" max="6910" width="9.140625" style="3"/>
    <col min="6911" max="6911" width="3" style="3" customWidth="1"/>
    <col min="6912" max="6912" width="32.7109375" style="3" bestFit="1" customWidth="1"/>
    <col min="6913" max="6914" width="0" style="3" hidden="1" customWidth="1"/>
    <col min="6915" max="6915" width="19.7109375" style="3" customWidth="1"/>
    <col min="6916" max="6916" width="15.7109375" style="3" customWidth="1"/>
    <col min="6917" max="6917" width="13.85546875" style="3" customWidth="1"/>
    <col min="6918" max="6918" width="19.7109375" style="3" customWidth="1"/>
    <col min="6919" max="6919" width="15.28515625" style="3" customWidth="1"/>
    <col min="6920" max="6920" width="21.85546875" style="3" customWidth="1"/>
    <col min="6921" max="6921" width="11.85546875" style="3" customWidth="1"/>
    <col min="6922" max="6949" width="9.140625" style="3"/>
    <col min="6950" max="6950" width="4" style="3" customWidth="1"/>
    <col min="6951" max="6951" width="12.5703125" style="3" customWidth="1"/>
    <col min="6952" max="6952" width="30.85546875" style="3" customWidth="1"/>
    <col min="6953" max="6954" width="18.5703125" style="3" bestFit="1" customWidth="1"/>
    <col min="6955" max="6955" width="16.42578125" style="3" customWidth="1"/>
    <col min="6956" max="6959" width="15.7109375" style="3" customWidth="1"/>
    <col min="6960" max="6960" width="19.85546875" style="3" customWidth="1"/>
    <col min="6961" max="6961" width="18.5703125" style="3" customWidth="1"/>
    <col min="6962" max="7166" width="9.140625" style="3"/>
    <col min="7167" max="7167" width="3" style="3" customWidth="1"/>
    <col min="7168" max="7168" width="32.7109375" style="3" bestFit="1" customWidth="1"/>
    <col min="7169" max="7170" width="0" style="3" hidden="1" customWidth="1"/>
    <col min="7171" max="7171" width="19.7109375" style="3" customWidth="1"/>
    <col min="7172" max="7172" width="15.7109375" style="3" customWidth="1"/>
    <col min="7173" max="7173" width="13.85546875" style="3" customWidth="1"/>
    <col min="7174" max="7174" width="19.7109375" style="3" customWidth="1"/>
    <col min="7175" max="7175" width="15.28515625" style="3" customWidth="1"/>
    <col min="7176" max="7176" width="21.85546875" style="3" customWidth="1"/>
    <col min="7177" max="7177" width="11.85546875" style="3" customWidth="1"/>
    <col min="7178" max="7205" width="9.140625" style="3"/>
    <col min="7206" max="7206" width="4" style="3" customWidth="1"/>
    <col min="7207" max="7207" width="12.5703125" style="3" customWidth="1"/>
    <col min="7208" max="7208" width="30.85546875" style="3" customWidth="1"/>
    <col min="7209" max="7210" width="18.5703125" style="3" bestFit="1" customWidth="1"/>
    <col min="7211" max="7211" width="16.42578125" style="3" customWidth="1"/>
    <col min="7212" max="7215" width="15.7109375" style="3" customWidth="1"/>
    <col min="7216" max="7216" width="19.85546875" style="3" customWidth="1"/>
    <col min="7217" max="7217" width="18.5703125" style="3" customWidth="1"/>
    <col min="7218" max="7422" width="9.140625" style="3"/>
    <col min="7423" max="7423" width="3" style="3" customWidth="1"/>
    <col min="7424" max="7424" width="32.7109375" style="3" bestFit="1" customWidth="1"/>
    <col min="7425" max="7426" width="0" style="3" hidden="1" customWidth="1"/>
    <col min="7427" max="7427" width="19.7109375" style="3" customWidth="1"/>
    <col min="7428" max="7428" width="15.7109375" style="3" customWidth="1"/>
    <col min="7429" max="7429" width="13.85546875" style="3" customWidth="1"/>
    <col min="7430" max="7430" width="19.7109375" style="3" customWidth="1"/>
    <col min="7431" max="7431" width="15.28515625" style="3" customWidth="1"/>
    <col min="7432" max="7432" width="21.85546875" style="3" customWidth="1"/>
    <col min="7433" max="7433" width="11.85546875" style="3" customWidth="1"/>
    <col min="7434" max="7461" width="9.140625" style="3"/>
    <col min="7462" max="7462" width="4" style="3" customWidth="1"/>
    <col min="7463" max="7463" width="12.5703125" style="3" customWidth="1"/>
    <col min="7464" max="7464" width="30.85546875" style="3" customWidth="1"/>
    <col min="7465" max="7466" width="18.5703125" style="3" bestFit="1" customWidth="1"/>
    <col min="7467" max="7467" width="16.42578125" style="3" customWidth="1"/>
    <col min="7468" max="7471" width="15.7109375" style="3" customWidth="1"/>
    <col min="7472" max="7472" width="19.85546875" style="3" customWidth="1"/>
    <col min="7473" max="7473" width="18.5703125" style="3" customWidth="1"/>
    <col min="7474" max="7678" width="9.140625" style="3"/>
    <col min="7679" max="7679" width="3" style="3" customWidth="1"/>
    <col min="7680" max="7680" width="32.7109375" style="3" bestFit="1" customWidth="1"/>
    <col min="7681" max="7682" width="0" style="3" hidden="1" customWidth="1"/>
    <col min="7683" max="7683" width="19.7109375" style="3" customWidth="1"/>
    <col min="7684" max="7684" width="15.7109375" style="3" customWidth="1"/>
    <col min="7685" max="7685" width="13.85546875" style="3" customWidth="1"/>
    <col min="7686" max="7686" width="19.7109375" style="3" customWidth="1"/>
    <col min="7687" max="7687" width="15.28515625" style="3" customWidth="1"/>
    <col min="7688" max="7688" width="21.85546875" style="3" customWidth="1"/>
    <col min="7689" max="7689" width="11.85546875" style="3" customWidth="1"/>
    <col min="7690" max="7717" width="9.140625" style="3"/>
    <col min="7718" max="7718" width="4" style="3" customWidth="1"/>
    <col min="7719" max="7719" width="12.5703125" style="3" customWidth="1"/>
    <col min="7720" max="7720" width="30.85546875" style="3" customWidth="1"/>
    <col min="7721" max="7722" width="18.5703125" style="3" bestFit="1" customWidth="1"/>
    <col min="7723" max="7723" width="16.42578125" style="3" customWidth="1"/>
    <col min="7724" max="7727" width="15.7109375" style="3" customWidth="1"/>
    <col min="7728" max="7728" width="19.85546875" style="3" customWidth="1"/>
    <col min="7729" max="7729" width="18.5703125" style="3" customWidth="1"/>
    <col min="7730" max="7934" width="9.140625" style="3"/>
    <col min="7935" max="7935" width="3" style="3" customWidth="1"/>
    <col min="7936" max="7936" width="32.7109375" style="3" bestFit="1" customWidth="1"/>
    <col min="7937" max="7938" width="0" style="3" hidden="1" customWidth="1"/>
    <col min="7939" max="7939" width="19.7109375" style="3" customWidth="1"/>
    <col min="7940" max="7940" width="15.7109375" style="3" customWidth="1"/>
    <col min="7941" max="7941" width="13.85546875" style="3" customWidth="1"/>
    <col min="7942" max="7942" width="19.7109375" style="3" customWidth="1"/>
    <col min="7943" max="7943" width="15.28515625" style="3" customWidth="1"/>
    <col min="7944" max="7944" width="21.85546875" style="3" customWidth="1"/>
    <col min="7945" max="7945" width="11.85546875" style="3" customWidth="1"/>
    <col min="7946" max="7973" width="9.140625" style="3"/>
    <col min="7974" max="7974" width="4" style="3" customWidth="1"/>
    <col min="7975" max="7975" width="12.5703125" style="3" customWidth="1"/>
    <col min="7976" max="7976" width="30.85546875" style="3" customWidth="1"/>
    <col min="7977" max="7978" width="18.5703125" style="3" bestFit="1" customWidth="1"/>
    <col min="7979" max="7979" width="16.42578125" style="3" customWidth="1"/>
    <col min="7980" max="7983" width="15.7109375" style="3" customWidth="1"/>
    <col min="7984" max="7984" width="19.85546875" style="3" customWidth="1"/>
    <col min="7985" max="7985" width="18.5703125" style="3" customWidth="1"/>
    <col min="7986" max="8190" width="9.140625" style="3"/>
    <col min="8191" max="8191" width="3" style="3" customWidth="1"/>
    <col min="8192" max="8192" width="32.7109375" style="3" bestFit="1" customWidth="1"/>
    <col min="8193" max="8194" width="0" style="3" hidden="1" customWidth="1"/>
    <col min="8195" max="8195" width="19.7109375" style="3" customWidth="1"/>
    <col min="8196" max="8196" width="15.7109375" style="3" customWidth="1"/>
    <col min="8197" max="8197" width="13.85546875" style="3" customWidth="1"/>
    <col min="8198" max="8198" width="19.7109375" style="3" customWidth="1"/>
    <col min="8199" max="8199" width="15.28515625" style="3" customWidth="1"/>
    <col min="8200" max="8200" width="21.85546875" style="3" customWidth="1"/>
    <col min="8201" max="8201" width="11.85546875" style="3" customWidth="1"/>
    <col min="8202" max="8229" width="9.140625" style="3"/>
    <col min="8230" max="8230" width="4" style="3" customWidth="1"/>
    <col min="8231" max="8231" width="12.5703125" style="3" customWidth="1"/>
    <col min="8232" max="8232" width="30.85546875" style="3" customWidth="1"/>
    <col min="8233" max="8234" width="18.5703125" style="3" bestFit="1" customWidth="1"/>
    <col min="8235" max="8235" width="16.42578125" style="3" customWidth="1"/>
    <col min="8236" max="8239" width="15.7109375" style="3" customWidth="1"/>
    <col min="8240" max="8240" width="19.85546875" style="3" customWidth="1"/>
    <col min="8241" max="8241" width="18.5703125" style="3" customWidth="1"/>
    <col min="8242" max="8446" width="9.140625" style="3"/>
    <col min="8447" max="8447" width="3" style="3" customWidth="1"/>
    <col min="8448" max="8448" width="32.7109375" style="3" bestFit="1" customWidth="1"/>
    <col min="8449" max="8450" width="0" style="3" hidden="1" customWidth="1"/>
    <col min="8451" max="8451" width="19.7109375" style="3" customWidth="1"/>
    <col min="8452" max="8452" width="15.7109375" style="3" customWidth="1"/>
    <col min="8453" max="8453" width="13.85546875" style="3" customWidth="1"/>
    <col min="8454" max="8454" width="19.7109375" style="3" customWidth="1"/>
    <col min="8455" max="8455" width="15.28515625" style="3" customWidth="1"/>
    <col min="8456" max="8456" width="21.85546875" style="3" customWidth="1"/>
    <col min="8457" max="8457" width="11.85546875" style="3" customWidth="1"/>
    <col min="8458" max="8485" width="9.140625" style="3"/>
    <col min="8486" max="8486" width="4" style="3" customWidth="1"/>
    <col min="8487" max="8487" width="12.5703125" style="3" customWidth="1"/>
    <col min="8488" max="8488" width="30.85546875" style="3" customWidth="1"/>
    <col min="8489" max="8490" width="18.5703125" style="3" bestFit="1" customWidth="1"/>
    <col min="8491" max="8491" width="16.42578125" style="3" customWidth="1"/>
    <col min="8492" max="8495" width="15.7109375" style="3" customWidth="1"/>
    <col min="8496" max="8496" width="19.85546875" style="3" customWidth="1"/>
    <col min="8497" max="8497" width="18.5703125" style="3" customWidth="1"/>
    <col min="8498" max="8702" width="9.140625" style="3"/>
    <col min="8703" max="8703" width="3" style="3" customWidth="1"/>
    <col min="8704" max="8704" width="32.7109375" style="3" bestFit="1" customWidth="1"/>
    <col min="8705" max="8706" width="0" style="3" hidden="1" customWidth="1"/>
    <col min="8707" max="8707" width="19.7109375" style="3" customWidth="1"/>
    <col min="8708" max="8708" width="15.7109375" style="3" customWidth="1"/>
    <col min="8709" max="8709" width="13.85546875" style="3" customWidth="1"/>
    <col min="8710" max="8710" width="19.7109375" style="3" customWidth="1"/>
    <col min="8711" max="8711" width="15.28515625" style="3" customWidth="1"/>
    <col min="8712" max="8712" width="21.85546875" style="3" customWidth="1"/>
    <col min="8713" max="8713" width="11.85546875" style="3" customWidth="1"/>
    <col min="8714" max="8741" width="9.140625" style="3"/>
    <col min="8742" max="8742" width="4" style="3" customWidth="1"/>
    <col min="8743" max="8743" width="12.5703125" style="3" customWidth="1"/>
    <col min="8744" max="8744" width="30.85546875" style="3" customWidth="1"/>
    <col min="8745" max="8746" width="18.5703125" style="3" bestFit="1" customWidth="1"/>
    <col min="8747" max="8747" width="16.42578125" style="3" customWidth="1"/>
    <col min="8748" max="8751" width="15.7109375" style="3" customWidth="1"/>
    <col min="8752" max="8752" width="19.85546875" style="3" customWidth="1"/>
    <col min="8753" max="8753" width="18.5703125" style="3" customWidth="1"/>
    <col min="8754" max="8958" width="9.140625" style="3"/>
    <col min="8959" max="8959" width="3" style="3" customWidth="1"/>
    <col min="8960" max="8960" width="32.7109375" style="3" bestFit="1" customWidth="1"/>
    <col min="8961" max="8962" width="0" style="3" hidden="1" customWidth="1"/>
    <col min="8963" max="8963" width="19.7109375" style="3" customWidth="1"/>
    <col min="8964" max="8964" width="15.7109375" style="3" customWidth="1"/>
    <col min="8965" max="8965" width="13.85546875" style="3" customWidth="1"/>
    <col min="8966" max="8966" width="19.7109375" style="3" customWidth="1"/>
    <col min="8967" max="8967" width="15.28515625" style="3" customWidth="1"/>
    <col min="8968" max="8968" width="21.85546875" style="3" customWidth="1"/>
    <col min="8969" max="8969" width="11.85546875" style="3" customWidth="1"/>
    <col min="8970" max="8997" width="9.140625" style="3"/>
    <col min="8998" max="8998" width="4" style="3" customWidth="1"/>
    <col min="8999" max="8999" width="12.5703125" style="3" customWidth="1"/>
    <col min="9000" max="9000" width="30.85546875" style="3" customWidth="1"/>
    <col min="9001" max="9002" width="18.5703125" style="3" bestFit="1" customWidth="1"/>
    <col min="9003" max="9003" width="16.42578125" style="3" customWidth="1"/>
    <col min="9004" max="9007" width="15.7109375" style="3" customWidth="1"/>
    <col min="9008" max="9008" width="19.85546875" style="3" customWidth="1"/>
    <col min="9009" max="9009" width="18.5703125" style="3" customWidth="1"/>
    <col min="9010" max="9214" width="9.140625" style="3"/>
    <col min="9215" max="9215" width="3" style="3" customWidth="1"/>
    <col min="9216" max="9216" width="32.7109375" style="3" bestFit="1" customWidth="1"/>
    <col min="9217" max="9218" width="0" style="3" hidden="1" customWidth="1"/>
    <col min="9219" max="9219" width="19.7109375" style="3" customWidth="1"/>
    <col min="9220" max="9220" width="15.7109375" style="3" customWidth="1"/>
    <col min="9221" max="9221" width="13.85546875" style="3" customWidth="1"/>
    <col min="9222" max="9222" width="19.7109375" style="3" customWidth="1"/>
    <col min="9223" max="9223" width="15.28515625" style="3" customWidth="1"/>
    <col min="9224" max="9224" width="21.85546875" style="3" customWidth="1"/>
    <col min="9225" max="9225" width="11.85546875" style="3" customWidth="1"/>
    <col min="9226" max="9253" width="9.140625" style="3"/>
    <col min="9254" max="9254" width="4" style="3" customWidth="1"/>
    <col min="9255" max="9255" width="12.5703125" style="3" customWidth="1"/>
    <col min="9256" max="9256" width="30.85546875" style="3" customWidth="1"/>
    <col min="9257" max="9258" width="18.5703125" style="3" bestFit="1" customWidth="1"/>
    <col min="9259" max="9259" width="16.42578125" style="3" customWidth="1"/>
    <col min="9260" max="9263" width="15.7109375" style="3" customWidth="1"/>
    <col min="9264" max="9264" width="19.85546875" style="3" customWidth="1"/>
    <col min="9265" max="9265" width="18.5703125" style="3" customWidth="1"/>
    <col min="9266" max="9470" width="9.140625" style="3"/>
    <col min="9471" max="9471" width="3" style="3" customWidth="1"/>
    <col min="9472" max="9472" width="32.7109375" style="3" bestFit="1" customWidth="1"/>
    <col min="9473" max="9474" width="0" style="3" hidden="1" customWidth="1"/>
    <col min="9475" max="9475" width="19.7109375" style="3" customWidth="1"/>
    <col min="9476" max="9476" width="15.7109375" style="3" customWidth="1"/>
    <col min="9477" max="9477" width="13.85546875" style="3" customWidth="1"/>
    <col min="9478" max="9478" width="19.7109375" style="3" customWidth="1"/>
    <col min="9479" max="9479" width="15.28515625" style="3" customWidth="1"/>
    <col min="9480" max="9480" width="21.85546875" style="3" customWidth="1"/>
    <col min="9481" max="9481" width="11.85546875" style="3" customWidth="1"/>
    <col min="9482" max="9509" width="9.140625" style="3"/>
    <col min="9510" max="9510" width="4" style="3" customWidth="1"/>
    <col min="9511" max="9511" width="12.5703125" style="3" customWidth="1"/>
    <col min="9512" max="9512" width="30.85546875" style="3" customWidth="1"/>
    <col min="9513" max="9514" width="18.5703125" style="3" bestFit="1" customWidth="1"/>
    <col min="9515" max="9515" width="16.42578125" style="3" customWidth="1"/>
    <col min="9516" max="9519" width="15.7109375" style="3" customWidth="1"/>
    <col min="9520" max="9520" width="19.85546875" style="3" customWidth="1"/>
    <col min="9521" max="9521" width="18.5703125" style="3" customWidth="1"/>
    <col min="9522" max="9726" width="9.140625" style="3"/>
    <col min="9727" max="9727" width="3" style="3" customWidth="1"/>
    <col min="9728" max="9728" width="32.7109375" style="3" bestFit="1" customWidth="1"/>
    <col min="9729" max="9730" width="0" style="3" hidden="1" customWidth="1"/>
    <col min="9731" max="9731" width="19.7109375" style="3" customWidth="1"/>
    <col min="9732" max="9732" width="15.7109375" style="3" customWidth="1"/>
    <col min="9733" max="9733" width="13.85546875" style="3" customWidth="1"/>
    <col min="9734" max="9734" width="19.7109375" style="3" customWidth="1"/>
    <col min="9735" max="9735" width="15.28515625" style="3" customWidth="1"/>
    <col min="9736" max="9736" width="21.85546875" style="3" customWidth="1"/>
    <col min="9737" max="9737" width="11.85546875" style="3" customWidth="1"/>
    <col min="9738" max="9765" width="9.140625" style="3"/>
    <col min="9766" max="9766" width="4" style="3" customWidth="1"/>
    <col min="9767" max="9767" width="12.5703125" style="3" customWidth="1"/>
    <col min="9768" max="9768" width="30.85546875" style="3" customWidth="1"/>
    <col min="9769" max="9770" width="18.5703125" style="3" bestFit="1" customWidth="1"/>
    <col min="9771" max="9771" width="16.42578125" style="3" customWidth="1"/>
    <col min="9772" max="9775" width="15.7109375" style="3" customWidth="1"/>
    <col min="9776" max="9776" width="19.85546875" style="3" customWidth="1"/>
    <col min="9777" max="9777" width="18.5703125" style="3" customWidth="1"/>
    <col min="9778" max="9982" width="9.140625" style="3"/>
    <col min="9983" max="9983" width="3" style="3" customWidth="1"/>
    <col min="9984" max="9984" width="32.7109375" style="3" bestFit="1" customWidth="1"/>
    <col min="9985" max="9986" width="0" style="3" hidden="1" customWidth="1"/>
    <col min="9987" max="9987" width="19.7109375" style="3" customWidth="1"/>
    <col min="9988" max="9988" width="15.7109375" style="3" customWidth="1"/>
    <col min="9989" max="9989" width="13.85546875" style="3" customWidth="1"/>
    <col min="9990" max="9990" width="19.7109375" style="3" customWidth="1"/>
    <col min="9991" max="9991" width="15.28515625" style="3" customWidth="1"/>
    <col min="9992" max="9992" width="21.85546875" style="3" customWidth="1"/>
    <col min="9993" max="9993" width="11.85546875" style="3" customWidth="1"/>
    <col min="9994" max="10021" width="9.140625" style="3"/>
    <col min="10022" max="10022" width="4" style="3" customWidth="1"/>
    <col min="10023" max="10023" width="12.5703125" style="3" customWidth="1"/>
    <col min="10024" max="10024" width="30.85546875" style="3" customWidth="1"/>
    <col min="10025" max="10026" width="18.5703125" style="3" bestFit="1" customWidth="1"/>
    <col min="10027" max="10027" width="16.42578125" style="3" customWidth="1"/>
    <col min="10028" max="10031" width="15.7109375" style="3" customWidth="1"/>
    <col min="10032" max="10032" width="19.85546875" style="3" customWidth="1"/>
    <col min="10033" max="10033" width="18.5703125" style="3" customWidth="1"/>
    <col min="10034" max="10238" width="9.140625" style="3"/>
    <col min="10239" max="10239" width="3" style="3" customWidth="1"/>
    <col min="10240" max="10240" width="32.7109375" style="3" bestFit="1" customWidth="1"/>
    <col min="10241" max="10242" width="0" style="3" hidden="1" customWidth="1"/>
    <col min="10243" max="10243" width="19.7109375" style="3" customWidth="1"/>
    <col min="10244" max="10244" width="15.7109375" style="3" customWidth="1"/>
    <col min="10245" max="10245" width="13.85546875" style="3" customWidth="1"/>
    <col min="10246" max="10246" width="19.7109375" style="3" customWidth="1"/>
    <col min="10247" max="10247" width="15.28515625" style="3" customWidth="1"/>
    <col min="10248" max="10248" width="21.85546875" style="3" customWidth="1"/>
    <col min="10249" max="10249" width="11.85546875" style="3" customWidth="1"/>
    <col min="10250" max="10277" width="9.140625" style="3"/>
    <col min="10278" max="10278" width="4" style="3" customWidth="1"/>
    <col min="10279" max="10279" width="12.5703125" style="3" customWidth="1"/>
    <col min="10280" max="10280" width="30.85546875" style="3" customWidth="1"/>
    <col min="10281" max="10282" width="18.5703125" style="3" bestFit="1" customWidth="1"/>
    <col min="10283" max="10283" width="16.42578125" style="3" customWidth="1"/>
    <col min="10284" max="10287" width="15.7109375" style="3" customWidth="1"/>
    <col min="10288" max="10288" width="19.85546875" style="3" customWidth="1"/>
    <col min="10289" max="10289" width="18.5703125" style="3" customWidth="1"/>
    <col min="10290" max="10494" width="9.140625" style="3"/>
    <col min="10495" max="10495" width="3" style="3" customWidth="1"/>
    <col min="10496" max="10496" width="32.7109375" style="3" bestFit="1" customWidth="1"/>
    <col min="10497" max="10498" width="0" style="3" hidden="1" customWidth="1"/>
    <col min="10499" max="10499" width="19.7109375" style="3" customWidth="1"/>
    <col min="10500" max="10500" width="15.7109375" style="3" customWidth="1"/>
    <col min="10501" max="10501" width="13.85546875" style="3" customWidth="1"/>
    <col min="10502" max="10502" width="19.7109375" style="3" customWidth="1"/>
    <col min="10503" max="10503" width="15.28515625" style="3" customWidth="1"/>
    <col min="10504" max="10504" width="21.85546875" style="3" customWidth="1"/>
    <col min="10505" max="10505" width="11.85546875" style="3" customWidth="1"/>
    <col min="10506" max="10533" width="9.140625" style="3"/>
    <col min="10534" max="10534" width="4" style="3" customWidth="1"/>
    <col min="10535" max="10535" width="12.5703125" style="3" customWidth="1"/>
    <col min="10536" max="10536" width="30.85546875" style="3" customWidth="1"/>
    <col min="10537" max="10538" width="18.5703125" style="3" bestFit="1" customWidth="1"/>
    <col min="10539" max="10539" width="16.42578125" style="3" customWidth="1"/>
    <col min="10540" max="10543" width="15.7109375" style="3" customWidth="1"/>
    <col min="10544" max="10544" width="19.85546875" style="3" customWidth="1"/>
    <col min="10545" max="10545" width="18.5703125" style="3" customWidth="1"/>
    <col min="10546" max="10750" width="9.140625" style="3"/>
    <col min="10751" max="10751" width="3" style="3" customWidth="1"/>
    <col min="10752" max="10752" width="32.7109375" style="3" bestFit="1" customWidth="1"/>
    <col min="10753" max="10754" width="0" style="3" hidden="1" customWidth="1"/>
    <col min="10755" max="10755" width="19.7109375" style="3" customWidth="1"/>
    <col min="10756" max="10756" width="15.7109375" style="3" customWidth="1"/>
    <col min="10757" max="10757" width="13.85546875" style="3" customWidth="1"/>
    <col min="10758" max="10758" width="19.7109375" style="3" customWidth="1"/>
    <col min="10759" max="10759" width="15.28515625" style="3" customWidth="1"/>
    <col min="10760" max="10760" width="21.85546875" style="3" customWidth="1"/>
    <col min="10761" max="10761" width="11.85546875" style="3" customWidth="1"/>
    <col min="10762" max="10789" width="9.140625" style="3"/>
    <col min="10790" max="10790" width="4" style="3" customWidth="1"/>
    <col min="10791" max="10791" width="12.5703125" style="3" customWidth="1"/>
    <col min="10792" max="10792" width="30.85546875" style="3" customWidth="1"/>
    <col min="10793" max="10794" width="18.5703125" style="3" bestFit="1" customWidth="1"/>
    <col min="10795" max="10795" width="16.42578125" style="3" customWidth="1"/>
    <col min="10796" max="10799" width="15.7109375" style="3" customWidth="1"/>
    <col min="10800" max="10800" width="19.85546875" style="3" customWidth="1"/>
    <col min="10801" max="10801" width="18.5703125" style="3" customWidth="1"/>
    <col min="10802" max="11006" width="9.140625" style="3"/>
    <col min="11007" max="11007" width="3" style="3" customWidth="1"/>
    <col min="11008" max="11008" width="32.7109375" style="3" bestFit="1" customWidth="1"/>
    <col min="11009" max="11010" width="0" style="3" hidden="1" customWidth="1"/>
    <col min="11011" max="11011" width="19.7109375" style="3" customWidth="1"/>
    <col min="11012" max="11012" width="15.7109375" style="3" customWidth="1"/>
    <col min="11013" max="11013" width="13.85546875" style="3" customWidth="1"/>
    <col min="11014" max="11014" width="19.7109375" style="3" customWidth="1"/>
    <col min="11015" max="11015" width="15.28515625" style="3" customWidth="1"/>
    <col min="11016" max="11016" width="21.85546875" style="3" customWidth="1"/>
    <col min="11017" max="11017" width="11.85546875" style="3" customWidth="1"/>
    <col min="11018" max="11045" width="9.140625" style="3"/>
    <col min="11046" max="11046" width="4" style="3" customWidth="1"/>
    <col min="11047" max="11047" width="12.5703125" style="3" customWidth="1"/>
    <col min="11048" max="11048" width="30.85546875" style="3" customWidth="1"/>
    <col min="11049" max="11050" width="18.5703125" style="3" bestFit="1" customWidth="1"/>
    <col min="11051" max="11051" width="16.42578125" style="3" customWidth="1"/>
    <col min="11052" max="11055" width="15.7109375" style="3" customWidth="1"/>
    <col min="11056" max="11056" width="19.85546875" style="3" customWidth="1"/>
    <col min="11057" max="11057" width="18.5703125" style="3" customWidth="1"/>
    <col min="11058" max="11262" width="9.140625" style="3"/>
    <col min="11263" max="11263" width="3" style="3" customWidth="1"/>
    <col min="11264" max="11264" width="32.7109375" style="3" bestFit="1" customWidth="1"/>
    <col min="11265" max="11266" width="0" style="3" hidden="1" customWidth="1"/>
    <col min="11267" max="11267" width="19.7109375" style="3" customWidth="1"/>
    <col min="11268" max="11268" width="15.7109375" style="3" customWidth="1"/>
    <col min="11269" max="11269" width="13.85546875" style="3" customWidth="1"/>
    <col min="11270" max="11270" width="19.7109375" style="3" customWidth="1"/>
    <col min="11271" max="11271" width="15.28515625" style="3" customWidth="1"/>
    <col min="11272" max="11272" width="21.85546875" style="3" customWidth="1"/>
    <col min="11273" max="11273" width="11.85546875" style="3" customWidth="1"/>
    <col min="11274" max="11301" width="9.140625" style="3"/>
    <col min="11302" max="11302" width="4" style="3" customWidth="1"/>
    <col min="11303" max="11303" width="12.5703125" style="3" customWidth="1"/>
    <col min="11304" max="11304" width="30.85546875" style="3" customWidth="1"/>
    <col min="11305" max="11306" width="18.5703125" style="3" bestFit="1" customWidth="1"/>
    <col min="11307" max="11307" width="16.42578125" style="3" customWidth="1"/>
    <col min="11308" max="11311" width="15.7109375" style="3" customWidth="1"/>
    <col min="11312" max="11312" width="19.85546875" style="3" customWidth="1"/>
    <col min="11313" max="11313" width="18.5703125" style="3" customWidth="1"/>
    <col min="11314" max="11518" width="9.140625" style="3"/>
    <col min="11519" max="11519" width="3" style="3" customWidth="1"/>
    <col min="11520" max="11520" width="32.7109375" style="3" bestFit="1" customWidth="1"/>
    <col min="11521" max="11522" width="0" style="3" hidden="1" customWidth="1"/>
    <col min="11523" max="11523" width="19.7109375" style="3" customWidth="1"/>
    <col min="11524" max="11524" width="15.7109375" style="3" customWidth="1"/>
    <col min="11525" max="11525" width="13.85546875" style="3" customWidth="1"/>
    <col min="11526" max="11526" width="19.7109375" style="3" customWidth="1"/>
    <col min="11527" max="11527" width="15.28515625" style="3" customWidth="1"/>
    <col min="11528" max="11528" width="21.85546875" style="3" customWidth="1"/>
    <col min="11529" max="11529" width="11.85546875" style="3" customWidth="1"/>
    <col min="11530" max="11557" width="9.140625" style="3"/>
    <col min="11558" max="11558" width="4" style="3" customWidth="1"/>
    <col min="11559" max="11559" width="12.5703125" style="3" customWidth="1"/>
    <col min="11560" max="11560" width="30.85546875" style="3" customWidth="1"/>
    <col min="11561" max="11562" width="18.5703125" style="3" bestFit="1" customWidth="1"/>
    <col min="11563" max="11563" width="16.42578125" style="3" customWidth="1"/>
    <col min="11564" max="11567" width="15.7109375" style="3" customWidth="1"/>
    <col min="11568" max="11568" width="19.85546875" style="3" customWidth="1"/>
    <col min="11569" max="11569" width="18.5703125" style="3" customWidth="1"/>
    <col min="11570" max="11774" width="9.140625" style="3"/>
    <col min="11775" max="11775" width="3" style="3" customWidth="1"/>
    <col min="11776" max="11776" width="32.7109375" style="3" bestFit="1" customWidth="1"/>
    <col min="11777" max="11778" width="0" style="3" hidden="1" customWidth="1"/>
    <col min="11779" max="11779" width="19.7109375" style="3" customWidth="1"/>
    <col min="11780" max="11780" width="15.7109375" style="3" customWidth="1"/>
    <col min="11781" max="11781" width="13.85546875" style="3" customWidth="1"/>
    <col min="11782" max="11782" width="19.7109375" style="3" customWidth="1"/>
    <col min="11783" max="11783" width="15.28515625" style="3" customWidth="1"/>
    <col min="11784" max="11784" width="21.85546875" style="3" customWidth="1"/>
    <col min="11785" max="11785" width="11.85546875" style="3" customWidth="1"/>
    <col min="11786" max="11813" width="9.140625" style="3"/>
    <col min="11814" max="11814" width="4" style="3" customWidth="1"/>
    <col min="11815" max="11815" width="12.5703125" style="3" customWidth="1"/>
    <col min="11816" max="11816" width="30.85546875" style="3" customWidth="1"/>
    <col min="11817" max="11818" width="18.5703125" style="3" bestFit="1" customWidth="1"/>
    <col min="11819" max="11819" width="16.42578125" style="3" customWidth="1"/>
    <col min="11820" max="11823" width="15.7109375" style="3" customWidth="1"/>
    <col min="11824" max="11824" width="19.85546875" style="3" customWidth="1"/>
    <col min="11825" max="11825" width="18.5703125" style="3" customWidth="1"/>
    <col min="11826" max="12030" width="9.140625" style="3"/>
    <col min="12031" max="12031" width="3" style="3" customWidth="1"/>
    <col min="12032" max="12032" width="32.7109375" style="3" bestFit="1" customWidth="1"/>
    <col min="12033" max="12034" width="0" style="3" hidden="1" customWidth="1"/>
    <col min="12035" max="12035" width="19.7109375" style="3" customWidth="1"/>
    <col min="12036" max="12036" width="15.7109375" style="3" customWidth="1"/>
    <col min="12037" max="12037" width="13.85546875" style="3" customWidth="1"/>
    <col min="12038" max="12038" width="19.7109375" style="3" customWidth="1"/>
    <col min="12039" max="12039" width="15.28515625" style="3" customWidth="1"/>
    <col min="12040" max="12040" width="21.85546875" style="3" customWidth="1"/>
    <col min="12041" max="12041" width="11.85546875" style="3" customWidth="1"/>
    <col min="12042" max="12069" width="9.140625" style="3"/>
    <col min="12070" max="12070" width="4" style="3" customWidth="1"/>
    <col min="12071" max="12071" width="12.5703125" style="3" customWidth="1"/>
    <col min="12072" max="12072" width="30.85546875" style="3" customWidth="1"/>
    <col min="12073" max="12074" width="18.5703125" style="3" bestFit="1" customWidth="1"/>
    <col min="12075" max="12075" width="16.42578125" style="3" customWidth="1"/>
    <col min="12076" max="12079" width="15.7109375" style="3" customWidth="1"/>
    <col min="12080" max="12080" width="19.85546875" style="3" customWidth="1"/>
    <col min="12081" max="12081" width="18.5703125" style="3" customWidth="1"/>
    <col min="12082" max="12286" width="9.140625" style="3"/>
    <col min="12287" max="12287" width="3" style="3" customWidth="1"/>
    <col min="12288" max="12288" width="32.7109375" style="3" bestFit="1" customWidth="1"/>
    <col min="12289" max="12290" width="0" style="3" hidden="1" customWidth="1"/>
    <col min="12291" max="12291" width="19.7109375" style="3" customWidth="1"/>
    <col min="12292" max="12292" width="15.7109375" style="3" customWidth="1"/>
    <col min="12293" max="12293" width="13.85546875" style="3" customWidth="1"/>
    <col min="12294" max="12294" width="19.7109375" style="3" customWidth="1"/>
    <col min="12295" max="12295" width="15.28515625" style="3" customWidth="1"/>
    <col min="12296" max="12296" width="21.85546875" style="3" customWidth="1"/>
    <col min="12297" max="12297" width="11.85546875" style="3" customWidth="1"/>
    <col min="12298" max="12325" width="9.140625" style="3"/>
    <col min="12326" max="12326" width="4" style="3" customWidth="1"/>
    <col min="12327" max="12327" width="12.5703125" style="3" customWidth="1"/>
    <col min="12328" max="12328" width="30.85546875" style="3" customWidth="1"/>
    <col min="12329" max="12330" width="18.5703125" style="3" bestFit="1" customWidth="1"/>
    <col min="12331" max="12331" width="16.42578125" style="3" customWidth="1"/>
    <col min="12332" max="12335" width="15.7109375" style="3" customWidth="1"/>
    <col min="12336" max="12336" width="19.85546875" style="3" customWidth="1"/>
    <col min="12337" max="12337" width="18.5703125" style="3" customWidth="1"/>
    <col min="12338" max="12542" width="9.140625" style="3"/>
    <col min="12543" max="12543" width="3" style="3" customWidth="1"/>
    <col min="12544" max="12544" width="32.7109375" style="3" bestFit="1" customWidth="1"/>
    <col min="12545" max="12546" width="0" style="3" hidden="1" customWidth="1"/>
    <col min="12547" max="12547" width="19.7109375" style="3" customWidth="1"/>
    <col min="12548" max="12548" width="15.7109375" style="3" customWidth="1"/>
    <col min="12549" max="12549" width="13.85546875" style="3" customWidth="1"/>
    <col min="12550" max="12550" width="19.7109375" style="3" customWidth="1"/>
    <col min="12551" max="12551" width="15.28515625" style="3" customWidth="1"/>
    <col min="12552" max="12552" width="21.85546875" style="3" customWidth="1"/>
    <col min="12553" max="12553" width="11.85546875" style="3" customWidth="1"/>
    <col min="12554" max="12581" width="9.140625" style="3"/>
    <col min="12582" max="12582" width="4" style="3" customWidth="1"/>
    <col min="12583" max="12583" width="12.5703125" style="3" customWidth="1"/>
    <col min="12584" max="12584" width="30.85546875" style="3" customWidth="1"/>
    <col min="12585" max="12586" width="18.5703125" style="3" bestFit="1" customWidth="1"/>
    <col min="12587" max="12587" width="16.42578125" style="3" customWidth="1"/>
    <col min="12588" max="12591" width="15.7109375" style="3" customWidth="1"/>
    <col min="12592" max="12592" width="19.85546875" style="3" customWidth="1"/>
    <col min="12593" max="12593" width="18.5703125" style="3" customWidth="1"/>
    <col min="12594" max="12798" width="9.140625" style="3"/>
    <col min="12799" max="12799" width="3" style="3" customWidth="1"/>
    <col min="12800" max="12800" width="32.7109375" style="3" bestFit="1" customWidth="1"/>
    <col min="12801" max="12802" width="0" style="3" hidden="1" customWidth="1"/>
    <col min="12803" max="12803" width="19.7109375" style="3" customWidth="1"/>
    <col min="12804" max="12804" width="15.7109375" style="3" customWidth="1"/>
    <col min="12805" max="12805" width="13.85546875" style="3" customWidth="1"/>
    <col min="12806" max="12806" width="19.7109375" style="3" customWidth="1"/>
    <col min="12807" max="12807" width="15.28515625" style="3" customWidth="1"/>
    <col min="12808" max="12808" width="21.85546875" style="3" customWidth="1"/>
    <col min="12809" max="12809" width="11.85546875" style="3" customWidth="1"/>
    <col min="12810" max="12837" width="9.140625" style="3"/>
    <col min="12838" max="12838" width="4" style="3" customWidth="1"/>
    <col min="12839" max="12839" width="12.5703125" style="3" customWidth="1"/>
    <col min="12840" max="12840" width="30.85546875" style="3" customWidth="1"/>
    <col min="12841" max="12842" width="18.5703125" style="3" bestFit="1" customWidth="1"/>
    <col min="12843" max="12843" width="16.42578125" style="3" customWidth="1"/>
    <col min="12844" max="12847" width="15.7109375" style="3" customWidth="1"/>
    <col min="12848" max="12848" width="19.85546875" style="3" customWidth="1"/>
    <col min="12849" max="12849" width="18.5703125" style="3" customWidth="1"/>
    <col min="12850" max="13054" width="9.140625" style="3"/>
    <col min="13055" max="13055" width="3" style="3" customWidth="1"/>
    <col min="13056" max="13056" width="32.7109375" style="3" bestFit="1" customWidth="1"/>
    <col min="13057" max="13058" width="0" style="3" hidden="1" customWidth="1"/>
    <col min="13059" max="13059" width="19.7109375" style="3" customWidth="1"/>
    <col min="13060" max="13060" width="15.7109375" style="3" customWidth="1"/>
    <col min="13061" max="13061" width="13.85546875" style="3" customWidth="1"/>
    <col min="13062" max="13062" width="19.7109375" style="3" customWidth="1"/>
    <col min="13063" max="13063" width="15.28515625" style="3" customWidth="1"/>
    <col min="13064" max="13064" width="21.85546875" style="3" customWidth="1"/>
    <col min="13065" max="13065" width="11.85546875" style="3" customWidth="1"/>
    <col min="13066" max="13093" width="9.140625" style="3"/>
    <col min="13094" max="13094" width="4" style="3" customWidth="1"/>
    <col min="13095" max="13095" width="12.5703125" style="3" customWidth="1"/>
    <col min="13096" max="13096" width="30.85546875" style="3" customWidth="1"/>
    <col min="13097" max="13098" width="18.5703125" style="3" bestFit="1" customWidth="1"/>
    <col min="13099" max="13099" width="16.42578125" style="3" customWidth="1"/>
    <col min="13100" max="13103" width="15.7109375" style="3" customWidth="1"/>
    <col min="13104" max="13104" width="19.85546875" style="3" customWidth="1"/>
    <col min="13105" max="13105" width="18.5703125" style="3" customWidth="1"/>
    <col min="13106" max="13310" width="9.140625" style="3"/>
    <col min="13311" max="13311" width="3" style="3" customWidth="1"/>
    <col min="13312" max="13312" width="32.7109375" style="3" bestFit="1" customWidth="1"/>
    <col min="13313" max="13314" width="0" style="3" hidden="1" customWidth="1"/>
    <col min="13315" max="13315" width="19.7109375" style="3" customWidth="1"/>
    <col min="13316" max="13316" width="15.7109375" style="3" customWidth="1"/>
    <col min="13317" max="13317" width="13.85546875" style="3" customWidth="1"/>
    <col min="13318" max="13318" width="19.7109375" style="3" customWidth="1"/>
    <col min="13319" max="13319" width="15.28515625" style="3" customWidth="1"/>
    <col min="13320" max="13320" width="21.85546875" style="3" customWidth="1"/>
    <col min="13321" max="13321" width="11.85546875" style="3" customWidth="1"/>
    <col min="13322" max="13349" width="9.140625" style="3"/>
    <col min="13350" max="13350" width="4" style="3" customWidth="1"/>
    <col min="13351" max="13351" width="12.5703125" style="3" customWidth="1"/>
    <col min="13352" max="13352" width="30.85546875" style="3" customWidth="1"/>
    <col min="13353" max="13354" width="18.5703125" style="3" bestFit="1" customWidth="1"/>
    <col min="13355" max="13355" width="16.42578125" style="3" customWidth="1"/>
    <col min="13356" max="13359" width="15.7109375" style="3" customWidth="1"/>
    <col min="13360" max="13360" width="19.85546875" style="3" customWidth="1"/>
    <col min="13361" max="13361" width="18.5703125" style="3" customWidth="1"/>
    <col min="13362" max="13566" width="9.140625" style="3"/>
    <col min="13567" max="13567" width="3" style="3" customWidth="1"/>
    <col min="13568" max="13568" width="32.7109375" style="3" bestFit="1" customWidth="1"/>
    <col min="13569" max="13570" width="0" style="3" hidden="1" customWidth="1"/>
    <col min="13571" max="13571" width="19.7109375" style="3" customWidth="1"/>
    <col min="13572" max="13572" width="15.7109375" style="3" customWidth="1"/>
    <col min="13573" max="13573" width="13.85546875" style="3" customWidth="1"/>
    <col min="13574" max="13574" width="19.7109375" style="3" customWidth="1"/>
    <col min="13575" max="13575" width="15.28515625" style="3" customWidth="1"/>
    <col min="13576" max="13576" width="21.85546875" style="3" customWidth="1"/>
    <col min="13577" max="13577" width="11.85546875" style="3" customWidth="1"/>
    <col min="13578" max="13605" width="9.140625" style="3"/>
    <col min="13606" max="13606" width="4" style="3" customWidth="1"/>
    <col min="13607" max="13607" width="12.5703125" style="3" customWidth="1"/>
    <col min="13608" max="13608" width="30.85546875" style="3" customWidth="1"/>
    <col min="13609" max="13610" width="18.5703125" style="3" bestFit="1" customWidth="1"/>
    <col min="13611" max="13611" width="16.42578125" style="3" customWidth="1"/>
    <col min="13612" max="13615" width="15.7109375" style="3" customWidth="1"/>
    <col min="13616" max="13616" width="19.85546875" style="3" customWidth="1"/>
    <col min="13617" max="13617" width="18.5703125" style="3" customWidth="1"/>
    <col min="13618" max="13822" width="9.140625" style="3"/>
    <col min="13823" max="13823" width="3" style="3" customWidth="1"/>
    <col min="13824" max="13824" width="32.7109375" style="3" bestFit="1" customWidth="1"/>
    <col min="13825" max="13826" width="0" style="3" hidden="1" customWidth="1"/>
    <col min="13827" max="13827" width="19.7109375" style="3" customWidth="1"/>
    <col min="13828" max="13828" width="15.7109375" style="3" customWidth="1"/>
    <col min="13829" max="13829" width="13.85546875" style="3" customWidth="1"/>
    <col min="13830" max="13830" width="19.7109375" style="3" customWidth="1"/>
    <col min="13831" max="13831" width="15.28515625" style="3" customWidth="1"/>
    <col min="13832" max="13832" width="21.85546875" style="3" customWidth="1"/>
    <col min="13833" max="13833" width="11.85546875" style="3" customWidth="1"/>
    <col min="13834" max="13861" width="9.140625" style="3"/>
    <col min="13862" max="13862" width="4" style="3" customWidth="1"/>
    <col min="13863" max="13863" width="12.5703125" style="3" customWidth="1"/>
    <col min="13864" max="13864" width="30.85546875" style="3" customWidth="1"/>
    <col min="13865" max="13866" width="18.5703125" style="3" bestFit="1" customWidth="1"/>
    <col min="13867" max="13867" width="16.42578125" style="3" customWidth="1"/>
    <col min="13868" max="13871" width="15.7109375" style="3" customWidth="1"/>
    <col min="13872" max="13872" width="19.85546875" style="3" customWidth="1"/>
    <col min="13873" max="13873" width="18.5703125" style="3" customWidth="1"/>
    <col min="13874" max="14078" width="9.140625" style="3"/>
    <col min="14079" max="14079" width="3" style="3" customWidth="1"/>
    <col min="14080" max="14080" width="32.7109375" style="3" bestFit="1" customWidth="1"/>
    <col min="14081" max="14082" width="0" style="3" hidden="1" customWidth="1"/>
    <col min="14083" max="14083" width="19.7109375" style="3" customWidth="1"/>
    <col min="14084" max="14084" width="15.7109375" style="3" customWidth="1"/>
    <col min="14085" max="14085" width="13.85546875" style="3" customWidth="1"/>
    <col min="14086" max="14086" width="19.7109375" style="3" customWidth="1"/>
    <col min="14087" max="14087" width="15.28515625" style="3" customWidth="1"/>
    <col min="14088" max="14088" width="21.85546875" style="3" customWidth="1"/>
    <col min="14089" max="14089" width="11.85546875" style="3" customWidth="1"/>
    <col min="14090" max="14117" width="9.140625" style="3"/>
    <col min="14118" max="14118" width="4" style="3" customWidth="1"/>
    <col min="14119" max="14119" width="12.5703125" style="3" customWidth="1"/>
    <col min="14120" max="14120" width="30.85546875" style="3" customWidth="1"/>
    <col min="14121" max="14122" width="18.5703125" style="3" bestFit="1" customWidth="1"/>
    <col min="14123" max="14123" width="16.42578125" style="3" customWidth="1"/>
    <col min="14124" max="14127" width="15.7109375" style="3" customWidth="1"/>
    <col min="14128" max="14128" width="19.85546875" style="3" customWidth="1"/>
    <col min="14129" max="14129" width="18.5703125" style="3" customWidth="1"/>
    <col min="14130" max="14334" width="9.140625" style="3"/>
    <col min="14335" max="14335" width="3" style="3" customWidth="1"/>
    <col min="14336" max="14336" width="32.7109375" style="3" bestFit="1" customWidth="1"/>
    <col min="14337" max="14338" width="0" style="3" hidden="1" customWidth="1"/>
    <col min="14339" max="14339" width="19.7109375" style="3" customWidth="1"/>
    <col min="14340" max="14340" width="15.7109375" style="3" customWidth="1"/>
    <col min="14341" max="14341" width="13.85546875" style="3" customWidth="1"/>
    <col min="14342" max="14342" width="19.7109375" style="3" customWidth="1"/>
    <col min="14343" max="14343" width="15.28515625" style="3" customWidth="1"/>
    <col min="14344" max="14344" width="21.85546875" style="3" customWidth="1"/>
    <col min="14345" max="14345" width="11.85546875" style="3" customWidth="1"/>
    <col min="14346" max="14373" width="9.140625" style="3"/>
    <col min="14374" max="14374" width="4" style="3" customWidth="1"/>
    <col min="14375" max="14375" width="12.5703125" style="3" customWidth="1"/>
    <col min="14376" max="14376" width="30.85546875" style="3" customWidth="1"/>
    <col min="14377" max="14378" width="18.5703125" style="3" bestFit="1" customWidth="1"/>
    <col min="14379" max="14379" width="16.42578125" style="3" customWidth="1"/>
    <col min="14380" max="14383" width="15.7109375" style="3" customWidth="1"/>
    <col min="14384" max="14384" width="19.85546875" style="3" customWidth="1"/>
    <col min="14385" max="14385" width="18.5703125" style="3" customWidth="1"/>
    <col min="14386" max="14590" width="9.140625" style="3"/>
    <col min="14591" max="14591" width="3" style="3" customWidth="1"/>
    <col min="14592" max="14592" width="32.7109375" style="3" bestFit="1" customWidth="1"/>
    <col min="14593" max="14594" width="0" style="3" hidden="1" customWidth="1"/>
    <col min="14595" max="14595" width="19.7109375" style="3" customWidth="1"/>
    <col min="14596" max="14596" width="15.7109375" style="3" customWidth="1"/>
    <col min="14597" max="14597" width="13.85546875" style="3" customWidth="1"/>
    <col min="14598" max="14598" width="19.7109375" style="3" customWidth="1"/>
    <col min="14599" max="14599" width="15.28515625" style="3" customWidth="1"/>
    <col min="14600" max="14600" width="21.85546875" style="3" customWidth="1"/>
    <col min="14601" max="14601" width="11.85546875" style="3" customWidth="1"/>
    <col min="14602" max="14629" width="9.140625" style="3"/>
    <col min="14630" max="14630" width="4" style="3" customWidth="1"/>
    <col min="14631" max="14631" width="12.5703125" style="3" customWidth="1"/>
    <col min="14632" max="14632" width="30.85546875" style="3" customWidth="1"/>
    <col min="14633" max="14634" width="18.5703125" style="3" bestFit="1" customWidth="1"/>
    <col min="14635" max="14635" width="16.42578125" style="3" customWidth="1"/>
    <col min="14636" max="14639" width="15.7109375" style="3" customWidth="1"/>
    <col min="14640" max="14640" width="19.85546875" style="3" customWidth="1"/>
    <col min="14641" max="14641" width="18.5703125" style="3" customWidth="1"/>
    <col min="14642" max="14846" width="9.140625" style="3"/>
    <col min="14847" max="14847" width="3" style="3" customWidth="1"/>
    <col min="14848" max="14848" width="32.7109375" style="3" bestFit="1" customWidth="1"/>
    <col min="14849" max="14850" width="0" style="3" hidden="1" customWidth="1"/>
    <col min="14851" max="14851" width="19.7109375" style="3" customWidth="1"/>
    <col min="14852" max="14852" width="15.7109375" style="3" customWidth="1"/>
    <col min="14853" max="14853" width="13.85546875" style="3" customWidth="1"/>
    <col min="14854" max="14854" width="19.7109375" style="3" customWidth="1"/>
    <col min="14855" max="14855" width="15.28515625" style="3" customWidth="1"/>
    <col min="14856" max="14856" width="21.85546875" style="3" customWidth="1"/>
    <col min="14857" max="14857" width="11.85546875" style="3" customWidth="1"/>
    <col min="14858" max="14885" width="9.140625" style="3"/>
    <col min="14886" max="14886" width="4" style="3" customWidth="1"/>
    <col min="14887" max="14887" width="12.5703125" style="3" customWidth="1"/>
    <col min="14888" max="14888" width="30.85546875" style="3" customWidth="1"/>
    <col min="14889" max="14890" width="18.5703125" style="3" bestFit="1" customWidth="1"/>
    <col min="14891" max="14891" width="16.42578125" style="3" customWidth="1"/>
    <col min="14892" max="14895" width="15.7109375" style="3" customWidth="1"/>
    <col min="14896" max="14896" width="19.85546875" style="3" customWidth="1"/>
    <col min="14897" max="14897" width="18.5703125" style="3" customWidth="1"/>
    <col min="14898" max="15102" width="9.140625" style="3"/>
    <col min="15103" max="15103" width="3" style="3" customWidth="1"/>
    <col min="15104" max="15104" width="32.7109375" style="3" bestFit="1" customWidth="1"/>
    <col min="15105" max="15106" width="0" style="3" hidden="1" customWidth="1"/>
    <col min="15107" max="15107" width="19.7109375" style="3" customWidth="1"/>
    <col min="15108" max="15108" width="15.7109375" style="3" customWidth="1"/>
    <col min="15109" max="15109" width="13.85546875" style="3" customWidth="1"/>
    <col min="15110" max="15110" width="19.7109375" style="3" customWidth="1"/>
    <col min="15111" max="15111" width="15.28515625" style="3" customWidth="1"/>
    <col min="15112" max="15112" width="21.85546875" style="3" customWidth="1"/>
    <col min="15113" max="15113" width="11.85546875" style="3" customWidth="1"/>
    <col min="15114" max="15141" width="9.140625" style="3"/>
    <col min="15142" max="15142" width="4" style="3" customWidth="1"/>
    <col min="15143" max="15143" width="12.5703125" style="3" customWidth="1"/>
    <col min="15144" max="15144" width="30.85546875" style="3" customWidth="1"/>
    <col min="15145" max="15146" width="18.5703125" style="3" bestFit="1" customWidth="1"/>
    <col min="15147" max="15147" width="16.42578125" style="3" customWidth="1"/>
    <col min="15148" max="15151" width="15.7109375" style="3" customWidth="1"/>
    <col min="15152" max="15152" width="19.85546875" style="3" customWidth="1"/>
    <col min="15153" max="15153" width="18.5703125" style="3" customWidth="1"/>
    <col min="15154" max="15358" width="9.140625" style="3"/>
    <col min="15359" max="15359" width="3" style="3" customWidth="1"/>
    <col min="15360" max="15360" width="32.7109375" style="3" bestFit="1" customWidth="1"/>
    <col min="15361" max="15362" width="0" style="3" hidden="1" customWidth="1"/>
    <col min="15363" max="15363" width="19.7109375" style="3" customWidth="1"/>
    <col min="15364" max="15364" width="15.7109375" style="3" customWidth="1"/>
    <col min="15365" max="15365" width="13.85546875" style="3" customWidth="1"/>
    <col min="15366" max="15366" width="19.7109375" style="3" customWidth="1"/>
    <col min="15367" max="15367" width="15.28515625" style="3" customWidth="1"/>
    <col min="15368" max="15368" width="21.85546875" style="3" customWidth="1"/>
    <col min="15369" max="15369" width="11.85546875" style="3" customWidth="1"/>
    <col min="15370" max="15397" width="9.140625" style="3"/>
    <col min="15398" max="15398" width="4" style="3" customWidth="1"/>
    <col min="15399" max="15399" width="12.5703125" style="3" customWidth="1"/>
    <col min="15400" max="15400" width="30.85546875" style="3" customWidth="1"/>
    <col min="15401" max="15402" width="18.5703125" style="3" bestFit="1" customWidth="1"/>
    <col min="15403" max="15403" width="16.42578125" style="3" customWidth="1"/>
    <col min="15404" max="15407" width="15.7109375" style="3" customWidth="1"/>
    <col min="15408" max="15408" width="19.85546875" style="3" customWidth="1"/>
    <col min="15409" max="15409" width="18.5703125" style="3" customWidth="1"/>
    <col min="15410" max="15614" width="9.140625" style="3"/>
    <col min="15615" max="15615" width="3" style="3" customWidth="1"/>
    <col min="15616" max="15616" width="32.7109375" style="3" bestFit="1" customWidth="1"/>
    <col min="15617" max="15618" width="0" style="3" hidden="1" customWidth="1"/>
    <col min="15619" max="15619" width="19.7109375" style="3" customWidth="1"/>
    <col min="15620" max="15620" width="15.7109375" style="3" customWidth="1"/>
    <col min="15621" max="15621" width="13.85546875" style="3" customWidth="1"/>
    <col min="15622" max="15622" width="19.7109375" style="3" customWidth="1"/>
    <col min="15623" max="15623" width="15.28515625" style="3" customWidth="1"/>
    <col min="15624" max="15624" width="21.85546875" style="3" customWidth="1"/>
    <col min="15625" max="15625" width="11.85546875" style="3" customWidth="1"/>
    <col min="15626" max="15653" width="9.140625" style="3"/>
    <col min="15654" max="15654" width="4" style="3" customWidth="1"/>
    <col min="15655" max="15655" width="12.5703125" style="3" customWidth="1"/>
    <col min="15656" max="15656" width="30.85546875" style="3" customWidth="1"/>
    <col min="15657" max="15658" width="18.5703125" style="3" bestFit="1" customWidth="1"/>
    <col min="15659" max="15659" width="16.42578125" style="3" customWidth="1"/>
    <col min="15660" max="15663" width="15.7109375" style="3" customWidth="1"/>
    <col min="15664" max="15664" width="19.85546875" style="3" customWidth="1"/>
    <col min="15665" max="15665" width="18.5703125" style="3" customWidth="1"/>
    <col min="15666" max="15870" width="9.140625" style="3"/>
    <col min="15871" max="15871" width="3" style="3" customWidth="1"/>
    <col min="15872" max="15872" width="32.7109375" style="3" bestFit="1" customWidth="1"/>
    <col min="15873" max="15874" width="0" style="3" hidden="1" customWidth="1"/>
    <col min="15875" max="15875" width="19.7109375" style="3" customWidth="1"/>
    <col min="15876" max="15876" width="15.7109375" style="3" customWidth="1"/>
    <col min="15877" max="15877" width="13.85546875" style="3" customWidth="1"/>
    <col min="15878" max="15878" width="19.7109375" style="3" customWidth="1"/>
    <col min="15879" max="15879" width="15.28515625" style="3" customWidth="1"/>
    <col min="15880" max="15880" width="21.85546875" style="3" customWidth="1"/>
    <col min="15881" max="15881" width="11.85546875" style="3" customWidth="1"/>
    <col min="15882" max="15909" width="9.140625" style="3"/>
    <col min="15910" max="15910" width="4" style="3" customWidth="1"/>
    <col min="15911" max="15911" width="12.5703125" style="3" customWidth="1"/>
    <col min="15912" max="15912" width="30.85546875" style="3" customWidth="1"/>
    <col min="15913" max="15914" width="18.5703125" style="3" bestFit="1" customWidth="1"/>
    <col min="15915" max="15915" width="16.42578125" style="3" customWidth="1"/>
    <col min="15916" max="15919" width="15.7109375" style="3" customWidth="1"/>
    <col min="15920" max="15920" width="19.85546875" style="3" customWidth="1"/>
    <col min="15921" max="15921" width="18.5703125" style="3" customWidth="1"/>
    <col min="15922" max="16126" width="9.140625" style="3"/>
    <col min="16127" max="16127" width="3" style="3" customWidth="1"/>
    <col min="16128" max="16128" width="32.7109375" style="3" bestFit="1" customWidth="1"/>
    <col min="16129" max="16130" width="0" style="3" hidden="1" customWidth="1"/>
    <col min="16131" max="16131" width="19.7109375" style="3" customWidth="1"/>
    <col min="16132" max="16132" width="15.7109375" style="3" customWidth="1"/>
    <col min="16133" max="16133" width="13.85546875" style="3" customWidth="1"/>
    <col min="16134" max="16134" width="19.7109375" style="3" customWidth="1"/>
    <col min="16135" max="16135" width="15.28515625" style="3" customWidth="1"/>
    <col min="16136" max="16136" width="21.85546875" style="3" customWidth="1"/>
    <col min="16137" max="16137" width="11.85546875" style="3" customWidth="1"/>
    <col min="16138" max="16165" width="9.140625" style="3"/>
    <col min="16166" max="16166" width="4" style="3" customWidth="1"/>
    <col min="16167" max="16167" width="12.5703125" style="3" customWidth="1"/>
    <col min="16168" max="16168" width="30.85546875" style="3" customWidth="1"/>
    <col min="16169" max="16170" width="18.5703125" style="3" bestFit="1" customWidth="1"/>
    <col min="16171" max="16171" width="16.42578125" style="3" customWidth="1"/>
    <col min="16172" max="16175" width="15.7109375" style="3" customWidth="1"/>
    <col min="16176" max="16176" width="19.85546875" style="3" customWidth="1"/>
    <col min="16177" max="16177" width="18.5703125" style="3" customWidth="1"/>
    <col min="16178" max="16384" width="9.140625" style="3"/>
  </cols>
  <sheetData>
    <row r="1" spans="1:133">
      <c r="A1" s="801"/>
      <c r="B1" s="801"/>
      <c r="C1" s="801"/>
      <c r="D1" s="801"/>
      <c r="E1" s="801"/>
      <c r="F1" s="801"/>
      <c r="G1" s="801"/>
      <c r="H1" s="801"/>
      <c r="I1" s="801"/>
    </row>
    <row r="2" spans="1:133" ht="30">
      <c r="A2" s="4"/>
      <c r="B2" s="5" t="s">
        <v>17</v>
      </c>
      <c r="C2" s="6" t="s">
        <v>18</v>
      </c>
      <c r="D2" s="6" t="s">
        <v>19</v>
      </c>
      <c r="E2" s="6" t="s">
        <v>20</v>
      </c>
      <c r="F2" s="6" t="s">
        <v>21</v>
      </c>
      <c r="G2" s="6" t="s">
        <v>15</v>
      </c>
      <c r="H2" s="6" t="s">
        <v>22</v>
      </c>
      <c r="I2" s="6" t="s">
        <v>16</v>
      </c>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row>
    <row r="3" spans="1:133">
      <c r="A3" s="8">
        <v>1</v>
      </c>
      <c r="B3" s="172" t="s">
        <v>23</v>
      </c>
      <c r="C3" s="170">
        <v>30</v>
      </c>
      <c r="D3" s="174">
        <v>500</v>
      </c>
      <c r="E3" s="10">
        <f>IFERROR(VLOOKUP(B3,'დამატებითი საქ-ბის ანალიზი'!$B$15:$I$29,5,0),0)</f>
        <v>0</v>
      </c>
      <c r="F3" s="11">
        <v>0.3</v>
      </c>
      <c r="G3" s="9">
        <f t="shared" ref="G3:G66" si="0">C3*D3*E3</f>
        <v>0</v>
      </c>
      <c r="H3" s="9">
        <f t="shared" ref="H3:H66" si="1">C3*E3*D3*F3</f>
        <v>0</v>
      </c>
      <c r="I3" s="9">
        <f t="shared" ref="I3:I66" si="2">G3-H3</f>
        <v>0</v>
      </c>
    </row>
    <row r="4" spans="1:133">
      <c r="A4" s="8">
        <v>2</v>
      </c>
      <c r="B4" s="172" t="s">
        <v>386</v>
      </c>
      <c r="C4" s="170">
        <v>10</v>
      </c>
      <c r="D4" s="174">
        <v>2000</v>
      </c>
      <c r="E4" s="10">
        <f>IFERROR(VLOOKUP(B4,'დამატებითი საქ-ბის ანალიზი'!$B$15:$I$29,5,0),0)</f>
        <v>0</v>
      </c>
      <c r="F4" s="11">
        <v>0.3</v>
      </c>
      <c r="G4" s="9">
        <f t="shared" si="0"/>
        <v>0</v>
      </c>
      <c r="H4" s="9">
        <f t="shared" si="1"/>
        <v>0</v>
      </c>
      <c r="I4" s="9">
        <f t="shared" si="2"/>
        <v>0</v>
      </c>
    </row>
    <row r="5" spans="1:133">
      <c r="A5" s="8">
        <v>3</v>
      </c>
      <c r="B5" s="172" t="s">
        <v>91</v>
      </c>
      <c r="C5" s="170">
        <v>20</v>
      </c>
      <c r="D5" s="174">
        <v>600</v>
      </c>
      <c r="E5" s="10">
        <f>IFERROR(VLOOKUP(B5,'დამატებითი საქ-ბის ანალიზი'!$B$15:$I$29,5,0),0)</f>
        <v>0</v>
      </c>
      <c r="F5" s="11">
        <v>0.35</v>
      </c>
      <c r="G5" s="9">
        <f t="shared" si="0"/>
        <v>0</v>
      </c>
      <c r="H5" s="9">
        <f t="shared" si="1"/>
        <v>0</v>
      </c>
      <c r="I5" s="9">
        <f t="shared" si="2"/>
        <v>0</v>
      </c>
    </row>
    <row r="6" spans="1:133">
      <c r="A6" s="8">
        <v>4</v>
      </c>
      <c r="B6" s="172" t="s">
        <v>387</v>
      </c>
      <c r="C6" s="170">
        <v>100</v>
      </c>
      <c r="D6" s="174">
        <v>800</v>
      </c>
      <c r="E6" s="10">
        <f>IFERROR(VLOOKUP(B6,'დამატებითი საქ-ბის ანალიზი'!$B$15:$I$29,5,0),0)</f>
        <v>0</v>
      </c>
      <c r="F6" s="11">
        <v>0.5</v>
      </c>
      <c r="G6" s="9">
        <f t="shared" si="0"/>
        <v>0</v>
      </c>
      <c r="H6" s="9">
        <f t="shared" si="1"/>
        <v>0</v>
      </c>
      <c r="I6" s="9">
        <f t="shared" si="2"/>
        <v>0</v>
      </c>
    </row>
    <row r="7" spans="1:133">
      <c r="A7" s="8">
        <v>5</v>
      </c>
      <c r="B7" s="172" t="s">
        <v>388</v>
      </c>
      <c r="C7" s="170">
        <v>100</v>
      </c>
      <c r="D7" s="174">
        <v>1000</v>
      </c>
      <c r="E7" s="10">
        <f>IFERROR(VLOOKUP(B7,'დამატებითი საქ-ბის ანალიზი'!$B$15:$I$29,5,0),0)</f>
        <v>0</v>
      </c>
      <c r="F7" s="11">
        <v>0.4</v>
      </c>
      <c r="G7" s="9">
        <f t="shared" si="0"/>
        <v>0</v>
      </c>
      <c r="H7" s="9">
        <f t="shared" si="1"/>
        <v>0</v>
      </c>
      <c r="I7" s="9">
        <f t="shared" si="2"/>
        <v>0</v>
      </c>
    </row>
    <row r="8" spans="1:133">
      <c r="A8" s="8">
        <v>6</v>
      </c>
      <c r="B8" s="172" t="s">
        <v>389</v>
      </c>
      <c r="C8" s="170">
        <v>20</v>
      </c>
      <c r="D8" s="174">
        <v>600</v>
      </c>
      <c r="E8" s="10">
        <f>IFERROR(VLOOKUP(B8,'დამატებითი საქ-ბის ანალიზი'!$B$15:$I$29,5,0),0)</f>
        <v>0</v>
      </c>
      <c r="F8" s="11">
        <v>0.3</v>
      </c>
      <c r="G8" s="9">
        <f t="shared" si="0"/>
        <v>0</v>
      </c>
      <c r="H8" s="9">
        <f t="shared" si="1"/>
        <v>0</v>
      </c>
      <c r="I8" s="9">
        <f t="shared" si="2"/>
        <v>0</v>
      </c>
    </row>
    <row r="9" spans="1:133">
      <c r="A9" s="8">
        <v>7</v>
      </c>
      <c r="B9" s="172" t="s">
        <v>390</v>
      </c>
      <c r="C9" s="170">
        <v>1.5</v>
      </c>
      <c r="D9" s="174">
        <v>16000</v>
      </c>
      <c r="E9" s="10">
        <f>IFERROR(VLOOKUP(B9,'დამატებითი საქ-ბის ანალიზი'!$B$15:$I$29,5,0),0)</f>
        <v>0</v>
      </c>
      <c r="F9" s="11">
        <v>0.2</v>
      </c>
      <c r="G9" s="9">
        <f t="shared" si="0"/>
        <v>0</v>
      </c>
      <c r="H9" s="9">
        <f t="shared" si="1"/>
        <v>0</v>
      </c>
      <c r="I9" s="9">
        <f t="shared" si="2"/>
        <v>0</v>
      </c>
    </row>
    <row r="10" spans="1:133">
      <c r="A10" s="8">
        <v>8</v>
      </c>
      <c r="B10" s="172" t="s">
        <v>24</v>
      </c>
      <c r="C10" s="170">
        <v>450</v>
      </c>
      <c r="D10" s="174">
        <v>4</v>
      </c>
      <c r="E10" s="10">
        <f>IFERROR(VLOOKUP(B10,'დამატებითი საქ-ბის ანალიზი'!$B$15:$I$29,5,0),0)</f>
        <v>0</v>
      </c>
      <c r="F10" s="11">
        <v>0.5</v>
      </c>
      <c r="G10" s="9">
        <f t="shared" si="0"/>
        <v>0</v>
      </c>
      <c r="H10" s="9">
        <f t="shared" si="1"/>
        <v>0</v>
      </c>
      <c r="I10" s="9">
        <f t="shared" si="2"/>
        <v>0</v>
      </c>
    </row>
    <row r="11" spans="1:133">
      <c r="A11" s="8">
        <v>9</v>
      </c>
      <c r="B11" s="172" t="s">
        <v>25</v>
      </c>
      <c r="C11" s="170">
        <v>20</v>
      </c>
      <c r="D11" s="174">
        <v>450</v>
      </c>
      <c r="E11" s="10">
        <f>IFERROR(VLOOKUP(B11,'დამატებითი საქ-ბის ანალიზი'!$B$15:$I$29,5,0),0)</f>
        <v>0</v>
      </c>
      <c r="F11" s="11">
        <v>0.45</v>
      </c>
      <c r="G11" s="9">
        <f t="shared" si="0"/>
        <v>0</v>
      </c>
      <c r="H11" s="9">
        <f t="shared" si="1"/>
        <v>0</v>
      </c>
      <c r="I11" s="9">
        <f t="shared" si="2"/>
        <v>0</v>
      </c>
    </row>
    <row r="12" spans="1:133">
      <c r="A12" s="8">
        <v>10</v>
      </c>
      <c r="B12" s="172" t="s">
        <v>136</v>
      </c>
      <c r="C12" s="170">
        <v>15</v>
      </c>
      <c r="D12" s="174">
        <v>1500</v>
      </c>
      <c r="E12" s="10">
        <f>IFERROR(VLOOKUP(B12,'დამატებითი საქ-ბის ანალიზი'!$B$15:$I$29,5,0),0)</f>
        <v>0</v>
      </c>
      <c r="F12" s="11">
        <v>0.5</v>
      </c>
      <c r="G12" s="9">
        <f t="shared" si="0"/>
        <v>0</v>
      </c>
      <c r="H12" s="9">
        <f t="shared" si="1"/>
        <v>0</v>
      </c>
      <c r="I12" s="9">
        <f t="shared" si="2"/>
        <v>0</v>
      </c>
    </row>
    <row r="13" spans="1:133">
      <c r="A13" s="8">
        <v>11</v>
      </c>
      <c r="B13" s="172" t="s">
        <v>26</v>
      </c>
      <c r="C13" s="170">
        <v>25</v>
      </c>
      <c r="D13" s="174">
        <v>500</v>
      </c>
      <c r="E13" s="10">
        <f>IFERROR(VLOOKUP(B13,'დამატებითი საქ-ბის ანალიზი'!$B$15:$I$29,5,0),0)</f>
        <v>0</v>
      </c>
      <c r="F13" s="11">
        <v>0.4</v>
      </c>
      <c r="G13" s="9">
        <f>C13*D13*E13</f>
        <v>0</v>
      </c>
      <c r="H13" s="9">
        <f t="shared" si="1"/>
        <v>0</v>
      </c>
      <c r="I13" s="9">
        <f t="shared" si="2"/>
        <v>0</v>
      </c>
    </row>
    <row r="14" spans="1:133">
      <c r="A14" s="8">
        <v>12</v>
      </c>
      <c r="B14" s="172" t="s">
        <v>137</v>
      </c>
      <c r="C14" s="170">
        <v>100</v>
      </c>
      <c r="D14" s="174">
        <v>700</v>
      </c>
      <c r="E14" s="10">
        <f>IFERROR(VLOOKUP(B14,'დამატებითი საქ-ბის ანალიზი'!$B$15:$I$29,5,0),0)</f>
        <v>0</v>
      </c>
      <c r="F14" s="12">
        <v>0.4</v>
      </c>
      <c r="G14" s="9">
        <f t="shared" si="0"/>
        <v>0</v>
      </c>
      <c r="H14" s="9">
        <f t="shared" si="1"/>
        <v>0</v>
      </c>
      <c r="I14" s="9">
        <f t="shared" si="2"/>
        <v>0</v>
      </c>
    </row>
    <row r="15" spans="1:133">
      <c r="A15" s="8">
        <v>13</v>
      </c>
      <c r="B15" s="172" t="s">
        <v>27</v>
      </c>
      <c r="C15" s="170">
        <v>50</v>
      </c>
      <c r="D15" s="174">
        <v>200</v>
      </c>
      <c r="E15" s="10">
        <f>IFERROR(VLOOKUP(B15,'დამატებითი საქ-ბის ანალიზი'!$B$15:$I$29,5,0),0)</f>
        <v>0</v>
      </c>
      <c r="F15" s="12">
        <v>0.4</v>
      </c>
      <c r="G15" s="9">
        <f t="shared" si="0"/>
        <v>0</v>
      </c>
      <c r="H15" s="9">
        <f t="shared" si="1"/>
        <v>0</v>
      </c>
      <c r="I15" s="9">
        <f t="shared" si="2"/>
        <v>0</v>
      </c>
    </row>
    <row r="16" spans="1:133">
      <c r="A16" s="8">
        <v>14</v>
      </c>
      <c r="B16" s="172" t="s">
        <v>138</v>
      </c>
      <c r="C16" s="170">
        <v>35</v>
      </c>
      <c r="D16" s="174">
        <v>300</v>
      </c>
      <c r="E16" s="10">
        <f>IFERROR(VLOOKUP(B16,'დამატებითი საქ-ბის ანალიზი'!$B$15:$I$29,5,0),0)</f>
        <v>0</v>
      </c>
      <c r="F16" s="11">
        <v>0.4</v>
      </c>
      <c r="G16" s="9">
        <f t="shared" si="0"/>
        <v>0</v>
      </c>
      <c r="H16" s="9">
        <f t="shared" si="1"/>
        <v>0</v>
      </c>
      <c r="I16" s="9">
        <f t="shared" si="2"/>
        <v>0</v>
      </c>
    </row>
    <row r="17" spans="1:9">
      <c r="A17" s="8">
        <v>15</v>
      </c>
      <c r="B17" s="172" t="s">
        <v>28</v>
      </c>
      <c r="C17" s="170">
        <v>1</v>
      </c>
      <c r="D17" s="174">
        <v>3000</v>
      </c>
      <c r="E17" s="10">
        <f>IFERROR(VLOOKUP(B17,'დამატებითი საქ-ბის ანალიზი'!$B$15:$I$29,5,0),0)</f>
        <v>0</v>
      </c>
      <c r="F17" s="11">
        <v>0.3</v>
      </c>
      <c r="G17" s="9">
        <f t="shared" si="0"/>
        <v>0</v>
      </c>
      <c r="H17" s="9">
        <f t="shared" si="1"/>
        <v>0</v>
      </c>
      <c r="I17" s="9">
        <f t="shared" si="2"/>
        <v>0</v>
      </c>
    </row>
    <row r="18" spans="1:9">
      <c r="A18" s="8">
        <v>16</v>
      </c>
      <c r="B18" s="172" t="s">
        <v>29</v>
      </c>
      <c r="C18" s="170">
        <v>20</v>
      </c>
      <c r="D18" s="174">
        <v>500</v>
      </c>
      <c r="E18" s="10">
        <f>IFERROR(VLOOKUP(B18,'დამატებითი საქ-ბის ანალიზი'!$B$15:$I$29,5,0),0)</f>
        <v>0</v>
      </c>
      <c r="F18" s="11">
        <v>0.2</v>
      </c>
      <c r="G18" s="9">
        <f t="shared" si="0"/>
        <v>0</v>
      </c>
      <c r="H18" s="9">
        <f t="shared" si="1"/>
        <v>0</v>
      </c>
      <c r="I18" s="9">
        <f t="shared" si="2"/>
        <v>0</v>
      </c>
    </row>
    <row r="19" spans="1:9">
      <c r="A19" s="8">
        <v>17</v>
      </c>
      <c r="B19" s="172" t="s">
        <v>30</v>
      </c>
      <c r="C19" s="170">
        <v>7</v>
      </c>
      <c r="D19" s="174">
        <v>2000</v>
      </c>
      <c r="E19" s="10">
        <f>IFERROR(VLOOKUP(B19,'დამატებითი საქ-ბის ანალიზი'!$B$15:$I$29,5,0),0)</f>
        <v>0</v>
      </c>
      <c r="F19" s="11">
        <v>0.4</v>
      </c>
      <c r="G19" s="9">
        <f t="shared" si="0"/>
        <v>0</v>
      </c>
      <c r="H19" s="9">
        <f t="shared" si="1"/>
        <v>0</v>
      </c>
      <c r="I19" s="9">
        <f t="shared" si="2"/>
        <v>0</v>
      </c>
    </row>
    <row r="20" spans="1:9">
      <c r="A20" s="8">
        <v>18</v>
      </c>
      <c r="B20" s="172" t="s">
        <v>391</v>
      </c>
      <c r="C20" s="170">
        <v>5</v>
      </c>
      <c r="D20" s="174">
        <v>2000</v>
      </c>
      <c r="E20" s="10">
        <f>IFERROR(VLOOKUP(B20,'დამატებითი საქ-ბის ანალიზი'!$B$15:$I$29,5,0),0)</f>
        <v>0</v>
      </c>
      <c r="F20" s="11">
        <v>0.2</v>
      </c>
      <c r="G20" s="9">
        <f t="shared" si="0"/>
        <v>0</v>
      </c>
      <c r="H20" s="9">
        <f t="shared" si="1"/>
        <v>0</v>
      </c>
      <c r="I20" s="9">
        <f t="shared" si="2"/>
        <v>0</v>
      </c>
    </row>
    <row r="21" spans="1:9">
      <c r="A21" s="8">
        <v>19</v>
      </c>
      <c r="B21" s="172" t="s">
        <v>31</v>
      </c>
      <c r="C21" s="170">
        <v>1.7</v>
      </c>
      <c r="D21" s="174">
        <v>1000</v>
      </c>
      <c r="E21" s="10">
        <f>IFERROR(VLOOKUP(B21,'დამატებითი საქ-ბის ანალიზი'!$B$15:$I$29,5,0),0)</f>
        <v>0</v>
      </c>
      <c r="F21" s="11">
        <v>0.5</v>
      </c>
      <c r="G21" s="9">
        <f t="shared" si="0"/>
        <v>0</v>
      </c>
      <c r="H21" s="9">
        <f t="shared" si="1"/>
        <v>0</v>
      </c>
      <c r="I21" s="9">
        <f t="shared" si="2"/>
        <v>0</v>
      </c>
    </row>
    <row r="22" spans="1:9">
      <c r="A22" s="8">
        <v>20</v>
      </c>
      <c r="B22" s="173" t="s">
        <v>32</v>
      </c>
      <c r="C22" s="170">
        <v>40</v>
      </c>
      <c r="D22" s="174">
        <v>3000</v>
      </c>
      <c r="E22" s="10">
        <f>IFERROR(VLOOKUP(B22,'დამატებითი საქ-ბის ანალიზი'!$B$15:$I$29,5,0),0)</f>
        <v>0</v>
      </c>
      <c r="F22" s="11">
        <v>0.5</v>
      </c>
      <c r="G22" s="9">
        <f t="shared" si="0"/>
        <v>0</v>
      </c>
      <c r="H22" s="9">
        <f t="shared" si="1"/>
        <v>0</v>
      </c>
      <c r="I22" s="9">
        <f t="shared" si="2"/>
        <v>0</v>
      </c>
    </row>
    <row r="23" spans="1:9">
      <c r="A23" s="8">
        <v>21</v>
      </c>
      <c r="B23" s="173" t="s">
        <v>393</v>
      </c>
      <c r="C23" s="170">
        <v>20</v>
      </c>
      <c r="D23" s="174">
        <v>3000</v>
      </c>
      <c r="E23" s="10">
        <f>IFERROR(VLOOKUP(B23,'დამატებითი საქ-ბის ანალიზი'!$B$15:$I$29,5,0),0)</f>
        <v>0</v>
      </c>
      <c r="F23" s="11">
        <v>0.3</v>
      </c>
      <c r="G23" s="9">
        <f t="shared" si="0"/>
        <v>0</v>
      </c>
      <c r="H23" s="9">
        <f t="shared" si="1"/>
        <v>0</v>
      </c>
      <c r="I23" s="9">
        <f t="shared" si="2"/>
        <v>0</v>
      </c>
    </row>
    <row r="24" spans="1:9">
      <c r="A24" s="8">
        <v>22</v>
      </c>
      <c r="B24" s="173" t="s">
        <v>33</v>
      </c>
      <c r="C24" s="170">
        <v>20</v>
      </c>
      <c r="D24" s="174">
        <v>400</v>
      </c>
      <c r="E24" s="10">
        <f>IFERROR(VLOOKUP(B24,'დამატებითი საქ-ბის ანალიზი'!$B$15:$I$29,5,0),0)</f>
        <v>0</v>
      </c>
      <c r="F24" s="11">
        <v>0.35</v>
      </c>
      <c r="G24" s="9">
        <f t="shared" si="0"/>
        <v>0</v>
      </c>
      <c r="H24" s="9">
        <f t="shared" si="1"/>
        <v>0</v>
      </c>
      <c r="I24" s="9">
        <f t="shared" si="2"/>
        <v>0</v>
      </c>
    </row>
    <row r="25" spans="1:9">
      <c r="A25" s="8">
        <v>23</v>
      </c>
      <c r="B25" s="172" t="s">
        <v>34</v>
      </c>
      <c r="C25" s="170">
        <v>7</v>
      </c>
      <c r="D25" s="174">
        <v>1500</v>
      </c>
      <c r="E25" s="10">
        <f>IFERROR(VLOOKUP(B25,'დამატებითი საქ-ბის ანალიზი'!$B$15:$I$29,5,0),0)</f>
        <v>0</v>
      </c>
      <c r="F25" s="12">
        <v>0.6</v>
      </c>
      <c r="G25" s="9">
        <f t="shared" si="0"/>
        <v>0</v>
      </c>
      <c r="H25" s="9">
        <f t="shared" si="1"/>
        <v>0</v>
      </c>
      <c r="I25" s="9">
        <f t="shared" si="2"/>
        <v>0</v>
      </c>
    </row>
    <row r="26" spans="1:9">
      <c r="A26" s="8">
        <v>24</v>
      </c>
      <c r="B26" s="172" t="s">
        <v>35</v>
      </c>
      <c r="C26" s="170">
        <v>30</v>
      </c>
      <c r="D26" s="174">
        <v>450</v>
      </c>
      <c r="E26" s="10">
        <f>IFERROR(VLOOKUP(B26,'დამატებითი საქ-ბის ანალიზი'!$B$15:$I$29,5,0),0)</f>
        <v>0</v>
      </c>
      <c r="F26" s="11">
        <v>0.6</v>
      </c>
      <c r="G26" s="9">
        <f t="shared" si="0"/>
        <v>0</v>
      </c>
      <c r="H26" s="9">
        <f t="shared" si="1"/>
        <v>0</v>
      </c>
      <c r="I26" s="9">
        <f t="shared" si="2"/>
        <v>0</v>
      </c>
    </row>
    <row r="27" spans="1:9">
      <c r="A27" s="8">
        <v>25</v>
      </c>
      <c r="B27" s="172" t="s">
        <v>139</v>
      </c>
      <c r="C27" s="170">
        <v>80</v>
      </c>
      <c r="D27" s="174">
        <v>450</v>
      </c>
      <c r="E27" s="10">
        <f>IFERROR(VLOOKUP(B27,'დამატებითი საქ-ბის ანალიზი'!$B$15:$I$29,5,0),0)</f>
        <v>0</v>
      </c>
      <c r="F27" s="11">
        <v>0.45</v>
      </c>
      <c r="G27" s="9">
        <f t="shared" si="0"/>
        <v>0</v>
      </c>
      <c r="H27" s="9">
        <f t="shared" si="1"/>
        <v>0</v>
      </c>
      <c r="I27" s="9">
        <f t="shared" si="2"/>
        <v>0</v>
      </c>
    </row>
    <row r="28" spans="1:9">
      <c r="A28" s="8">
        <v>26</v>
      </c>
      <c r="B28" s="172" t="s">
        <v>36</v>
      </c>
      <c r="C28" s="170">
        <v>35</v>
      </c>
      <c r="D28" s="174">
        <v>150</v>
      </c>
      <c r="E28" s="10">
        <f>IFERROR(VLOOKUP(B28,'დამატებითი საქ-ბის ანალიზი'!$B$15:$I$29,5,0),0)</f>
        <v>0</v>
      </c>
      <c r="F28" s="11">
        <v>0.6</v>
      </c>
      <c r="G28" s="9">
        <f t="shared" si="0"/>
        <v>0</v>
      </c>
      <c r="H28" s="9">
        <f t="shared" si="1"/>
        <v>0</v>
      </c>
      <c r="I28" s="9">
        <f t="shared" si="2"/>
        <v>0</v>
      </c>
    </row>
    <row r="29" spans="1:9">
      <c r="A29" s="8">
        <v>27</v>
      </c>
      <c r="B29" s="172" t="s">
        <v>37</v>
      </c>
      <c r="C29" s="170">
        <v>6</v>
      </c>
      <c r="D29" s="174">
        <v>450</v>
      </c>
      <c r="E29" s="10">
        <f>IFERROR(VLOOKUP(B29,'დამატებითი საქ-ბის ანალიზი'!$B$15:$I$29,5,0),0)</f>
        <v>0</v>
      </c>
      <c r="F29" s="11">
        <v>0.65</v>
      </c>
      <c r="G29" s="9">
        <f t="shared" si="0"/>
        <v>0</v>
      </c>
      <c r="H29" s="9">
        <f t="shared" si="1"/>
        <v>0</v>
      </c>
      <c r="I29" s="9">
        <f t="shared" si="2"/>
        <v>0</v>
      </c>
    </row>
    <row r="30" spans="1:9">
      <c r="A30" s="8">
        <v>28</v>
      </c>
      <c r="B30" s="172" t="s">
        <v>140</v>
      </c>
      <c r="C30" s="170">
        <v>4</v>
      </c>
      <c r="D30" s="174">
        <v>500</v>
      </c>
      <c r="E30" s="10">
        <f>IFERROR(VLOOKUP(B30,'დამატებითი საქ-ბის ანალიზი'!$B$15:$I$29,5,0),0)</f>
        <v>0</v>
      </c>
      <c r="F30" s="11">
        <v>0.65</v>
      </c>
      <c r="G30" s="9">
        <f t="shared" si="0"/>
        <v>0</v>
      </c>
      <c r="H30" s="9">
        <f t="shared" si="1"/>
        <v>0</v>
      </c>
      <c r="I30" s="9">
        <f t="shared" si="2"/>
        <v>0</v>
      </c>
    </row>
    <row r="31" spans="1:9">
      <c r="A31" s="8">
        <v>29</v>
      </c>
      <c r="B31" s="172" t="s">
        <v>38</v>
      </c>
      <c r="C31" s="170">
        <v>2.5</v>
      </c>
      <c r="D31" s="174">
        <v>1000</v>
      </c>
      <c r="E31" s="10">
        <f>IFERROR(VLOOKUP(B31,'დამატებითი საქ-ბის ანალიზი'!$B$15:$I$29,5,0),0)</f>
        <v>0</v>
      </c>
      <c r="F31" s="11">
        <v>0.5</v>
      </c>
      <c r="G31" s="9">
        <f t="shared" si="0"/>
        <v>0</v>
      </c>
      <c r="H31" s="9">
        <f t="shared" si="1"/>
        <v>0</v>
      </c>
      <c r="I31" s="9">
        <f t="shared" si="2"/>
        <v>0</v>
      </c>
    </row>
    <row r="32" spans="1:9">
      <c r="A32" s="8">
        <v>30</v>
      </c>
      <c r="B32" s="172" t="s">
        <v>39</v>
      </c>
      <c r="C32" s="170">
        <v>25</v>
      </c>
      <c r="D32" s="174">
        <v>600</v>
      </c>
      <c r="E32" s="10">
        <f>IFERROR(VLOOKUP(B32,'დამატებითი საქ-ბის ანალიზი'!$B$15:$I$29,5,0),0)</f>
        <v>0</v>
      </c>
      <c r="F32" s="11">
        <v>0.45</v>
      </c>
      <c r="G32" s="9">
        <f t="shared" si="0"/>
        <v>0</v>
      </c>
      <c r="H32" s="9">
        <f t="shared" si="1"/>
        <v>0</v>
      </c>
      <c r="I32" s="9">
        <f t="shared" si="2"/>
        <v>0</v>
      </c>
    </row>
    <row r="33" spans="1:9">
      <c r="A33" s="8">
        <v>31</v>
      </c>
      <c r="B33" s="172" t="s">
        <v>40</v>
      </c>
      <c r="C33" s="170">
        <v>2.2000000000000002</v>
      </c>
      <c r="D33" s="174">
        <v>500</v>
      </c>
      <c r="E33" s="10">
        <f>IFERROR(VLOOKUP(B33,'დამატებითი საქ-ბის ანალიზი'!$B$15:$I$29,5,0),0)</f>
        <v>0</v>
      </c>
      <c r="F33" s="11">
        <v>0.6</v>
      </c>
      <c r="G33" s="9">
        <f t="shared" si="0"/>
        <v>0</v>
      </c>
      <c r="H33" s="9">
        <f t="shared" si="1"/>
        <v>0</v>
      </c>
      <c r="I33" s="9">
        <f t="shared" si="2"/>
        <v>0</v>
      </c>
    </row>
    <row r="34" spans="1:9">
      <c r="A34" s="8">
        <v>32</v>
      </c>
      <c r="B34" s="172" t="s">
        <v>41</v>
      </c>
      <c r="C34" s="170">
        <v>2.2000000000000002</v>
      </c>
      <c r="D34" s="174">
        <v>500</v>
      </c>
      <c r="E34" s="10">
        <f>IFERROR(VLOOKUP(B34,'დამატებითი საქ-ბის ანალიზი'!$B$15:$I$29,5,0),0)</f>
        <v>0</v>
      </c>
      <c r="F34" s="11">
        <v>0.7</v>
      </c>
      <c r="G34" s="9">
        <f t="shared" si="0"/>
        <v>0</v>
      </c>
      <c r="H34" s="9">
        <f t="shared" si="1"/>
        <v>0</v>
      </c>
      <c r="I34" s="9">
        <f t="shared" si="2"/>
        <v>0</v>
      </c>
    </row>
    <row r="35" spans="1:9">
      <c r="A35" s="8">
        <v>33</v>
      </c>
      <c r="B35" s="172" t="s">
        <v>42</v>
      </c>
      <c r="C35" s="170">
        <v>20</v>
      </c>
      <c r="D35" s="174">
        <v>3000</v>
      </c>
      <c r="E35" s="10">
        <f>IFERROR(VLOOKUP(B35,'დამატებითი საქ-ბის ანალიზი'!$B$15:$I$29,5,0),0)</f>
        <v>0</v>
      </c>
      <c r="F35" s="11">
        <v>0.55000000000000004</v>
      </c>
      <c r="G35" s="9">
        <f t="shared" si="0"/>
        <v>0</v>
      </c>
      <c r="H35" s="9">
        <f t="shared" si="1"/>
        <v>0</v>
      </c>
      <c r="I35" s="9">
        <f t="shared" si="2"/>
        <v>0</v>
      </c>
    </row>
    <row r="36" spans="1:9">
      <c r="A36" s="8">
        <v>34</v>
      </c>
      <c r="B36" s="172" t="s">
        <v>43</v>
      </c>
      <c r="C36" s="170">
        <v>25</v>
      </c>
      <c r="D36" s="174">
        <v>500</v>
      </c>
      <c r="E36" s="10">
        <f>IFERROR(VLOOKUP(B36,'დამატებითი საქ-ბის ანალიზი'!$B$15:$I$29,5,0),0)</f>
        <v>0</v>
      </c>
      <c r="F36" s="11">
        <v>0.3</v>
      </c>
      <c r="G36" s="9">
        <f t="shared" si="0"/>
        <v>0</v>
      </c>
      <c r="H36" s="9">
        <f t="shared" si="1"/>
        <v>0</v>
      </c>
      <c r="I36" s="9">
        <f t="shared" si="2"/>
        <v>0</v>
      </c>
    </row>
    <row r="37" spans="1:9">
      <c r="A37" s="8">
        <v>35</v>
      </c>
      <c r="B37" s="172" t="s">
        <v>44</v>
      </c>
      <c r="C37" s="170">
        <v>40</v>
      </c>
      <c r="D37" s="174">
        <v>350</v>
      </c>
      <c r="E37" s="10">
        <f>IFERROR(VLOOKUP(B37,'დამატებითი საქ-ბის ანალიზი'!$B$15:$I$29,5,0),0)</f>
        <v>0</v>
      </c>
      <c r="F37" s="11">
        <v>0.5</v>
      </c>
      <c r="G37" s="9">
        <f t="shared" si="0"/>
        <v>0</v>
      </c>
      <c r="H37" s="9">
        <f t="shared" si="1"/>
        <v>0</v>
      </c>
      <c r="I37" s="9">
        <f t="shared" si="2"/>
        <v>0</v>
      </c>
    </row>
    <row r="38" spans="1:9">
      <c r="A38" s="8">
        <v>36</v>
      </c>
      <c r="B38" s="172" t="s">
        <v>397</v>
      </c>
      <c r="C38" s="170">
        <v>2.1</v>
      </c>
      <c r="D38" s="174">
        <v>650</v>
      </c>
      <c r="E38" s="10">
        <f>IFERROR(VLOOKUP(B38,'დამატებითი საქ-ბის ანალიზი'!$B$15:$I$29,5,0),0)</f>
        <v>0</v>
      </c>
      <c r="F38" s="11">
        <v>0.4</v>
      </c>
      <c r="G38" s="9">
        <f t="shared" si="0"/>
        <v>0</v>
      </c>
      <c r="H38" s="9">
        <f t="shared" si="1"/>
        <v>0</v>
      </c>
      <c r="I38" s="9">
        <f t="shared" si="2"/>
        <v>0</v>
      </c>
    </row>
    <row r="39" spans="1:9">
      <c r="A39" s="8">
        <v>37</v>
      </c>
      <c r="B39" s="172" t="s">
        <v>45</v>
      </c>
      <c r="C39" s="170">
        <v>30</v>
      </c>
      <c r="D39" s="174">
        <v>400</v>
      </c>
      <c r="E39" s="10">
        <f>IFERROR(VLOOKUP(B39,'დამატებითი საქ-ბის ანალიზი'!$B$15:$I$29,5,0),0)</f>
        <v>0</v>
      </c>
      <c r="F39" s="11">
        <v>0.55000000000000004</v>
      </c>
      <c r="G39" s="9">
        <f t="shared" si="0"/>
        <v>0</v>
      </c>
      <c r="H39" s="9">
        <f t="shared" si="1"/>
        <v>0</v>
      </c>
      <c r="I39" s="9">
        <f t="shared" si="2"/>
        <v>0</v>
      </c>
    </row>
    <row r="40" spans="1:9">
      <c r="A40" s="8">
        <v>38</v>
      </c>
      <c r="B40" s="172" t="s">
        <v>46</v>
      </c>
      <c r="C40" s="170">
        <v>3</v>
      </c>
      <c r="D40" s="174">
        <v>400</v>
      </c>
      <c r="E40" s="10">
        <f>IFERROR(VLOOKUP(B40,'დამატებითი საქ-ბის ანალიზი'!$B$15:$I$29,5,0),0)</f>
        <v>0</v>
      </c>
      <c r="F40" s="11">
        <v>0.65</v>
      </c>
      <c r="G40" s="9">
        <f t="shared" si="0"/>
        <v>0</v>
      </c>
      <c r="H40" s="9">
        <f t="shared" si="1"/>
        <v>0</v>
      </c>
      <c r="I40" s="9">
        <f t="shared" si="2"/>
        <v>0</v>
      </c>
    </row>
    <row r="41" spans="1:9">
      <c r="A41" s="8">
        <v>39</v>
      </c>
      <c r="B41" s="172" t="s">
        <v>48</v>
      </c>
      <c r="C41" s="170">
        <v>15</v>
      </c>
      <c r="D41" s="174">
        <v>600</v>
      </c>
      <c r="E41" s="10">
        <f>IFERROR(VLOOKUP(B41,'დამატებითი საქ-ბის ანალიზი'!$B$15:$I$29,5,0),0)</f>
        <v>0</v>
      </c>
      <c r="F41" s="11">
        <v>0.25</v>
      </c>
      <c r="G41" s="9">
        <f t="shared" si="0"/>
        <v>0</v>
      </c>
      <c r="H41" s="9">
        <f t="shared" si="1"/>
        <v>0</v>
      </c>
      <c r="I41" s="9">
        <f t="shared" si="2"/>
        <v>0</v>
      </c>
    </row>
    <row r="42" spans="1:9">
      <c r="A42" s="8">
        <v>40</v>
      </c>
      <c r="B42" s="172" t="s">
        <v>47</v>
      </c>
      <c r="C42" s="170">
        <v>20</v>
      </c>
      <c r="D42" s="174">
        <v>400</v>
      </c>
      <c r="E42" s="10">
        <f>IFERROR(VLOOKUP(B42,'დამატებითი საქ-ბის ანალიზი'!$B$15:$I$29,5,0),0)</f>
        <v>0</v>
      </c>
      <c r="F42" s="11">
        <v>0.3</v>
      </c>
      <c r="G42" s="9">
        <f t="shared" si="0"/>
        <v>0</v>
      </c>
      <c r="H42" s="9">
        <f t="shared" si="1"/>
        <v>0</v>
      </c>
      <c r="I42" s="9">
        <f t="shared" si="2"/>
        <v>0</v>
      </c>
    </row>
    <row r="43" spans="1:9">
      <c r="A43" s="8">
        <v>41</v>
      </c>
      <c r="B43" s="172" t="s">
        <v>49</v>
      </c>
      <c r="C43" s="170">
        <v>10</v>
      </c>
      <c r="D43" s="174">
        <v>1300</v>
      </c>
      <c r="E43" s="10">
        <f>IFERROR(VLOOKUP(B43,'დამატებითი საქ-ბის ანალიზი'!$B$15:$I$29,5,0),0)</f>
        <v>0</v>
      </c>
      <c r="F43" s="11">
        <v>0.15</v>
      </c>
      <c r="G43" s="9">
        <f t="shared" si="0"/>
        <v>0</v>
      </c>
      <c r="H43" s="9">
        <f t="shared" si="1"/>
        <v>0</v>
      </c>
      <c r="I43" s="9">
        <f t="shared" si="2"/>
        <v>0</v>
      </c>
    </row>
    <row r="44" spans="1:9">
      <c r="A44" s="8">
        <v>42</v>
      </c>
      <c r="B44" s="172" t="s">
        <v>141</v>
      </c>
      <c r="C44" s="170">
        <v>15</v>
      </c>
      <c r="D44" s="174">
        <v>1500</v>
      </c>
      <c r="E44" s="10">
        <f>IFERROR(VLOOKUP(B44,'დამატებითი საქ-ბის ანალიზი'!$B$15:$I$29,5,0),0)</f>
        <v>0</v>
      </c>
      <c r="F44" s="11">
        <v>0.3</v>
      </c>
      <c r="G44" s="9">
        <f t="shared" si="0"/>
        <v>0</v>
      </c>
      <c r="H44" s="9">
        <f t="shared" si="1"/>
        <v>0</v>
      </c>
      <c r="I44" s="9">
        <f t="shared" si="2"/>
        <v>0</v>
      </c>
    </row>
    <row r="45" spans="1:9">
      <c r="A45" s="8">
        <v>43</v>
      </c>
      <c r="B45" s="172" t="s">
        <v>50</v>
      </c>
      <c r="C45" s="170">
        <v>12</v>
      </c>
      <c r="D45" s="174">
        <v>1200</v>
      </c>
      <c r="E45" s="10">
        <f>IFERROR(VLOOKUP(B45,'დამატებითი საქ-ბის ანალიზი'!$B$15:$I$29,5,0),0)</f>
        <v>0</v>
      </c>
      <c r="F45" s="11">
        <v>0.35</v>
      </c>
      <c r="G45" s="9">
        <f t="shared" si="0"/>
        <v>0</v>
      </c>
      <c r="H45" s="9">
        <f t="shared" si="1"/>
        <v>0</v>
      </c>
      <c r="I45" s="9">
        <f t="shared" si="2"/>
        <v>0</v>
      </c>
    </row>
    <row r="46" spans="1:9">
      <c r="A46" s="8">
        <v>44</v>
      </c>
      <c r="B46" s="172" t="s">
        <v>51</v>
      </c>
      <c r="C46" s="170">
        <v>13</v>
      </c>
      <c r="D46" s="174">
        <v>400</v>
      </c>
      <c r="E46" s="10">
        <f>IFERROR(VLOOKUP(B46,'დამატებითი საქ-ბის ანალიზი'!$B$15:$I$29,5,0),0)</f>
        <v>0</v>
      </c>
      <c r="F46" s="11">
        <v>0.18</v>
      </c>
      <c r="G46" s="9">
        <f t="shared" si="0"/>
        <v>0</v>
      </c>
      <c r="H46" s="9">
        <f t="shared" si="1"/>
        <v>0</v>
      </c>
      <c r="I46" s="9">
        <f t="shared" si="2"/>
        <v>0</v>
      </c>
    </row>
    <row r="47" spans="1:9">
      <c r="A47" s="8">
        <v>45</v>
      </c>
      <c r="B47" s="172" t="s">
        <v>52</v>
      </c>
      <c r="C47" s="170">
        <v>3.5</v>
      </c>
      <c r="D47" s="174">
        <v>2200</v>
      </c>
      <c r="E47" s="10">
        <f>IFERROR(VLOOKUP(B47,'დამატებითი საქ-ბის ანალიზი'!$B$15:$I$29,5,0),0)</f>
        <v>0</v>
      </c>
      <c r="F47" s="12">
        <v>0.15</v>
      </c>
      <c r="G47" s="9">
        <f t="shared" si="0"/>
        <v>0</v>
      </c>
      <c r="H47" s="9">
        <f t="shared" si="1"/>
        <v>0</v>
      </c>
      <c r="I47" s="9">
        <f t="shared" si="2"/>
        <v>0</v>
      </c>
    </row>
    <row r="48" spans="1:9">
      <c r="A48" s="8">
        <v>46</v>
      </c>
      <c r="B48" s="172" t="s">
        <v>53</v>
      </c>
      <c r="C48" s="170">
        <v>30</v>
      </c>
      <c r="D48" s="174">
        <v>500</v>
      </c>
      <c r="E48" s="10">
        <f>IFERROR(VLOOKUP(B48,'დამატებითი საქ-ბის ანალიზი'!$B$15:$I$29,5,0),0)</f>
        <v>0</v>
      </c>
      <c r="F48" s="11">
        <v>0.4</v>
      </c>
      <c r="G48" s="9">
        <f t="shared" si="0"/>
        <v>0</v>
      </c>
      <c r="H48" s="9">
        <f t="shared" si="1"/>
        <v>0</v>
      </c>
      <c r="I48" s="9">
        <f t="shared" si="2"/>
        <v>0</v>
      </c>
    </row>
    <row r="49" spans="1:9">
      <c r="A49" s="8">
        <v>47</v>
      </c>
      <c r="B49" s="172" t="s">
        <v>54</v>
      </c>
      <c r="C49" s="170">
        <v>20</v>
      </c>
      <c r="D49" s="174">
        <v>500</v>
      </c>
      <c r="E49" s="10">
        <f>IFERROR(VLOOKUP(B49,'დამატებითი საქ-ბის ანალიზი'!$B$15:$I$29,5,0),0)</f>
        <v>0</v>
      </c>
      <c r="F49" s="11">
        <v>0.35</v>
      </c>
      <c r="G49" s="9">
        <f t="shared" si="0"/>
        <v>0</v>
      </c>
      <c r="H49" s="9">
        <f t="shared" si="1"/>
        <v>0</v>
      </c>
      <c r="I49" s="9">
        <f t="shared" si="2"/>
        <v>0</v>
      </c>
    </row>
    <row r="50" spans="1:9">
      <c r="A50" s="8">
        <v>48</v>
      </c>
      <c r="B50" s="172" t="s">
        <v>55</v>
      </c>
      <c r="C50" s="170">
        <v>1.2</v>
      </c>
      <c r="D50" s="174">
        <v>3000</v>
      </c>
      <c r="E50" s="10">
        <f>IFERROR(VLOOKUP(B50,'დამატებითი საქ-ბის ანალიზი'!$B$15:$I$29,5,0),0)</f>
        <v>0</v>
      </c>
      <c r="F50" s="11">
        <v>0.35</v>
      </c>
      <c r="G50" s="9">
        <f t="shared" si="0"/>
        <v>0</v>
      </c>
      <c r="H50" s="9">
        <f t="shared" si="1"/>
        <v>0</v>
      </c>
      <c r="I50" s="9">
        <f t="shared" si="2"/>
        <v>0</v>
      </c>
    </row>
    <row r="51" spans="1:9">
      <c r="A51" s="8">
        <v>49</v>
      </c>
      <c r="B51" s="172" t="s">
        <v>56</v>
      </c>
      <c r="C51" s="170">
        <v>4</v>
      </c>
      <c r="D51" s="174">
        <v>3000</v>
      </c>
      <c r="E51" s="10">
        <f>IFERROR(VLOOKUP(B51,'დამატებითი საქ-ბის ანალიზი'!$B$15:$I$29,5,0),0)</f>
        <v>0</v>
      </c>
      <c r="F51" s="11">
        <v>0.15</v>
      </c>
      <c r="G51" s="9">
        <f t="shared" si="0"/>
        <v>0</v>
      </c>
      <c r="H51" s="9">
        <f t="shared" si="1"/>
        <v>0</v>
      </c>
      <c r="I51" s="9">
        <f t="shared" si="2"/>
        <v>0</v>
      </c>
    </row>
    <row r="52" spans="1:9">
      <c r="A52" s="8">
        <v>50</v>
      </c>
      <c r="B52" s="172" t="s">
        <v>57</v>
      </c>
      <c r="C52" s="170">
        <v>15</v>
      </c>
      <c r="D52" s="174">
        <v>800</v>
      </c>
      <c r="E52" s="10">
        <f>IFERROR(VLOOKUP(B52,'დამატებითი საქ-ბის ანალიზი'!$B$15:$I$29,5,0),0)</f>
        <v>0</v>
      </c>
      <c r="F52" s="11">
        <v>0.15</v>
      </c>
      <c r="G52" s="9">
        <f t="shared" si="0"/>
        <v>0</v>
      </c>
      <c r="H52" s="9">
        <f t="shared" si="1"/>
        <v>0</v>
      </c>
      <c r="I52" s="9">
        <f t="shared" si="2"/>
        <v>0</v>
      </c>
    </row>
    <row r="53" spans="1:9">
      <c r="A53" s="8">
        <v>51</v>
      </c>
      <c r="B53" s="172" t="s">
        <v>58</v>
      </c>
      <c r="C53" s="170">
        <v>16</v>
      </c>
      <c r="D53" s="174">
        <v>800</v>
      </c>
      <c r="E53" s="10">
        <f>IFERROR(VLOOKUP(B53,'დამატებითი საქ-ბის ანალიზი'!$B$15:$I$29,5,0),0)</f>
        <v>0</v>
      </c>
      <c r="F53" s="11">
        <v>0.3</v>
      </c>
      <c r="G53" s="9">
        <f t="shared" si="0"/>
        <v>0</v>
      </c>
      <c r="H53" s="9">
        <f t="shared" si="1"/>
        <v>0</v>
      </c>
      <c r="I53" s="9">
        <f t="shared" si="2"/>
        <v>0</v>
      </c>
    </row>
    <row r="54" spans="1:9">
      <c r="A54" s="8">
        <v>52</v>
      </c>
      <c r="B54" s="172" t="s">
        <v>59</v>
      </c>
      <c r="C54" s="170">
        <v>15</v>
      </c>
      <c r="D54" s="174">
        <v>600</v>
      </c>
      <c r="E54" s="10">
        <f>IFERROR(VLOOKUP(B54,'დამატებითი საქ-ბის ანალიზი'!$B$15:$I$29,5,0),0)</f>
        <v>0</v>
      </c>
      <c r="F54" s="11">
        <v>0.2</v>
      </c>
      <c r="G54" s="9">
        <f t="shared" si="0"/>
        <v>0</v>
      </c>
      <c r="H54" s="9">
        <f t="shared" si="1"/>
        <v>0</v>
      </c>
      <c r="I54" s="9">
        <f t="shared" si="2"/>
        <v>0</v>
      </c>
    </row>
    <row r="55" spans="1:9">
      <c r="A55" s="8">
        <v>53</v>
      </c>
      <c r="B55" s="172" t="s">
        <v>60</v>
      </c>
      <c r="C55" s="170">
        <v>20</v>
      </c>
      <c r="D55" s="174">
        <v>500</v>
      </c>
      <c r="E55" s="10">
        <f>IFERROR(VLOOKUP(B55,'დამატებითი საქ-ბის ანალიზი'!$B$15:$I$29,5,0),0)</f>
        <v>0</v>
      </c>
      <c r="F55" s="11">
        <v>0.25</v>
      </c>
      <c r="G55" s="9">
        <f t="shared" si="0"/>
        <v>0</v>
      </c>
      <c r="H55" s="9">
        <f t="shared" si="1"/>
        <v>0</v>
      </c>
      <c r="I55" s="9">
        <f t="shared" si="2"/>
        <v>0</v>
      </c>
    </row>
    <row r="56" spans="1:9">
      <c r="A56" s="8">
        <v>54</v>
      </c>
      <c r="B56" s="172" t="s">
        <v>392</v>
      </c>
      <c r="C56" s="170">
        <v>1.7</v>
      </c>
      <c r="D56" s="174">
        <v>5000</v>
      </c>
      <c r="E56" s="10">
        <f>IFERROR(VLOOKUP(B56,'დამატებითი საქ-ბის ანალიზი'!$B$15:$I$29,5,0),0)</f>
        <v>0</v>
      </c>
      <c r="F56" s="11">
        <v>0.25</v>
      </c>
      <c r="G56" s="9">
        <f t="shared" si="0"/>
        <v>0</v>
      </c>
      <c r="H56" s="9">
        <f t="shared" si="1"/>
        <v>0</v>
      </c>
      <c r="I56" s="9">
        <f t="shared" si="2"/>
        <v>0</v>
      </c>
    </row>
    <row r="57" spans="1:9">
      <c r="A57" s="8">
        <v>55</v>
      </c>
      <c r="B57" s="172" t="s">
        <v>61</v>
      </c>
      <c r="C57" s="170">
        <v>8</v>
      </c>
      <c r="D57" s="174">
        <v>3000</v>
      </c>
      <c r="E57" s="10">
        <f>IFERROR(VLOOKUP(B57,'დამატებითი საქ-ბის ანალიზი'!$B$15:$I$29,5,0),0)</f>
        <v>0</v>
      </c>
      <c r="F57" s="11">
        <v>0.3</v>
      </c>
      <c r="G57" s="9">
        <f t="shared" si="0"/>
        <v>0</v>
      </c>
      <c r="H57" s="9">
        <f t="shared" si="1"/>
        <v>0</v>
      </c>
      <c r="I57" s="9">
        <f t="shared" si="2"/>
        <v>0</v>
      </c>
    </row>
    <row r="58" spans="1:9">
      <c r="A58" s="8">
        <v>56</v>
      </c>
      <c r="B58" s="172" t="s">
        <v>62</v>
      </c>
      <c r="C58" s="170">
        <v>5</v>
      </c>
      <c r="D58" s="174">
        <v>2000</v>
      </c>
      <c r="E58" s="10">
        <f>IFERROR(VLOOKUP(B58,'დამატებითი საქ-ბის ანალიზი'!$B$15:$I$29,5,0),0)</f>
        <v>0</v>
      </c>
      <c r="F58" s="11">
        <v>0.3</v>
      </c>
      <c r="G58" s="9">
        <f t="shared" si="0"/>
        <v>0</v>
      </c>
      <c r="H58" s="9">
        <f t="shared" si="1"/>
        <v>0</v>
      </c>
      <c r="I58" s="9">
        <f t="shared" si="2"/>
        <v>0</v>
      </c>
    </row>
    <row r="59" spans="1:9">
      <c r="A59" s="8">
        <v>57</v>
      </c>
      <c r="B59" s="172" t="s">
        <v>63</v>
      </c>
      <c r="C59" s="170">
        <v>15</v>
      </c>
      <c r="D59" s="174">
        <v>800</v>
      </c>
      <c r="E59" s="10">
        <f>IFERROR(VLOOKUP(B59,'დამატებითი საქ-ბის ანალიზი'!$B$15:$I$29,5,0),0)</f>
        <v>0</v>
      </c>
      <c r="F59" s="11">
        <v>0.3</v>
      </c>
      <c r="G59" s="9">
        <f t="shared" si="0"/>
        <v>0</v>
      </c>
      <c r="H59" s="9">
        <f t="shared" si="1"/>
        <v>0</v>
      </c>
      <c r="I59" s="9">
        <f t="shared" si="2"/>
        <v>0</v>
      </c>
    </row>
    <row r="60" spans="1:9">
      <c r="A60" s="8">
        <v>58</v>
      </c>
      <c r="B60" s="172" t="s">
        <v>394</v>
      </c>
      <c r="C60" s="170">
        <v>3</v>
      </c>
      <c r="D60" s="174">
        <v>5000</v>
      </c>
      <c r="E60" s="10">
        <f>IFERROR(VLOOKUP(B60,'დამატებითი საქ-ბის ანალიზი'!$B$15:$I$29,5,0),0)</f>
        <v>0</v>
      </c>
      <c r="F60" s="11">
        <v>0.3</v>
      </c>
      <c r="G60" s="9">
        <f t="shared" si="0"/>
        <v>0</v>
      </c>
      <c r="H60" s="9">
        <f t="shared" si="1"/>
        <v>0</v>
      </c>
      <c r="I60" s="9">
        <f t="shared" si="2"/>
        <v>0</v>
      </c>
    </row>
    <row r="61" spans="1:9">
      <c r="A61" s="8">
        <v>59</v>
      </c>
      <c r="B61" s="172" t="s">
        <v>64</v>
      </c>
      <c r="C61" s="170">
        <v>5</v>
      </c>
      <c r="D61" s="174">
        <v>2500</v>
      </c>
      <c r="E61" s="10">
        <f>IFERROR(VLOOKUP(B61,'დამატებითი საქ-ბის ანალიზი'!$B$15:$I$29,5,0),0)</f>
        <v>0</v>
      </c>
      <c r="F61" s="11">
        <v>0.3</v>
      </c>
      <c r="G61" s="9">
        <f t="shared" si="0"/>
        <v>0</v>
      </c>
      <c r="H61" s="9">
        <f t="shared" si="1"/>
        <v>0</v>
      </c>
      <c r="I61" s="9">
        <f t="shared" si="2"/>
        <v>0</v>
      </c>
    </row>
    <row r="62" spans="1:9">
      <c r="A62" s="8">
        <v>60</v>
      </c>
      <c r="B62" s="172" t="s">
        <v>65</v>
      </c>
      <c r="C62" s="170">
        <v>10</v>
      </c>
      <c r="D62" s="174">
        <v>800</v>
      </c>
      <c r="E62" s="10">
        <f>IFERROR(VLOOKUP(B62,'დამატებითი საქ-ბის ანალიზი'!$B$15:$I$29,5,0),0)</f>
        <v>0</v>
      </c>
      <c r="F62" s="11">
        <v>0.3</v>
      </c>
      <c r="G62" s="9">
        <f t="shared" si="0"/>
        <v>0</v>
      </c>
      <c r="H62" s="9">
        <f t="shared" si="1"/>
        <v>0</v>
      </c>
      <c r="I62" s="9">
        <f t="shared" si="2"/>
        <v>0</v>
      </c>
    </row>
    <row r="63" spans="1:9">
      <c r="A63" s="8">
        <v>61</v>
      </c>
      <c r="B63" s="172" t="s">
        <v>66</v>
      </c>
      <c r="C63" s="170">
        <v>8</v>
      </c>
      <c r="D63" s="174">
        <v>1500</v>
      </c>
      <c r="E63" s="10">
        <f>IFERROR(VLOOKUP(B63,'დამატებითი საქ-ბის ანალიზი'!$B$15:$I$29,5,0),0)</f>
        <v>0</v>
      </c>
      <c r="F63" s="11">
        <v>0.32</v>
      </c>
      <c r="G63" s="9">
        <f t="shared" si="0"/>
        <v>0</v>
      </c>
      <c r="H63" s="9">
        <f t="shared" si="1"/>
        <v>0</v>
      </c>
      <c r="I63" s="9">
        <f t="shared" si="2"/>
        <v>0</v>
      </c>
    </row>
    <row r="64" spans="1:9">
      <c r="A64" s="8">
        <v>62</v>
      </c>
      <c r="B64" s="172" t="s">
        <v>522</v>
      </c>
      <c r="C64" s="170">
        <v>8</v>
      </c>
      <c r="D64" s="174">
        <v>2000</v>
      </c>
      <c r="E64" s="10">
        <f>IFERROR(VLOOKUP(B64,'დამატებითი საქ-ბის ანალიზი'!$B$15:$I$29,5,0),0)</f>
        <v>0</v>
      </c>
      <c r="F64" s="11">
        <v>0.25</v>
      </c>
      <c r="G64" s="9">
        <f t="shared" si="0"/>
        <v>0</v>
      </c>
      <c r="H64" s="9">
        <f t="shared" si="1"/>
        <v>0</v>
      </c>
      <c r="I64" s="9">
        <f t="shared" si="2"/>
        <v>0</v>
      </c>
    </row>
    <row r="65" spans="1:9">
      <c r="A65" s="8">
        <v>63</v>
      </c>
      <c r="B65" s="172" t="s">
        <v>395</v>
      </c>
      <c r="C65" s="170">
        <v>15</v>
      </c>
      <c r="D65" s="174">
        <v>600</v>
      </c>
      <c r="E65" s="10">
        <f>IFERROR(VLOOKUP(B65,'დამატებითი საქ-ბის ანალიზი'!$B$15:$I$29,5,0),0)</f>
        <v>0</v>
      </c>
      <c r="F65" s="11">
        <v>0.3</v>
      </c>
      <c r="G65" s="9">
        <f t="shared" si="0"/>
        <v>0</v>
      </c>
      <c r="H65" s="9">
        <f t="shared" si="1"/>
        <v>0</v>
      </c>
      <c r="I65" s="9">
        <f t="shared" si="2"/>
        <v>0</v>
      </c>
    </row>
    <row r="66" spans="1:9">
      <c r="A66" s="8">
        <v>64</v>
      </c>
      <c r="B66" s="172" t="s">
        <v>67</v>
      </c>
      <c r="C66" s="170">
        <v>8</v>
      </c>
      <c r="D66" s="174">
        <v>1000</v>
      </c>
      <c r="E66" s="10">
        <f>IFERROR(VLOOKUP(B66,'დამატებითი საქ-ბის ანალიზი'!$B$15:$I$29,5,0),0)</f>
        <v>0</v>
      </c>
      <c r="F66" s="11">
        <v>0.2</v>
      </c>
      <c r="G66" s="9">
        <f t="shared" si="0"/>
        <v>0</v>
      </c>
      <c r="H66" s="9">
        <f t="shared" si="1"/>
        <v>0</v>
      </c>
      <c r="I66" s="9">
        <f t="shared" si="2"/>
        <v>0</v>
      </c>
    </row>
    <row r="67" spans="1:9">
      <c r="A67" s="8">
        <v>65</v>
      </c>
      <c r="B67" s="172" t="s">
        <v>68</v>
      </c>
      <c r="C67" s="170">
        <v>20</v>
      </c>
      <c r="D67" s="174">
        <v>600</v>
      </c>
      <c r="E67" s="10">
        <f>IFERROR(VLOOKUP(B67,'დამატებითი საქ-ბის ანალიზი'!$B$15:$I$29,5,0),0)</f>
        <v>0</v>
      </c>
      <c r="F67" s="11">
        <v>0.2</v>
      </c>
      <c r="G67" s="9">
        <f t="shared" ref="G67:G82" si="3">C67*D67*E67</f>
        <v>0</v>
      </c>
      <c r="H67" s="9">
        <f t="shared" ref="H67:H82" si="4">C67*E67*D67*F67</f>
        <v>0</v>
      </c>
      <c r="I67" s="9">
        <f t="shared" ref="I67:I82" si="5">G67-H67</f>
        <v>0</v>
      </c>
    </row>
    <row r="68" spans="1:9">
      <c r="A68" s="8">
        <v>66</v>
      </c>
      <c r="B68" s="172" t="s">
        <v>69</v>
      </c>
      <c r="C68" s="170">
        <v>18</v>
      </c>
      <c r="D68" s="174">
        <v>500</v>
      </c>
      <c r="E68" s="10">
        <f>IFERROR(VLOOKUP(B68,'დამატებითი საქ-ბის ანალიზი'!$B$15:$I$29,5,0),0)</f>
        <v>0</v>
      </c>
      <c r="F68" s="11">
        <v>0.3</v>
      </c>
      <c r="G68" s="9">
        <f t="shared" si="3"/>
        <v>0</v>
      </c>
      <c r="H68" s="9">
        <f t="shared" si="4"/>
        <v>0</v>
      </c>
      <c r="I68" s="9">
        <f t="shared" si="5"/>
        <v>0</v>
      </c>
    </row>
    <row r="69" spans="1:9">
      <c r="A69" s="8">
        <v>67</v>
      </c>
      <c r="B69" s="172" t="s">
        <v>396</v>
      </c>
      <c r="C69" s="170">
        <v>8</v>
      </c>
      <c r="D69" s="174">
        <v>1200</v>
      </c>
      <c r="E69" s="10">
        <f>IFERROR(VLOOKUP(B69,'დამატებითი საქ-ბის ანალიზი'!$B$15:$I$29,5,0),0)</f>
        <v>0</v>
      </c>
      <c r="F69" s="11">
        <v>0.3</v>
      </c>
      <c r="G69" s="9">
        <f t="shared" si="3"/>
        <v>0</v>
      </c>
      <c r="H69" s="9">
        <f t="shared" si="4"/>
        <v>0</v>
      </c>
      <c r="I69" s="9">
        <f t="shared" si="5"/>
        <v>0</v>
      </c>
    </row>
    <row r="70" spans="1:9">
      <c r="A70" s="8">
        <v>68</v>
      </c>
      <c r="B70" s="172" t="s">
        <v>70</v>
      </c>
      <c r="C70" s="170">
        <v>14</v>
      </c>
      <c r="D70" s="174">
        <v>500</v>
      </c>
      <c r="E70" s="10">
        <f>IFERROR(VLOOKUP(B70,'დამატებითი საქ-ბის ანალიზი'!$B$15:$I$29,5,0),0)</f>
        <v>0</v>
      </c>
      <c r="F70" s="11">
        <v>0.18</v>
      </c>
      <c r="G70" s="9">
        <f t="shared" si="3"/>
        <v>0</v>
      </c>
      <c r="H70" s="9">
        <f t="shared" si="4"/>
        <v>0</v>
      </c>
      <c r="I70" s="9">
        <f t="shared" si="5"/>
        <v>0</v>
      </c>
    </row>
    <row r="71" spans="1:9">
      <c r="A71" s="8">
        <v>69</v>
      </c>
      <c r="B71" s="172" t="s">
        <v>71</v>
      </c>
      <c r="C71" s="170">
        <v>1.5</v>
      </c>
      <c r="D71" s="174">
        <v>5</v>
      </c>
      <c r="E71" s="10">
        <f>IFERROR(VLOOKUP(B71,'დამატებითი საქ-ბის ანალიზი'!$B$15:$I$29,5,0),0)</f>
        <v>0</v>
      </c>
      <c r="F71" s="11">
        <v>0.8</v>
      </c>
      <c r="G71" s="9">
        <f t="shared" si="3"/>
        <v>0</v>
      </c>
      <c r="H71" s="9">
        <f t="shared" si="4"/>
        <v>0</v>
      </c>
      <c r="I71" s="9">
        <f t="shared" si="5"/>
        <v>0</v>
      </c>
    </row>
    <row r="72" spans="1:9">
      <c r="A72" s="8">
        <v>70</v>
      </c>
      <c r="B72" s="172" t="s">
        <v>72</v>
      </c>
      <c r="C72" s="170">
        <v>16</v>
      </c>
      <c r="D72" s="174">
        <v>70</v>
      </c>
      <c r="E72" s="10">
        <f>IFERROR(VLOOKUP(B72,'დამატებითი საქ-ბის ანალიზი'!$B$15:$I$29,5,0),0)</f>
        <v>0</v>
      </c>
      <c r="F72" s="11">
        <v>0.5</v>
      </c>
      <c r="G72" s="9">
        <f t="shared" si="3"/>
        <v>0</v>
      </c>
      <c r="H72" s="9">
        <f t="shared" si="4"/>
        <v>0</v>
      </c>
      <c r="I72" s="9">
        <f t="shared" si="5"/>
        <v>0</v>
      </c>
    </row>
    <row r="73" spans="1:9">
      <c r="A73" s="8">
        <v>71</v>
      </c>
      <c r="B73" s="172" t="s">
        <v>73</v>
      </c>
      <c r="C73" s="170">
        <v>1</v>
      </c>
      <c r="D73" s="174">
        <v>8000</v>
      </c>
      <c r="E73" s="10">
        <f>IFERROR(VLOOKUP(B73,'დამატებითი საქ-ბის ანალიზი'!$B$15:$I$29,5,0),0)</f>
        <v>0</v>
      </c>
      <c r="F73" s="11">
        <v>0.65</v>
      </c>
      <c r="G73" s="9">
        <f t="shared" si="3"/>
        <v>0</v>
      </c>
      <c r="H73" s="9">
        <f t="shared" si="4"/>
        <v>0</v>
      </c>
      <c r="I73" s="9">
        <f t="shared" si="5"/>
        <v>0</v>
      </c>
    </row>
    <row r="74" spans="1:9">
      <c r="A74" s="8">
        <v>72</v>
      </c>
      <c r="B74" s="172" t="s">
        <v>74</v>
      </c>
      <c r="C74" s="170">
        <v>360</v>
      </c>
      <c r="D74" s="174">
        <v>0.2</v>
      </c>
      <c r="E74" s="10">
        <f>IFERROR(VLOOKUP(B74,'დამატებითი საქ-ბის ანალიზი'!$B$15:$I$29,5,0),0)</f>
        <v>0</v>
      </c>
      <c r="F74" s="11">
        <v>0.85</v>
      </c>
      <c r="G74" s="9">
        <f t="shared" si="3"/>
        <v>0</v>
      </c>
      <c r="H74" s="9">
        <f t="shared" si="4"/>
        <v>0</v>
      </c>
      <c r="I74" s="9">
        <f t="shared" si="5"/>
        <v>0</v>
      </c>
    </row>
    <row r="75" spans="1:9">
      <c r="A75" s="8">
        <v>73</v>
      </c>
      <c r="B75" s="172" t="s">
        <v>75</v>
      </c>
      <c r="C75" s="170">
        <v>1560</v>
      </c>
      <c r="D75" s="174">
        <v>0.8</v>
      </c>
      <c r="E75" s="10">
        <f>IFERROR(VLOOKUP(B75,'დამატებითი საქ-ბის ანალიზი'!$B$15:$I$29,5,0),0)</f>
        <v>0</v>
      </c>
      <c r="F75" s="11">
        <v>0.35</v>
      </c>
      <c r="G75" s="9">
        <f t="shared" si="3"/>
        <v>0</v>
      </c>
      <c r="H75" s="9">
        <f t="shared" si="4"/>
        <v>0</v>
      </c>
      <c r="I75" s="9">
        <f t="shared" si="5"/>
        <v>0</v>
      </c>
    </row>
    <row r="76" spans="1:9">
      <c r="A76" s="8">
        <v>74</v>
      </c>
      <c r="B76" s="172" t="s">
        <v>76</v>
      </c>
      <c r="C76" s="170">
        <v>100</v>
      </c>
      <c r="D76" s="174">
        <v>9</v>
      </c>
      <c r="E76" s="10">
        <f>IFERROR(VLOOKUP(B76,'დამატებითი საქ-ბის ანალიზი'!$B$15:$I$29,5,0),0)</f>
        <v>0</v>
      </c>
      <c r="F76" s="11">
        <v>0.6</v>
      </c>
      <c r="G76" s="9">
        <f t="shared" si="3"/>
        <v>0</v>
      </c>
      <c r="H76" s="9">
        <f t="shared" si="4"/>
        <v>0</v>
      </c>
      <c r="I76" s="9">
        <f t="shared" si="5"/>
        <v>0</v>
      </c>
    </row>
    <row r="77" spans="1:9">
      <c r="A77" s="8">
        <v>75</v>
      </c>
      <c r="B77" s="172" t="s">
        <v>77</v>
      </c>
      <c r="C77" s="170">
        <v>1</v>
      </c>
      <c r="D77" s="174">
        <v>6000</v>
      </c>
      <c r="E77" s="10">
        <f>IFERROR(VLOOKUP(B77,'დამატებითი საქ-ბის ანალიზი'!$B$15:$I$29,5,0),0)</f>
        <v>0</v>
      </c>
      <c r="F77" s="11">
        <v>0.65</v>
      </c>
      <c r="G77" s="9">
        <f t="shared" si="3"/>
        <v>0</v>
      </c>
      <c r="H77" s="9">
        <f t="shared" si="4"/>
        <v>0</v>
      </c>
      <c r="I77" s="9">
        <f t="shared" si="5"/>
        <v>0</v>
      </c>
    </row>
    <row r="78" spans="1:9">
      <c r="A78" s="8">
        <v>76</v>
      </c>
      <c r="B78" s="172" t="s">
        <v>78</v>
      </c>
      <c r="C78" s="170">
        <v>15</v>
      </c>
      <c r="D78" s="174">
        <v>15</v>
      </c>
      <c r="E78" s="10">
        <f>IFERROR(VLOOKUP(B78,'დამატებითი საქ-ბის ანალიზი'!$B$15:$I$29,5,0),0)</f>
        <v>0</v>
      </c>
      <c r="F78" s="11">
        <v>0.1</v>
      </c>
      <c r="G78" s="9">
        <f t="shared" si="3"/>
        <v>0</v>
      </c>
      <c r="H78" s="9">
        <f t="shared" si="4"/>
        <v>0</v>
      </c>
      <c r="I78" s="9">
        <f t="shared" si="5"/>
        <v>0</v>
      </c>
    </row>
    <row r="79" spans="1:9">
      <c r="A79" s="8">
        <v>77</v>
      </c>
      <c r="B79" s="172" t="s">
        <v>79</v>
      </c>
      <c r="C79" s="170">
        <v>100</v>
      </c>
      <c r="D79" s="174">
        <v>8</v>
      </c>
      <c r="E79" s="10">
        <f>IFERROR(VLOOKUP(B79,'დამატებითი საქ-ბის ანალიზი'!$B$15:$I$29,5,0),0)</f>
        <v>0</v>
      </c>
      <c r="F79" s="11">
        <v>0.6</v>
      </c>
      <c r="G79" s="9">
        <f t="shared" si="3"/>
        <v>0</v>
      </c>
      <c r="H79" s="9">
        <f t="shared" si="4"/>
        <v>0</v>
      </c>
      <c r="I79" s="9">
        <f t="shared" si="5"/>
        <v>0</v>
      </c>
    </row>
    <row r="80" spans="1:9">
      <c r="A80" s="8">
        <v>78</v>
      </c>
      <c r="B80" s="172" t="s">
        <v>80</v>
      </c>
      <c r="C80" s="170">
        <v>1</v>
      </c>
      <c r="D80" s="174">
        <v>120</v>
      </c>
      <c r="E80" s="10">
        <f>IFERROR(VLOOKUP(B80,'დამატებითი საქ-ბის ანალიზი'!$B$15:$I$29,5,0),0)</f>
        <v>0</v>
      </c>
      <c r="F80" s="11">
        <v>0.4</v>
      </c>
      <c r="G80" s="9">
        <f t="shared" si="3"/>
        <v>0</v>
      </c>
      <c r="H80" s="9">
        <f t="shared" si="4"/>
        <v>0</v>
      </c>
      <c r="I80" s="9">
        <f t="shared" si="5"/>
        <v>0</v>
      </c>
    </row>
    <row r="81" spans="1:9">
      <c r="A81" s="8">
        <v>79</v>
      </c>
      <c r="B81" s="172" t="s">
        <v>81</v>
      </c>
      <c r="C81" s="170">
        <v>5</v>
      </c>
      <c r="D81" s="174">
        <v>10</v>
      </c>
      <c r="E81" s="10">
        <f>IFERROR(VLOOKUP(B81,'დამატებითი საქ-ბის ანალიზი'!$B$15:$I$29,5,0),0)</f>
        <v>0</v>
      </c>
      <c r="F81" s="11">
        <v>0.5</v>
      </c>
      <c r="G81" s="9">
        <f t="shared" si="3"/>
        <v>0</v>
      </c>
      <c r="H81" s="9">
        <f t="shared" si="4"/>
        <v>0</v>
      </c>
      <c r="I81" s="9">
        <f t="shared" si="5"/>
        <v>0</v>
      </c>
    </row>
    <row r="82" spans="1:9" ht="15.75" thickBot="1">
      <c r="A82" s="8">
        <v>80</v>
      </c>
      <c r="B82" s="172" t="s">
        <v>611</v>
      </c>
      <c r="C82" s="170">
        <v>1</v>
      </c>
      <c r="D82" s="174">
        <v>500</v>
      </c>
      <c r="E82" s="10">
        <f>IFERROR(VLOOKUP(B82,'დამატებითი საქ-ბის ანალიზი'!$B$15:$I$29,5,0),0)</f>
        <v>0</v>
      </c>
      <c r="F82" s="11">
        <v>0.3</v>
      </c>
      <c r="G82" s="9">
        <f t="shared" si="3"/>
        <v>0</v>
      </c>
      <c r="H82" s="9">
        <f t="shared" si="4"/>
        <v>0</v>
      </c>
      <c r="I82" s="9">
        <f t="shared" si="5"/>
        <v>0</v>
      </c>
    </row>
    <row r="83" spans="1:9" ht="15.75" thickBot="1">
      <c r="G83" s="14">
        <f>SUM(G3:G82)</f>
        <v>0</v>
      </c>
      <c r="H83" s="15">
        <f>SUM(H3:H82)</f>
        <v>0</v>
      </c>
      <c r="I83" s="16">
        <f>G83-H83</f>
        <v>0</v>
      </c>
    </row>
    <row r="85" spans="1:9">
      <c r="D85" s="155"/>
      <c r="E85" s="155" t="s">
        <v>15</v>
      </c>
      <c r="F85" s="155" t="s">
        <v>184</v>
      </c>
    </row>
    <row r="86" spans="1:9">
      <c r="D86" s="155" t="s">
        <v>90</v>
      </c>
      <c r="E86" s="167">
        <f>G83/12</f>
        <v>0</v>
      </c>
      <c r="F86" s="167">
        <f>H83/12</f>
        <v>0</v>
      </c>
    </row>
    <row r="87" spans="1:9">
      <c r="D87" s="155" t="s">
        <v>86</v>
      </c>
      <c r="E87" s="157">
        <f>'დამატებითი საქ-ბის ანალიზი'!F15-'დამატებითი საქ-ბის ანალიზი'!F16</f>
        <v>0</v>
      </c>
      <c r="F87" s="167">
        <f>SUM('დამატებითი საქ-ბის ანალიზი'!F24:I28)</f>
        <v>0</v>
      </c>
    </row>
    <row r="88" spans="1:9">
      <c r="D88" s="155" t="s">
        <v>87</v>
      </c>
      <c r="E88" s="157">
        <f>'დამატებითი საქ-ბის ანალიზი'!F15-'დამატებითი საქ-ბის ანალიზი'!F16</f>
        <v>0</v>
      </c>
      <c r="F88" s="167">
        <f>SUM('დამატებითი საქ-ბის ანალიზი'!F24:I28)</f>
        <v>0</v>
      </c>
    </row>
    <row r="89" spans="1:9" ht="15.75">
      <c r="D89" s="156" t="s">
        <v>88</v>
      </c>
      <c r="E89" s="157">
        <f>'დამატებითი საქ-ბის ანალიზი'!F15</f>
        <v>0</v>
      </c>
      <c r="F89" s="167">
        <f>SUM('დამატებითი საქ-ბის ანალიზი'!F24:I28)</f>
        <v>0</v>
      </c>
    </row>
    <row r="90" spans="1:9" ht="15.75">
      <c r="D90" s="156" t="s">
        <v>89</v>
      </c>
      <c r="E90" s="157">
        <f>'დამატებითი საქ-ბის ანალიზი'!F15</f>
        <v>0</v>
      </c>
      <c r="F90" s="167">
        <f>SUM('დამატებითი საქ-ბის ანალიზი'!F24:I28)</f>
        <v>0</v>
      </c>
    </row>
    <row r="91" spans="1:9" ht="15.75">
      <c r="D91" s="156" t="s">
        <v>149</v>
      </c>
      <c r="E91" s="157">
        <f>'დამატებითი საქ-ბის ანალიზი'!F15</f>
        <v>0</v>
      </c>
      <c r="F91" s="167">
        <f>SUM('დამატებითი საქ-ბის ანალიზი'!F24:I28)</f>
        <v>0</v>
      </c>
    </row>
    <row r="92" spans="1:9" ht="15.75">
      <c r="D92" s="156" t="s">
        <v>353</v>
      </c>
      <c r="E92" s="157">
        <f>'დამატებითი საქ-ბის ანალიზი'!F15</f>
        <v>0</v>
      </c>
      <c r="F92" s="167">
        <f>SUM('დამატებითი საქ-ბის ანალიზი'!F24:I28)</f>
        <v>0</v>
      </c>
    </row>
    <row r="93" spans="1:9" ht="15.75">
      <c r="D93" s="156" t="s">
        <v>148</v>
      </c>
      <c r="E93" s="157">
        <f>'დამატებითი საქ-ბის ანალიზი'!F15</f>
        <v>0</v>
      </c>
      <c r="F93" s="167">
        <f>SUM('დამატებითი საქ-ბის ანალიზი'!F24:I28)</f>
        <v>0</v>
      </c>
    </row>
  </sheetData>
  <sheetProtection algorithmName="SHA-512" hashValue="eHITX+K3V1F6IhhYoONYYPtDYc2qdLuUcYLzU32AWkCqdfn8hwMvGn6IMSRF51E88tKspNE+SrR9Nm3cMvzJOA==" saltValue="Nw6+wuRoX3TNsR8aS3EiOw==" spinCount="100000" sheet="1" objects="1" scenarios="1"/>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საქმიანობა</vt:lpstr>
      <vt:lpstr>კალკულატორი დამტკიცებული</vt:lpstr>
      <vt:lpstr>კომიტეტის ოქმი</vt:lpstr>
      <vt:lpstr>lists</vt:lpstr>
      <vt:lpstr>სესხის კალკულატორი</vt:lpstr>
      <vt:lpstr>დამატებითი საქ-ბის ანალიზი</vt:lpstr>
      <vt:lpstr>UFE-ს მონაცემები</vt:lpstr>
      <vt:lpstr>სურათების ატვირთვა</vt:lpstr>
      <vt:lpstr>აგრო ბარათი</vt:lpstr>
      <vt:lpstr>აგრო ბარათი დამატებითი</vt:lpstr>
      <vt:lpstr>DIS</vt:lpstr>
      <vt:lpstr>Inst_type</vt:lpstr>
      <vt:lpstr>list1</vt:lpstr>
      <vt:lpstr>list2</vt:lpstr>
      <vt:lpstr>list3</vt:lpstr>
      <vt:lpstr>Per</vt:lpstr>
      <vt:lpstr>'UFE-ს მონაცემები'!Print_Area</vt:lpstr>
      <vt:lpstr>'აგრო ბარათი'!Print_Area</vt:lpstr>
      <vt:lpstr>'დამატებითი საქ-ბის ანალიზი'!Print_Area</vt:lpstr>
      <vt:lpstr>'კომიტეტის ოქმი'!Print_Area</vt:lpstr>
      <vt:lpstr>საქმიანობა!Print_Area</vt:lpstr>
      <vt:lpstr>PRODUCT</vt:lpstr>
      <vt:lpstr>QS</vt:lpstr>
      <vt:lpstr>SAQ</vt:lpstr>
      <vt:lpstr>SC</vt:lpstr>
      <vt:lpstr>SCH</vt:lpstr>
      <vt:lpstr>UW</vt:lpstr>
      <vt:lpstr>YN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Iulia Meladze</dc:creator>
  <cp:lastModifiedBy>Giorgi Kruashvili</cp:lastModifiedBy>
  <cp:lastPrinted>2019-02-11T06:19:11Z</cp:lastPrinted>
  <dcterms:created xsi:type="dcterms:W3CDTF">2017-03-06T12:32:26Z</dcterms:created>
  <dcterms:modified xsi:type="dcterms:W3CDTF">2019-08-02T08:55:59Z</dcterms:modified>
</cp:coreProperties>
</file>